
<file path=[Content_Types].xml><?xml version="1.0" encoding="utf-8"?>
<Types xmlns="http://schemas.openxmlformats.org/package/2006/content-types">
  <Default Extension="png" ContentType="image/png"/>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charts/chart1.xml" ContentType="application/vnd.openxmlformats-officedocument.drawingml.chart+xml"/>
  <Override PartName="/xl/worksheets/sheet1.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3.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drawings/drawing2.xml" ContentType="application/vnd.openxmlformats-officedocument.drawing+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6.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customXml/itemProps1.xml" ContentType="application/vnd.openxmlformats-officedocument.customXml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7.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externalLinks/externalLink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C02" lockStructure="1" lockWindows="1"/>
  <bookViews>
    <workbookView xWindow="0" yWindow="0" windowWidth="15360" windowHeight="7752" tabRatio="849" activeTab="10"/>
  </bookViews>
  <sheets>
    <sheet name="Home" sheetId="18" r:id="rId1"/>
    <sheet name="Program Analysis" sheetId="19" r:id="rId2"/>
    <sheet name="SB 350 Potential" sheetId="20" r:id="rId3"/>
    <sheet name="Reference" sheetId="21" r:id="rId4"/>
    <sheet name="Conservative" sheetId="22" r:id="rId5"/>
    <sheet name="Aggressive" sheetId="23" r:id="rId6"/>
    <sheet name="Graph (electricity)" sheetId="24" r:id="rId7"/>
    <sheet name="Graph (gas)" sheetId="25" r:id="rId8"/>
    <sheet name="C&amp;S List" sheetId="1" r:id="rId9"/>
    <sheet name="Potential Stds" sheetId="11" r:id="rId10"/>
    <sheet name="TV calcs" sheetId="13" r:id="rId11"/>
    <sheet name="Imaging calcs" sheetId="14" r:id="rId12"/>
    <sheet name="Audio calcs" sheetId="15" r:id="rId13"/>
    <sheet name="Superseded C&amp;S" sheetId="6" r:id="rId14"/>
    <sheet name="RASS 2009" sheetId="7" r:id="rId15"/>
    <sheet name="CUES 2009" sheetId="9" r:id="rId16"/>
    <sheet name="Ref" sheetId="2" r:id="rId17"/>
    <sheet name="Look-up" sheetId="26" r:id="rId18"/>
  </sheets>
  <externalReferences>
    <externalReference r:id="rId19"/>
    <externalReference r:id="rId20"/>
    <externalReference r:id="rId21"/>
    <externalReference r:id="rId22"/>
    <externalReference r:id="rId23"/>
    <externalReference r:id="rId24"/>
    <externalReference r:id="rId25"/>
  </externalReferences>
  <definedNames>
    <definedName name="_xlnm._FilterDatabase" localSheetId="9" hidden="1">'Potential Stds'!$A$2:$AG$115</definedName>
    <definedName name="_xlnm._FilterDatabase" localSheetId="10" hidden="1">'TV calcs'!$K$1:$T$884</definedName>
    <definedName name="_ftn1" localSheetId="1">'Program Analysis'!$F$35</definedName>
    <definedName name="_ftn2" localSheetId="1">'Program Analysis'!$F$36</definedName>
    <definedName name="_ftn3" localSheetId="1">'Program Analysis'!$F$37</definedName>
    <definedName name="_ftn4" localSheetId="1">'Program Analysis'!$F$38</definedName>
    <definedName name="_ftnref1" localSheetId="1">'Program Analysis'!$F$14</definedName>
    <definedName name="_ftnref2" localSheetId="1">'Program Analysis'!$F$15</definedName>
    <definedName name="_ftnref3" localSheetId="1">'Program Analysis'!$F$16</definedName>
    <definedName name="_ftnref4" localSheetId="1">'Program Analysis'!$F$32</definedName>
    <definedName name="ACTION_FRACTION">'[1]BEARS Worksheet'!$T$85</definedName>
    <definedName name="anchor_first_data_row" localSheetId="0">'[2]County Data'!#REF!</definedName>
    <definedName name="anchor_first_data_row">'[2]County Data'!#REF!</definedName>
    <definedName name="Bldg_Sectors" localSheetId="2">'[3]Look-up'!$B$23:$C$23</definedName>
    <definedName name="Bldg_Sectors">'Look-up'!$B$23:$C$23</definedName>
    <definedName name="Cost_Scenario">'[4]Lists for Data Validation'!$O$3</definedName>
    <definedName name="County">[5]CleanData!$Z$2</definedName>
    <definedName name="Countylookup">[6]Finance!$A:$AF</definedName>
    <definedName name="Discount_Rate">'[4]Project Level Details'!$I$22</definedName>
    <definedName name="Electricity_Escalation_Rate">[4]Assumptions!$E$7</definedName>
    <definedName name="Interest_Rate">'[4]Project Level Details'!$I$21</definedName>
    <definedName name="LastRow" localSheetId="0">'[5]Data Table (Hide)'!#REF!</definedName>
    <definedName name="LastRow">'[5]Data Table (Hide)'!#REF!</definedName>
    <definedName name="Leverage">'[4]Lists for Data Validation'!$L$2</definedName>
    <definedName name="Loan_Term">'[4]Lists for Data Validation'!$P$2</definedName>
    <definedName name="Net_Project_Cost">'[4]Project Level Details'!$H$18</definedName>
    <definedName name="Nominal_Payback_Period">'[4]Payback Period Calculation'!$F$4:$F$29</definedName>
    <definedName name="Non_Residential">'Look-up'!$B$24:$B$35</definedName>
    <definedName name="NR_BldgTypes">'Look-up'!$B$24:$B$35</definedName>
    <definedName name="Programs" localSheetId="2">'[3]Look-up'!$A$4:$A$20</definedName>
    <definedName name="Programs">'Look-up'!$A$4:$A$20</definedName>
    <definedName name="RES_BldgTypes">'Look-up'!$C$24:$C$26</definedName>
    <definedName name="Residential">'Look-up'!$C$24:$C$26</definedName>
    <definedName name="Savings_Degredation_Rate">[4]Assumptions!$E$11</definedName>
    <definedName name="UtilizeFinancing">'[4]Lists for Data Validation'!$N$2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9" i="20" l="1"/>
  <c r="D44" i="20"/>
  <c r="D43" i="20"/>
  <c r="C43" i="20"/>
  <c r="C42" i="20"/>
  <c r="B42" i="20"/>
  <c r="D38" i="20"/>
  <c r="D37" i="20"/>
  <c r="C37" i="20"/>
  <c r="U30" i="20"/>
  <c r="T30" i="20"/>
  <c r="S30" i="20"/>
  <c r="R30" i="20"/>
  <c r="Q30" i="20"/>
  <c r="P30" i="20"/>
  <c r="O30" i="20"/>
  <c r="N30" i="20"/>
  <c r="M30" i="20"/>
  <c r="L30" i="20"/>
  <c r="K30" i="20"/>
  <c r="J30" i="20"/>
  <c r="I30" i="20"/>
  <c r="H30" i="20"/>
  <c r="G30" i="20"/>
  <c r="U29" i="20"/>
  <c r="T29" i="20"/>
  <c r="S29" i="20"/>
  <c r="R29" i="20"/>
  <c r="Q29" i="20"/>
  <c r="P29" i="20"/>
  <c r="O29" i="20"/>
  <c r="N29" i="20"/>
  <c r="M29" i="20"/>
  <c r="L29" i="20"/>
  <c r="K29" i="20"/>
  <c r="J29" i="20"/>
  <c r="I29" i="20"/>
  <c r="H29" i="20"/>
  <c r="G29" i="20"/>
  <c r="D29" i="20"/>
  <c r="C29" i="20"/>
  <c r="U28" i="20"/>
  <c r="T28" i="20"/>
  <c r="S28" i="20"/>
  <c r="R28" i="20"/>
  <c r="Q28" i="20"/>
  <c r="P28" i="20"/>
  <c r="O28" i="20"/>
  <c r="N28" i="20"/>
  <c r="M28" i="20"/>
  <c r="L28" i="20"/>
  <c r="K28" i="20"/>
  <c r="J28" i="20"/>
  <c r="I28" i="20"/>
  <c r="H28" i="20"/>
  <c r="G28" i="20"/>
  <c r="U25" i="20"/>
  <c r="T25" i="20"/>
  <c r="S25" i="20"/>
  <c r="R25" i="20"/>
  <c r="Q25" i="20"/>
  <c r="P25" i="20"/>
  <c r="O25" i="20"/>
  <c r="N25" i="20"/>
  <c r="M25" i="20"/>
  <c r="L25" i="20"/>
  <c r="K25" i="20"/>
  <c r="J25" i="20"/>
  <c r="I25" i="20"/>
  <c r="H25" i="20"/>
  <c r="G25" i="20"/>
  <c r="D25" i="20"/>
  <c r="C25" i="20"/>
  <c r="U24" i="20"/>
  <c r="T24" i="20"/>
  <c r="S24" i="20"/>
  <c r="S38" i="20" s="1"/>
  <c r="R24" i="20"/>
  <c r="Q24" i="20"/>
  <c r="P24" i="20"/>
  <c r="O24" i="20"/>
  <c r="N24" i="20"/>
  <c r="M24" i="20"/>
  <c r="L24" i="20"/>
  <c r="K24" i="20"/>
  <c r="K38" i="20" s="1"/>
  <c r="J24" i="20"/>
  <c r="I24" i="20"/>
  <c r="H24" i="20"/>
  <c r="G24" i="20"/>
  <c r="U23" i="20"/>
  <c r="U37" i="20" s="1"/>
  <c r="T23" i="20"/>
  <c r="S23" i="20"/>
  <c r="R23" i="20"/>
  <c r="Q23" i="20"/>
  <c r="Q37" i="20" s="1"/>
  <c r="P23" i="20"/>
  <c r="O23" i="20"/>
  <c r="N23" i="20"/>
  <c r="N37" i="20" s="1"/>
  <c r="M23" i="20"/>
  <c r="M37" i="20" s="1"/>
  <c r="L23" i="20"/>
  <c r="K23" i="20"/>
  <c r="J23" i="20"/>
  <c r="I23" i="20"/>
  <c r="I37" i="20" s="1"/>
  <c r="H23" i="20"/>
  <c r="G23" i="20"/>
  <c r="D23" i="20"/>
  <c r="C23" i="20"/>
  <c r="U16" i="20"/>
  <c r="T16" i="20"/>
  <c r="T44" i="20" s="1"/>
  <c r="S16" i="20"/>
  <c r="S44" i="20" s="1"/>
  <c r="R16" i="20"/>
  <c r="Q16" i="20"/>
  <c r="P16" i="20"/>
  <c r="O16" i="20"/>
  <c r="O44" i="20" s="1"/>
  <c r="N16" i="20"/>
  <c r="M16" i="20"/>
  <c r="L16" i="20"/>
  <c r="L44" i="20" s="1"/>
  <c r="K16" i="20"/>
  <c r="K44" i="20" s="1"/>
  <c r="J16" i="20"/>
  <c r="I16" i="20"/>
  <c r="H16" i="20"/>
  <c r="G16" i="20"/>
  <c r="G44" i="20" s="1"/>
  <c r="U15" i="20"/>
  <c r="U43" i="20" s="1"/>
  <c r="T15" i="20"/>
  <c r="S15" i="20"/>
  <c r="R15" i="20"/>
  <c r="R43" i="20" s="1"/>
  <c r="Q15" i="20"/>
  <c r="P15" i="20"/>
  <c r="O15" i="20"/>
  <c r="N15" i="20"/>
  <c r="N43" i="20" s="1"/>
  <c r="M15" i="20"/>
  <c r="M43" i="20" s="1"/>
  <c r="L15" i="20"/>
  <c r="K15" i="20"/>
  <c r="J15" i="20"/>
  <c r="I15" i="20"/>
  <c r="I43" i="20" s="1"/>
  <c r="H15" i="20"/>
  <c r="G15" i="20"/>
  <c r="D15" i="20"/>
  <c r="C15" i="20"/>
  <c r="U14" i="20"/>
  <c r="T14" i="20"/>
  <c r="S14" i="20"/>
  <c r="R14" i="20"/>
  <c r="Q14" i="20"/>
  <c r="P14" i="20"/>
  <c r="O14" i="20"/>
  <c r="N14" i="20"/>
  <c r="M14" i="20"/>
  <c r="L14" i="20"/>
  <c r="K14" i="20"/>
  <c r="J14" i="20"/>
  <c r="I14" i="20"/>
  <c r="H14" i="20"/>
  <c r="G14" i="20"/>
  <c r="U11" i="20"/>
  <c r="T11" i="20"/>
  <c r="S11" i="20"/>
  <c r="R11" i="20"/>
  <c r="Q11" i="20"/>
  <c r="Q39" i="20" s="1"/>
  <c r="P11" i="20"/>
  <c r="O11" i="20"/>
  <c r="N11" i="20"/>
  <c r="N39" i="20" s="1"/>
  <c r="M11" i="20"/>
  <c r="M39" i="20" s="1"/>
  <c r="L11" i="20"/>
  <c r="K11" i="20"/>
  <c r="J11" i="20"/>
  <c r="I11" i="20"/>
  <c r="I39" i="20" s="1"/>
  <c r="H11" i="20"/>
  <c r="G11" i="20"/>
  <c r="U10" i="20"/>
  <c r="T10" i="20"/>
  <c r="S10" i="20"/>
  <c r="R10" i="20"/>
  <c r="Q10" i="20"/>
  <c r="Q38" i="20" s="1"/>
  <c r="P10" i="20"/>
  <c r="P38" i="20" s="1"/>
  <c r="O10" i="20"/>
  <c r="N10" i="20"/>
  <c r="M10" i="20"/>
  <c r="L10" i="20"/>
  <c r="K10" i="20"/>
  <c r="J10" i="20"/>
  <c r="I10" i="20"/>
  <c r="I38" i="20" s="1"/>
  <c r="H10" i="20"/>
  <c r="H38" i="20" s="1"/>
  <c r="G10" i="20"/>
  <c r="U9" i="20"/>
  <c r="T9" i="20"/>
  <c r="S9" i="20"/>
  <c r="S37" i="20" s="1"/>
  <c r="R9" i="20"/>
  <c r="Q9" i="20"/>
  <c r="P9" i="20"/>
  <c r="P37" i="20" s="1"/>
  <c r="O9" i="20"/>
  <c r="O37" i="20" s="1"/>
  <c r="N9" i="20"/>
  <c r="M9" i="20"/>
  <c r="L9" i="20"/>
  <c r="K9" i="20"/>
  <c r="K37" i="20" s="1"/>
  <c r="J9" i="20"/>
  <c r="I9" i="20"/>
  <c r="H9" i="20"/>
  <c r="H37" i="20" s="1"/>
  <c r="G9" i="20"/>
  <c r="G37" i="20" s="1"/>
  <c r="D9" i="20"/>
  <c r="D39" i="20" s="1"/>
  <c r="C9" i="20"/>
  <c r="C44" i="20" s="1"/>
  <c r="B9" i="20"/>
  <c r="B43" i="20" s="1"/>
  <c r="B11" i="20"/>
  <c r="R44" i="20"/>
  <c r="N44" i="20"/>
  <c r="J44" i="20"/>
  <c r="E44" i="20"/>
  <c r="J43" i="20"/>
  <c r="F43" i="20"/>
  <c r="F44" i="20" s="1"/>
  <c r="E43" i="20"/>
  <c r="E42" i="20"/>
  <c r="R39" i="20"/>
  <c r="J39" i="20"/>
  <c r="F39" i="20"/>
  <c r="U38" i="20"/>
  <c r="T38" i="20"/>
  <c r="M38" i="20"/>
  <c r="L38" i="20"/>
  <c r="F38" i="20"/>
  <c r="T37" i="20"/>
  <c r="L37" i="20"/>
  <c r="E30" i="20"/>
  <c r="F29" i="20"/>
  <c r="F30" i="20" s="1"/>
  <c r="E29" i="20"/>
  <c r="E28" i="20"/>
  <c r="F24" i="20"/>
  <c r="F25" i="20" s="1"/>
  <c r="U44" i="20"/>
  <c r="Q44" i="20"/>
  <c r="P44" i="20"/>
  <c r="M44" i="20"/>
  <c r="I44" i="20"/>
  <c r="H44" i="20"/>
  <c r="T43" i="20"/>
  <c r="S43" i="20"/>
  <c r="Q43" i="20"/>
  <c r="P43" i="20"/>
  <c r="O43" i="20"/>
  <c r="L43" i="20"/>
  <c r="K43" i="20"/>
  <c r="H43" i="20"/>
  <c r="G43" i="20"/>
  <c r="F15" i="20"/>
  <c r="F16" i="20" s="1"/>
  <c r="U42" i="20"/>
  <c r="T42" i="20"/>
  <c r="S42" i="20"/>
  <c r="R42" i="20"/>
  <c r="Q42" i="20"/>
  <c r="P42" i="20"/>
  <c r="O42" i="20"/>
  <c r="N42" i="20"/>
  <c r="M42" i="20"/>
  <c r="L42" i="20"/>
  <c r="K42" i="20"/>
  <c r="J42" i="20"/>
  <c r="I42" i="20"/>
  <c r="H42" i="20"/>
  <c r="G42" i="20"/>
  <c r="T39" i="20"/>
  <c r="S39" i="20"/>
  <c r="P39" i="20"/>
  <c r="O39" i="20"/>
  <c r="L39" i="20"/>
  <c r="K39" i="20"/>
  <c r="H39" i="20"/>
  <c r="G39" i="20"/>
  <c r="C11" i="20"/>
  <c r="R38" i="20"/>
  <c r="O38" i="20"/>
  <c r="N38" i="20"/>
  <c r="J38" i="20"/>
  <c r="G38" i="20"/>
  <c r="F10" i="20"/>
  <c r="F11" i="20" s="1"/>
  <c r="C10" i="20"/>
  <c r="R37" i="20"/>
  <c r="J37" i="20"/>
  <c r="D10" i="20"/>
  <c r="F49" i="22"/>
  <c r="G49" i="22" s="1"/>
  <c r="H49" i="22" s="1"/>
  <c r="I49" i="22" s="1"/>
  <c r="J49" i="22" s="1"/>
  <c r="K49" i="22" s="1"/>
  <c r="L49" i="22" s="1"/>
  <c r="M49" i="22" s="1"/>
  <c r="N49" i="22" s="1"/>
  <c r="O49" i="22" s="1"/>
  <c r="P49" i="22" s="1"/>
  <c r="Q49" i="22" s="1"/>
  <c r="R49" i="22" s="1"/>
  <c r="E49" i="22"/>
  <c r="K49" i="23"/>
  <c r="L49" i="23" s="1"/>
  <c r="M49" i="23" s="1"/>
  <c r="N49" i="23" s="1"/>
  <c r="O49" i="23" s="1"/>
  <c r="P49" i="23" s="1"/>
  <c r="Q49" i="23" s="1"/>
  <c r="R49" i="23" s="1"/>
  <c r="G49" i="23"/>
  <c r="H49" i="23" s="1"/>
  <c r="I49" i="23" s="1"/>
  <c r="J49" i="23" s="1"/>
  <c r="F49" i="23"/>
  <c r="E49" i="23"/>
  <c r="E51" i="21"/>
  <c r="F51" i="21" s="1"/>
  <c r="G51" i="21" s="1"/>
  <c r="H51" i="21" s="1"/>
  <c r="I51" i="21" s="1"/>
  <c r="J51" i="21" s="1"/>
  <c r="K51" i="21" s="1"/>
  <c r="L51" i="21" s="1"/>
  <c r="M51" i="21" s="1"/>
  <c r="N51" i="21" s="1"/>
  <c r="O51" i="21" s="1"/>
  <c r="P51" i="21" s="1"/>
  <c r="Q51" i="21" s="1"/>
  <c r="R51" i="21" s="1"/>
  <c r="F50" i="21"/>
  <c r="G50" i="21" s="1"/>
  <c r="H50" i="21" s="1"/>
  <c r="I50" i="21" s="1"/>
  <c r="J50" i="21" s="1"/>
  <c r="K50" i="21" s="1"/>
  <c r="L50" i="21" s="1"/>
  <c r="M50" i="21" s="1"/>
  <c r="N50" i="21" s="1"/>
  <c r="O50" i="21" s="1"/>
  <c r="P50" i="21" s="1"/>
  <c r="Q50" i="21" s="1"/>
  <c r="R50" i="21" s="1"/>
  <c r="E50" i="21"/>
  <c r="E49" i="21"/>
  <c r="F49" i="21" s="1"/>
  <c r="G49" i="21" s="1"/>
  <c r="H49" i="21" s="1"/>
  <c r="I49" i="21" s="1"/>
  <c r="J49" i="21" s="1"/>
  <c r="K49" i="21" s="1"/>
  <c r="L49" i="21" s="1"/>
  <c r="M49" i="21" s="1"/>
  <c r="N49" i="21" s="1"/>
  <c r="O49" i="21" s="1"/>
  <c r="P49" i="21" s="1"/>
  <c r="Q49" i="21" s="1"/>
  <c r="R49" i="21" s="1"/>
  <c r="F48" i="21"/>
  <c r="G48" i="21" s="1"/>
  <c r="H48" i="21" s="1"/>
  <c r="I48" i="21" s="1"/>
  <c r="J48" i="21" s="1"/>
  <c r="K48" i="21" s="1"/>
  <c r="L48" i="21" s="1"/>
  <c r="M48" i="21" s="1"/>
  <c r="N48" i="21" s="1"/>
  <c r="O48" i="21" s="1"/>
  <c r="P48" i="21" s="1"/>
  <c r="Q48" i="21" s="1"/>
  <c r="R48" i="21" s="1"/>
  <c r="E48" i="21"/>
  <c r="H47" i="21"/>
  <c r="I47" i="21" s="1"/>
  <c r="J47" i="21" s="1"/>
  <c r="K47" i="21" s="1"/>
  <c r="L47" i="21" s="1"/>
  <c r="M47" i="21" s="1"/>
  <c r="N47" i="21" s="1"/>
  <c r="O47" i="21" s="1"/>
  <c r="P47" i="21" s="1"/>
  <c r="Q47" i="21" s="1"/>
  <c r="R47" i="21" s="1"/>
  <c r="G47" i="21"/>
  <c r="F47" i="21"/>
  <c r="E47" i="21"/>
  <c r="D50" i="21"/>
  <c r="D51" i="23"/>
  <c r="E51" i="23" s="1"/>
  <c r="F51" i="23" s="1"/>
  <c r="G51" i="23" s="1"/>
  <c r="H51" i="23" s="1"/>
  <c r="D51" i="21"/>
  <c r="D48" i="21"/>
  <c r="D47" i="23"/>
  <c r="E47" i="23" s="1"/>
  <c r="F47" i="23" s="1"/>
  <c r="G47" i="23" s="1"/>
  <c r="H47" i="23" s="1"/>
  <c r="I47" i="23" s="1"/>
  <c r="J47" i="23" s="1"/>
  <c r="K47" i="23" s="1"/>
  <c r="L47" i="23" s="1"/>
  <c r="M47" i="23" s="1"/>
  <c r="N47" i="23" s="1"/>
  <c r="O47" i="23" s="1"/>
  <c r="P47" i="23" s="1"/>
  <c r="Q47" i="23" s="1"/>
  <c r="R47" i="23" s="1"/>
  <c r="D47" i="21"/>
  <c r="D28" i="23"/>
  <c r="E28" i="23" s="1"/>
  <c r="F28" i="23" s="1"/>
  <c r="G28" i="23" s="1"/>
  <c r="H28" i="23" s="1"/>
  <c r="I28" i="23" s="1"/>
  <c r="J28" i="23" s="1"/>
  <c r="K28" i="23" s="1"/>
  <c r="L28" i="23" s="1"/>
  <c r="M28" i="23" s="1"/>
  <c r="N28" i="23" s="1"/>
  <c r="O28" i="23" s="1"/>
  <c r="P28" i="23" s="1"/>
  <c r="Q28" i="23" s="1"/>
  <c r="R28" i="23" s="1"/>
  <c r="D29" i="23"/>
  <c r="E29" i="23" s="1"/>
  <c r="F29" i="23" s="1"/>
  <c r="G29" i="23" s="1"/>
  <c r="H29" i="23" s="1"/>
  <c r="I29" i="23" s="1"/>
  <c r="J29" i="23" s="1"/>
  <c r="K29" i="23" s="1"/>
  <c r="L29" i="23" s="1"/>
  <c r="M29" i="23" s="1"/>
  <c r="N29" i="23" s="1"/>
  <c r="O29" i="23" s="1"/>
  <c r="P29" i="23" s="1"/>
  <c r="Q29" i="23" s="1"/>
  <c r="R29" i="23" s="1"/>
  <c r="D31" i="23"/>
  <c r="E31" i="23" s="1"/>
  <c r="F31" i="23" s="1"/>
  <c r="G31" i="23" s="1"/>
  <c r="H31" i="23" s="1"/>
  <c r="I31" i="23" s="1"/>
  <c r="J31" i="23" s="1"/>
  <c r="K31" i="23" s="1"/>
  <c r="L31" i="23" s="1"/>
  <c r="M31" i="23" s="1"/>
  <c r="N31" i="23" s="1"/>
  <c r="O31" i="23" s="1"/>
  <c r="P31" i="23" s="1"/>
  <c r="Q31" i="23" s="1"/>
  <c r="R31" i="23" s="1"/>
  <c r="D32" i="23"/>
  <c r="E32" i="23" s="1"/>
  <c r="F32" i="23" s="1"/>
  <c r="G32" i="23" s="1"/>
  <c r="H32" i="23" s="1"/>
  <c r="I32" i="23" s="1"/>
  <c r="J32" i="23" s="1"/>
  <c r="K32" i="23" s="1"/>
  <c r="L32" i="23" s="1"/>
  <c r="M32" i="23" s="1"/>
  <c r="N32" i="23" s="1"/>
  <c r="O32" i="23" s="1"/>
  <c r="P32" i="23" s="1"/>
  <c r="Q32" i="23" s="1"/>
  <c r="R32" i="23" s="1"/>
  <c r="D28" i="22"/>
  <c r="E28" i="22" s="1"/>
  <c r="F28" i="22" s="1"/>
  <c r="G28" i="22" s="1"/>
  <c r="H28" i="22" s="1"/>
  <c r="I28" i="22" s="1"/>
  <c r="J28" i="22" s="1"/>
  <c r="K28" i="22" s="1"/>
  <c r="L28" i="22" s="1"/>
  <c r="M28" i="22" s="1"/>
  <c r="N28" i="22" s="1"/>
  <c r="O28" i="22" s="1"/>
  <c r="P28" i="22" s="1"/>
  <c r="Q28" i="22" s="1"/>
  <c r="R28" i="22" s="1"/>
  <c r="D29" i="22"/>
  <c r="E29" i="22" s="1"/>
  <c r="F29" i="22" s="1"/>
  <c r="G29" i="22" s="1"/>
  <c r="H29" i="22" s="1"/>
  <c r="I29" i="22" s="1"/>
  <c r="J29" i="22" s="1"/>
  <c r="K29" i="22" s="1"/>
  <c r="L29" i="22" s="1"/>
  <c r="M29" i="22" s="1"/>
  <c r="N29" i="22" s="1"/>
  <c r="O29" i="22" s="1"/>
  <c r="P29" i="22" s="1"/>
  <c r="Q29" i="22" s="1"/>
  <c r="R29" i="22" s="1"/>
  <c r="D31" i="22"/>
  <c r="E31" i="22" s="1"/>
  <c r="F31" i="22" s="1"/>
  <c r="G31" i="22" s="1"/>
  <c r="H31" i="22" s="1"/>
  <c r="I31" i="22" s="1"/>
  <c r="J31" i="22" s="1"/>
  <c r="K31" i="22" s="1"/>
  <c r="L31" i="22" s="1"/>
  <c r="M31" i="22" s="1"/>
  <c r="N31" i="22" s="1"/>
  <c r="O31" i="22" s="1"/>
  <c r="P31" i="22" s="1"/>
  <c r="Q31" i="22" s="1"/>
  <c r="R31" i="22" s="1"/>
  <c r="D32" i="22"/>
  <c r="E32" i="22" s="1"/>
  <c r="F32" i="22" s="1"/>
  <c r="G32" i="22" s="1"/>
  <c r="H32" i="22" s="1"/>
  <c r="I32" i="22" s="1"/>
  <c r="J32" i="22" s="1"/>
  <c r="K32" i="22" s="1"/>
  <c r="L32" i="22" s="1"/>
  <c r="M32" i="22" s="1"/>
  <c r="N32" i="22" s="1"/>
  <c r="O32" i="22" s="1"/>
  <c r="P32" i="22" s="1"/>
  <c r="Q32" i="22" s="1"/>
  <c r="R32" i="22" s="1"/>
  <c r="D28" i="21"/>
  <c r="E28" i="21" s="1"/>
  <c r="F28" i="21" s="1"/>
  <c r="G28" i="21" s="1"/>
  <c r="H28" i="21" s="1"/>
  <c r="I28" i="21" s="1"/>
  <c r="J28" i="21" s="1"/>
  <c r="K28" i="21" s="1"/>
  <c r="L28" i="21" s="1"/>
  <c r="M28" i="21" s="1"/>
  <c r="N28" i="21" s="1"/>
  <c r="O28" i="21" s="1"/>
  <c r="P28" i="21" s="1"/>
  <c r="Q28" i="21" s="1"/>
  <c r="R28" i="21" s="1"/>
  <c r="D29" i="21"/>
  <c r="E29" i="21"/>
  <c r="F29" i="21" s="1"/>
  <c r="G29" i="21" s="1"/>
  <c r="H29" i="21" s="1"/>
  <c r="I29" i="21" s="1"/>
  <c r="J29" i="21" s="1"/>
  <c r="K29" i="21" s="1"/>
  <c r="L29" i="21" s="1"/>
  <c r="M29" i="21" s="1"/>
  <c r="N29" i="21" s="1"/>
  <c r="O29" i="21" s="1"/>
  <c r="P29" i="21" s="1"/>
  <c r="Q29" i="21" s="1"/>
  <c r="R29" i="21" s="1"/>
  <c r="D31" i="21"/>
  <c r="E31" i="21"/>
  <c r="F31" i="21" s="1"/>
  <c r="G31" i="21" s="1"/>
  <c r="H31" i="21" s="1"/>
  <c r="I31" i="21" s="1"/>
  <c r="J31" i="21" s="1"/>
  <c r="K31" i="21" s="1"/>
  <c r="L31" i="21" s="1"/>
  <c r="M31" i="21" s="1"/>
  <c r="N31" i="21" s="1"/>
  <c r="O31" i="21" s="1"/>
  <c r="P31" i="21" s="1"/>
  <c r="Q31" i="21" s="1"/>
  <c r="R31" i="21" s="1"/>
  <c r="D32" i="21"/>
  <c r="E32" i="21"/>
  <c r="F32" i="21"/>
  <c r="G32" i="21"/>
  <c r="H32" i="21" s="1"/>
  <c r="I32" i="21" s="1"/>
  <c r="J32" i="21"/>
  <c r="K32" i="21" s="1"/>
  <c r="L32" i="21" s="1"/>
  <c r="M32" i="21" s="1"/>
  <c r="N32" i="21" s="1"/>
  <c r="O32" i="21" s="1"/>
  <c r="P32" i="21" s="1"/>
  <c r="Q32" i="21" s="1"/>
  <c r="R32" i="21" s="1"/>
  <c r="D18" i="23"/>
  <c r="E18" i="23" s="1"/>
  <c r="F18" i="23" s="1"/>
  <c r="G18" i="23" s="1"/>
  <c r="H18" i="23" s="1"/>
  <c r="I18" i="23" s="1"/>
  <c r="J18" i="23" s="1"/>
  <c r="K18" i="23" s="1"/>
  <c r="L18" i="23" s="1"/>
  <c r="M18" i="23" s="1"/>
  <c r="N18" i="23" s="1"/>
  <c r="O18" i="23" s="1"/>
  <c r="P18" i="23" s="1"/>
  <c r="Q18" i="23" s="1"/>
  <c r="R18" i="23" s="1"/>
  <c r="D19" i="23"/>
  <c r="E19" i="23" s="1"/>
  <c r="F19" i="23" s="1"/>
  <c r="G19" i="23" s="1"/>
  <c r="H19" i="23" s="1"/>
  <c r="I19" i="23" s="1"/>
  <c r="J19" i="23" s="1"/>
  <c r="K19" i="23" s="1"/>
  <c r="L19" i="23" s="1"/>
  <c r="M19" i="23" s="1"/>
  <c r="N19" i="23" s="1"/>
  <c r="O19" i="23" s="1"/>
  <c r="P19" i="23" s="1"/>
  <c r="Q19" i="23" s="1"/>
  <c r="R19" i="23" s="1"/>
  <c r="D21" i="23"/>
  <c r="E21" i="23"/>
  <c r="F21" i="23" s="1"/>
  <c r="G21" i="23" s="1"/>
  <c r="H21" i="23" s="1"/>
  <c r="I21" i="23" s="1"/>
  <c r="J21" i="23" s="1"/>
  <c r="K21" i="23" s="1"/>
  <c r="L21" i="23" s="1"/>
  <c r="M21" i="23" s="1"/>
  <c r="N21" i="23" s="1"/>
  <c r="O21" i="23" s="1"/>
  <c r="P21" i="23" s="1"/>
  <c r="Q21" i="23" s="1"/>
  <c r="R21" i="23" s="1"/>
  <c r="D22" i="23"/>
  <c r="E22" i="23" s="1"/>
  <c r="F22" i="23" s="1"/>
  <c r="G22" i="23" s="1"/>
  <c r="H22" i="23" s="1"/>
  <c r="I22" i="23" s="1"/>
  <c r="J22" i="23" s="1"/>
  <c r="K22" i="23" s="1"/>
  <c r="L22" i="23" s="1"/>
  <c r="M22" i="23" s="1"/>
  <c r="N22" i="23" s="1"/>
  <c r="O22" i="23" s="1"/>
  <c r="P22" i="23" s="1"/>
  <c r="Q22" i="23" s="1"/>
  <c r="R22" i="23" s="1"/>
  <c r="D18" i="22"/>
  <c r="E18" i="22" s="1"/>
  <c r="F18" i="22" s="1"/>
  <c r="G18" i="22" s="1"/>
  <c r="H18" i="22" s="1"/>
  <c r="I18" i="22" s="1"/>
  <c r="J18" i="22" s="1"/>
  <c r="K18" i="22" s="1"/>
  <c r="L18" i="22" s="1"/>
  <c r="M18" i="22" s="1"/>
  <c r="N18" i="22" s="1"/>
  <c r="O18" i="22" s="1"/>
  <c r="P18" i="22" s="1"/>
  <c r="Q18" i="22" s="1"/>
  <c r="R18" i="22" s="1"/>
  <c r="D19" i="22"/>
  <c r="E19" i="22" s="1"/>
  <c r="F19" i="22" s="1"/>
  <c r="G19" i="22" s="1"/>
  <c r="H19" i="22"/>
  <c r="I19" i="22" s="1"/>
  <c r="J19" i="22" s="1"/>
  <c r="K19" i="22" s="1"/>
  <c r="L19" i="22" s="1"/>
  <c r="M19" i="22" s="1"/>
  <c r="N19" i="22" s="1"/>
  <c r="O19" i="22" s="1"/>
  <c r="P19" i="22" s="1"/>
  <c r="Q19" i="22" s="1"/>
  <c r="R19" i="22" s="1"/>
  <c r="D21" i="22"/>
  <c r="E21" i="22" s="1"/>
  <c r="F21" i="22" s="1"/>
  <c r="G21" i="22" s="1"/>
  <c r="H21" i="22" s="1"/>
  <c r="I21" i="22" s="1"/>
  <c r="J21" i="22" s="1"/>
  <c r="K21" i="22" s="1"/>
  <c r="L21" i="22" s="1"/>
  <c r="M21" i="22" s="1"/>
  <c r="N21" i="22" s="1"/>
  <c r="O21" i="22" s="1"/>
  <c r="P21" i="22" s="1"/>
  <c r="Q21" i="22" s="1"/>
  <c r="R21" i="22" s="1"/>
  <c r="D22" i="22"/>
  <c r="E22" i="22" s="1"/>
  <c r="F22" i="22"/>
  <c r="G22" i="22" s="1"/>
  <c r="H22" i="22" s="1"/>
  <c r="I22" i="22" s="1"/>
  <c r="J22" i="22" s="1"/>
  <c r="K22" i="22" s="1"/>
  <c r="L22" i="22" s="1"/>
  <c r="M22" i="22" s="1"/>
  <c r="N22" i="22" s="1"/>
  <c r="O22" i="22" s="1"/>
  <c r="P22" i="22" s="1"/>
  <c r="Q22" i="22" s="1"/>
  <c r="R22" i="22" s="1"/>
  <c r="D18" i="21"/>
  <c r="E18" i="21" s="1"/>
  <c r="F18" i="21" s="1"/>
  <c r="G18" i="21" s="1"/>
  <c r="H18" i="21" s="1"/>
  <c r="I18" i="21" s="1"/>
  <c r="J18" i="21" s="1"/>
  <c r="K18" i="21" s="1"/>
  <c r="L18" i="21" s="1"/>
  <c r="M18" i="21" s="1"/>
  <c r="N18" i="21" s="1"/>
  <c r="O18" i="21" s="1"/>
  <c r="P18" i="21" s="1"/>
  <c r="Q18" i="21" s="1"/>
  <c r="R18" i="21" s="1"/>
  <c r="D19" i="21"/>
  <c r="E19" i="21" s="1"/>
  <c r="F19" i="21" s="1"/>
  <c r="G19" i="21" s="1"/>
  <c r="H19" i="21"/>
  <c r="I19" i="21" s="1"/>
  <c r="J19" i="21" s="1"/>
  <c r="K19" i="21" s="1"/>
  <c r="L19" i="21" s="1"/>
  <c r="M19" i="21" s="1"/>
  <c r="N19" i="21" s="1"/>
  <c r="O19" i="21" s="1"/>
  <c r="P19" i="21" s="1"/>
  <c r="Q19" i="21" s="1"/>
  <c r="R19" i="21" s="1"/>
  <c r="D21" i="21"/>
  <c r="E21" i="21"/>
  <c r="F21" i="21" s="1"/>
  <c r="G21" i="21" s="1"/>
  <c r="H21" i="21" s="1"/>
  <c r="I21" i="21" s="1"/>
  <c r="J21" i="21" s="1"/>
  <c r="K21" i="21" s="1"/>
  <c r="L21" i="21" s="1"/>
  <c r="M21" i="21" s="1"/>
  <c r="N21" i="21" s="1"/>
  <c r="O21" i="21" s="1"/>
  <c r="P21" i="21" s="1"/>
  <c r="Q21" i="21" s="1"/>
  <c r="R21" i="21" s="1"/>
  <c r="D22" i="21"/>
  <c r="E22" i="21" s="1"/>
  <c r="F22" i="21" s="1"/>
  <c r="G22" i="21" s="1"/>
  <c r="H22" i="21" s="1"/>
  <c r="I22" i="21" s="1"/>
  <c r="J22" i="21" s="1"/>
  <c r="K22" i="21" s="1"/>
  <c r="L22" i="21" s="1"/>
  <c r="M22" i="21" s="1"/>
  <c r="N22" i="21" s="1"/>
  <c r="O22" i="21" s="1"/>
  <c r="P22" i="21" s="1"/>
  <c r="Q22" i="21" s="1"/>
  <c r="R22" i="21" s="1"/>
  <c r="D37" i="23"/>
  <c r="E37" i="23" s="1"/>
  <c r="F37" i="23" s="1"/>
  <c r="G37" i="23" s="1"/>
  <c r="H37" i="23" s="1"/>
  <c r="I37" i="23" s="1"/>
  <c r="J37" i="23" s="1"/>
  <c r="K37" i="23" s="1"/>
  <c r="L37" i="23" s="1"/>
  <c r="M37" i="23" s="1"/>
  <c r="N37" i="23" s="1"/>
  <c r="O37" i="23" s="1"/>
  <c r="P37" i="23" s="1"/>
  <c r="Q37" i="23" s="1"/>
  <c r="R37" i="23" s="1"/>
  <c r="D38" i="23"/>
  <c r="E38" i="23" s="1"/>
  <c r="D40" i="23"/>
  <c r="E40" i="23" s="1"/>
  <c r="D41" i="23"/>
  <c r="E41" i="23" s="1"/>
  <c r="F41" i="23" s="1"/>
  <c r="G41" i="23" s="1"/>
  <c r="H41" i="23" s="1"/>
  <c r="D37" i="21"/>
  <c r="E37" i="21" s="1"/>
  <c r="F37" i="21" s="1"/>
  <c r="G37" i="21" s="1"/>
  <c r="H37" i="21" s="1"/>
  <c r="D38" i="21"/>
  <c r="E38" i="21" s="1"/>
  <c r="D40" i="21"/>
  <c r="E40" i="21" s="1"/>
  <c r="F40" i="21" s="1"/>
  <c r="G40" i="21" s="1"/>
  <c r="H40" i="21" s="1"/>
  <c r="I40" i="21" s="1"/>
  <c r="J40" i="21" s="1"/>
  <c r="K40" i="21" s="1"/>
  <c r="L40" i="21" s="1"/>
  <c r="M40" i="21" s="1"/>
  <c r="N40" i="21" s="1"/>
  <c r="O40" i="21" s="1"/>
  <c r="P40" i="21" s="1"/>
  <c r="Q40" i="21" s="1"/>
  <c r="R40" i="21" s="1"/>
  <c r="D41" i="21"/>
  <c r="E41" i="21" s="1"/>
  <c r="F41" i="21" s="1"/>
  <c r="G41" i="21" s="1"/>
  <c r="H41" i="21" s="1"/>
  <c r="I41" i="21" s="1"/>
  <c r="J41" i="21" s="1"/>
  <c r="K41" i="21" s="1"/>
  <c r="L41" i="21" s="1"/>
  <c r="M41" i="21" s="1"/>
  <c r="N41" i="21" s="1"/>
  <c r="O41" i="21" s="1"/>
  <c r="P41" i="21" s="1"/>
  <c r="Q41" i="21" s="1"/>
  <c r="R41" i="21" s="1"/>
  <c r="D37" i="22"/>
  <c r="E37" i="22" s="1"/>
  <c r="F37" i="22" s="1"/>
  <c r="G37" i="22" s="1"/>
  <c r="H37" i="22" s="1"/>
  <c r="I37" i="22" s="1"/>
  <c r="J37" i="22" s="1"/>
  <c r="K37" i="22" s="1"/>
  <c r="L37" i="22" s="1"/>
  <c r="M37" i="22" s="1"/>
  <c r="N37" i="22" s="1"/>
  <c r="O37" i="22" s="1"/>
  <c r="P37" i="22" s="1"/>
  <c r="Q37" i="22" s="1"/>
  <c r="R37" i="22" s="1"/>
  <c r="D38" i="22"/>
  <c r="E38" i="22" s="1"/>
  <c r="D40" i="22"/>
  <c r="E40" i="22" s="1"/>
  <c r="F40" i="22" s="1"/>
  <c r="G40" i="22" s="1"/>
  <c r="H40" i="22" s="1"/>
  <c r="I40" i="22" s="1"/>
  <c r="J40" i="22" s="1"/>
  <c r="K40" i="22" s="1"/>
  <c r="L40" i="22" s="1"/>
  <c r="M40" i="22" s="1"/>
  <c r="N40" i="22" s="1"/>
  <c r="O40" i="22" s="1"/>
  <c r="P40" i="22" s="1"/>
  <c r="Q40" i="22" s="1"/>
  <c r="R40" i="22" s="1"/>
  <c r="D41" i="22"/>
  <c r="E41" i="22" s="1"/>
  <c r="F41" i="22" s="1"/>
  <c r="G41" i="22" s="1"/>
  <c r="H41" i="22" s="1"/>
  <c r="I41" i="22" s="1"/>
  <c r="J41" i="22" s="1"/>
  <c r="K41" i="22" s="1"/>
  <c r="L41" i="22" s="1"/>
  <c r="M41" i="22" s="1"/>
  <c r="N41" i="22" s="1"/>
  <c r="O41" i="22" s="1"/>
  <c r="P41" i="22" s="1"/>
  <c r="Q41" i="22" s="1"/>
  <c r="R41" i="22" s="1"/>
  <c r="B14" i="20" l="1"/>
  <c r="B16" i="20"/>
  <c r="B24" i="20"/>
  <c r="B28" i="20"/>
  <c r="B30" i="20"/>
  <c r="B39" i="20"/>
  <c r="C14" i="20"/>
  <c r="C16" i="20"/>
  <c r="C24" i="20"/>
  <c r="C28" i="20"/>
  <c r="C30" i="20"/>
  <c r="B38" i="20"/>
  <c r="C39" i="20"/>
  <c r="D42" i="20"/>
  <c r="B44" i="20"/>
  <c r="D14" i="20"/>
  <c r="B15" i="20"/>
  <c r="D16" i="20"/>
  <c r="B23" i="20"/>
  <c r="D24" i="20"/>
  <c r="B25" i="20"/>
  <c r="D28" i="20"/>
  <c r="B29" i="20"/>
  <c r="D30" i="20"/>
  <c r="B37" i="20"/>
  <c r="C38" i="20"/>
  <c r="B10" i="20"/>
  <c r="D11" i="20"/>
  <c r="D48" i="23"/>
  <c r="E48" i="23" s="1"/>
  <c r="D50" i="23"/>
  <c r="E50" i="23" s="1"/>
  <c r="D50" i="22"/>
  <c r="E50" i="22" s="1"/>
  <c r="F50" i="22" s="1"/>
  <c r="G50" i="22" s="1"/>
  <c r="H50" i="22" s="1"/>
  <c r="I50" i="22" s="1"/>
  <c r="J50" i="22" s="1"/>
  <c r="K50" i="22" s="1"/>
  <c r="L50" i="22" s="1"/>
  <c r="M50" i="22" s="1"/>
  <c r="N50" i="22" s="1"/>
  <c r="O50" i="22" s="1"/>
  <c r="P50" i="22" s="1"/>
  <c r="Q50" i="22" s="1"/>
  <c r="R50" i="22" s="1"/>
  <c r="D51" i="22"/>
  <c r="E51" i="22" s="1"/>
  <c r="F51" i="22" s="1"/>
  <c r="G51" i="22" s="1"/>
  <c r="H51" i="22" s="1"/>
  <c r="I51" i="22" s="1"/>
  <c r="J51" i="22" s="1"/>
  <c r="K51" i="22" s="1"/>
  <c r="L51" i="22" s="1"/>
  <c r="M51" i="22" s="1"/>
  <c r="N51" i="22" s="1"/>
  <c r="O51" i="22" s="1"/>
  <c r="P51" i="22" s="1"/>
  <c r="Q51" i="22" s="1"/>
  <c r="R51" i="22" s="1"/>
  <c r="D48" i="22"/>
  <c r="E48" i="22" s="1"/>
  <c r="D47" i="22"/>
  <c r="E47" i="22" s="1"/>
  <c r="F47" i="22" s="1"/>
  <c r="G47" i="22" s="1"/>
  <c r="H47" i="22" s="1"/>
  <c r="I47" i="22" s="1"/>
  <c r="J47" i="22" s="1"/>
  <c r="K47" i="22" s="1"/>
  <c r="L47" i="22" s="1"/>
  <c r="M47" i="22" s="1"/>
  <c r="N47" i="22" s="1"/>
  <c r="O47" i="22" s="1"/>
  <c r="P47" i="22" s="1"/>
  <c r="Q47" i="22" s="1"/>
  <c r="R47" i="22" s="1"/>
  <c r="I41" i="23"/>
  <c r="J41" i="23" s="1"/>
  <c r="K41" i="23" s="1"/>
  <c r="L41" i="23" s="1"/>
  <c r="M41" i="23" s="1"/>
  <c r="N41" i="23" s="1"/>
  <c r="O41" i="23" s="1"/>
  <c r="P41" i="23" s="1"/>
  <c r="Q41" i="23" s="1"/>
  <c r="R41" i="23" s="1"/>
  <c r="F38" i="23"/>
  <c r="G38" i="23" s="1"/>
  <c r="H38" i="23" s="1"/>
  <c r="I38" i="23" s="1"/>
  <c r="J38" i="23" s="1"/>
  <c r="K38" i="23" s="1"/>
  <c r="L38" i="23" s="1"/>
  <c r="M38" i="23" s="1"/>
  <c r="N38" i="23" s="1"/>
  <c r="O38" i="23" s="1"/>
  <c r="P38" i="23" s="1"/>
  <c r="Q38" i="23" s="1"/>
  <c r="R38" i="23" s="1"/>
  <c r="F40" i="23"/>
  <c r="G40" i="23" s="1"/>
  <c r="H40" i="23" s="1"/>
  <c r="I40" i="23" s="1"/>
  <c r="J40" i="23" s="1"/>
  <c r="K40" i="23" s="1"/>
  <c r="L40" i="23" s="1"/>
  <c r="M40" i="23" s="1"/>
  <c r="N40" i="23" s="1"/>
  <c r="O40" i="23" s="1"/>
  <c r="P40" i="23" s="1"/>
  <c r="Q40" i="23" s="1"/>
  <c r="R40" i="23" s="1"/>
  <c r="I37" i="21"/>
  <c r="J37" i="21" s="1"/>
  <c r="K37" i="21" s="1"/>
  <c r="L37" i="21" s="1"/>
  <c r="M37" i="21" s="1"/>
  <c r="N37" i="21" s="1"/>
  <c r="O37" i="21" s="1"/>
  <c r="P37" i="21" s="1"/>
  <c r="Q37" i="21" s="1"/>
  <c r="R37" i="21" s="1"/>
  <c r="F38" i="21"/>
  <c r="G38" i="21" s="1"/>
  <c r="H38" i="21" s="1"/>
  <c r="I38" i="21" s="1"/>
  <c r="J38" i="21" s="1"/>
  <c r="K38" i="21" s="1"/>
  <c r="L38" i="21" s="1"/>
  <c r="M38" i="21" s="1"/>
  <c r="N38" i="21" s="1"/>
  <c r="O38" i="21" s="1"/>
  <c r="P38" i="21" s="1"/>
  <c r="Q38" i="21" s="1"/>
  <c r="R38" i="21" s="1"/>
  <c r="F38" i="22"/>
  <c r="G38" i="22" s="1"/>
  <c r="H38" i="22" s="1"/>
  <c r="I38" i="22" s="1"/>
  <c r="J38" i="22" s="1"/>
  <c r="K38" i="22" s="1"/>
  <c r="L38" i="22" s="1"/>
  <c r="M38" i="22" s="1"/>
  <c r="N38" i="22" s="1"/>
  <c r="O38" i="22" s="1"/>
  <c r="P38" i="22" s="1"/>
  <c r="Q38" i="22" s="1"/>
  <c r="R38" i="22" s="1"/>
  <c r="I51" i="23" l="1"/>
  <c r="J51" i="23" s="1"/>
  <c r="K51" i="23" s="1"/>
  <c r="L51" i="23" s="1"/>
  <c r="M51" i="23" s="1"/>
  <c r="N51" i="23" s="1"/>
  <c r="O51" i="23" s="1"/>
  <c r="P51" i="23" s="1"/>
  <c r="Q51" i="23" s="1"/>
  <c r="R51" i="23" s="1"/>
  <c r="F50" i="23"/>
  <c r="G50" i="23" s="1"/>
  <c r="H50" i="23" s="1"/>
  <c r="I50" i="23" s="1"/>
  <c r="J50" i="23" s="1"/>
  <c r="K50" i="23" s="1"/>
  <c r="L50" i="23" s="1"/>
  <c r="M50" i="23" s="1"/>
  <c r="N50" i="23" s="1"/>
  <c r="O50" i="23" s="1"/>
  <c r="P50" i="23" s="1"/>
  <c r="Q50" i="23" s="1"/>
  <c r="R50" i="23" s="1"/>
  <c r="F48" i="23"/>
  <c r="G48" i="23" s="1"/>
  <c r="H48" i="23" s="1"/>
  <c r="I48" i="23" s="1"/>
  <c r="J48" i="23" s="1"/>
  <c r="K48" i="23" s="1"/>
  <c r="L48" i="23" s="1"/>
  <c r="M48" i="23" s="1"/>
  <c r="N48" i="23" s="1"/>
  <c r="O48" i="23" s="1"/>
  <c r="P48" i="23" s="1"/>
  <c r="Q48" i="23" s="1"/>
  <c r="R48" i="23" s="1"/>
  <c r="F48" i="22"/>
  <c r="G48" i="22" s="1"/>
  <c r="H48" i="22" s="1"/>
  <c r="I48" i="22" s="1"/>
  <c r="J48" i="22" s="1"/>
  <c r="K48" i="22" s="1"/>
  <c r="L48" i="22" s="1"/>
  <c r="M48" i="22" s="1"/>
  <c r="N48" i="22" s="1"/>
  <c r="O48" i="22" s="1"/>
  <c r="P48" i="22" s="1"/>
  <c r="Q48" i="22" s="1"/>
  <c r="R48" i="22" s="1"/>
  <c r="C5" i="19" l="1"/>
  <c r="C4" i="19"/>
  <c r="C1" i="23"/>
  <c r="C1" i="22"/>
  <c r="C1" i="21"/>
  <c r="C1" i="20"/>
  <c r="K84" i="11" l="1"/>
  <c r="S84" i="11"/>
  <c r="H25" i="13"/>
  <c r="U55" i="11"/>
  <c r="Q55" i="11"/>
  <c r="U7" i="11"/>
  <c r="U4" i="11"/>
  <c r="V4" i="11"/>
  <c r="U5" i="11"/>
  <c r="V5" i="11"/>
  <c r="U6" i="11"/>
  <c r="V6" i="11"/>
  <c r="V7" i="11"/>
  <c r="U8" i="11"/>
  <c r="V8" i="11"/>
  <c r="U9" i="11"/>
  <c r="V9" i="11"/>
  <c r="U10" i="11"/>
  <c r="V10" i="11"/>
  <c r="U11" i="11"/>
  <c r="V11" i="11"/>
  <c r="U12" i="11"/>
  <c r="V12" i="11"/>
  <c r="U13" i="11"/>
  <c r="V13" i="11"/>
  <c r="U14" i="11"/>
  <c r="V14" i="11"/>
  <c r="U15" i="11"/>
  <c r="V15" i="11"/>
  <c r="U16" i="11"/>
  <c r="V16" i="11"/>
  <c r="U17" i="11"/>
  <c r="V17" i="11"/>
  <c r="U18" i="11"/>
  <c r="V18" i="11"/>
  <c r="U19" i="11"/>
  <c r="V19" i="11"/>
  <c r="U20" i="11"/>
  <c r="V20" i="11"/>
  <c r="U21" i="11"/>
  <c r="V21" i="11"/>
  <c r="U22" i="11"/>
  <c r="V22" i="11"/>
  <c r="U23" i="11"/>
  <c r="V23" i="11"/>
  <c r="U24" i="11"/>
  <c r="V24" i="11"/>
  <c r="U25" i="11"/>
  <c r="V25" i="11"/>
  <c r="U26" i="11"/>
  <c r="V26" i="11"/>
  <c r="U27" i="11"/>
  <c r="V27" i="11"/>
  <c r="U28" i="11"/>
  <c r="V28" i="11"/>
  <c r="U29" i="11"/>
  <c r="V29" i="11"/>
  <c r="U30" i="11"/>
  <c r="V30" i="11"/>
  <c r="U31" i="11"/>
  <c r="V31" i="11"/>
  <c r="U32" i="11"/>
  <c r="V32" i="11"/>
  <c r="U33" i="11"/>
  <c r="V33" i="11"/>
  <c r="U34" i="11"/>
  <c r="V34" i="11"/>
  <c r="U35" i="11"/>
  <c r="V35" i="11"/>
  <c r="U36" i="11"/>
  <c r="V36" i="11"/>
  <c r="U37" i="11"/>
  <c r="V37" i="11"/>
  <c r="U38" i="11"/>
  <c r="V38" i="11"/>
  <c r="U39" i="11"/>
  <c r="V39" i="11"/>
  <c r="U40" i="11"/>
  <c r="V40" i="11"/>
  <c r="U41" i="11"/>
  <c r="V41" i="11"/>
  <c r="U42" i="11"/>
  <c r="V42" i="11"/>
  <c r="U43" i="11"/>
  <c r="V43" i="11"/>
  <c r="U44" i="11"/>
  <c r="V44" i="11"/>
  <c r="U45" i="11"/>
  <c r="V45" i="11"/>
  <c r="U46" i="11"/>
  <c r="V46" i="11"/>
  <c r="U47" i="11"/>
  <c r="V47" i="11"/>
  <c r="U48" i="11"/>
  <c r="V48" i="11"/>
  <c r="U49" i="11"/>
  <c r="V49" i="11"/>
  <c r="U50" i="11"/>
  <c r="V50" i="11"/>
  <c r="U51" i="11"/>
  <c r="V51" i="11"/>
  <c r="U52" i="11"/>
  <c r="V52" i="11"/>
  <c r="U53" i="11"/>
  <c r="V53" i="11"/>
  <c r="U54" i="11"/>
  <c r="V54" i="11"/>
  <c r="U56" i="11"/>
  <c r="V56" i="11"/>
  <c r="U57" i="11"/>
  <c r="V57" i="11"/>
  <c r="U58" i="11"/>
  <c r="V58" i="11"/>
  <c r="U59" i="11"/>
  <c r="V59" i="11"/>
  <c r="U60" i="11"/>
  <c r="V60" i="11"/>
  <c r="U61" i="11"/>
  <c r="V61" i="11"/>
  <c r="U62" i="11"/>
  <c r="V62" i="11"/>
  <c r="U63" i="11"/>
  <c r="V63" i="11"/>
  <c r="U64" i="11"/>
  <c r="V64" i="11"/>
  <c r="U65" i="11"/>
  <c r="V65" i="11"/>
  <c r="U66" i="11"/>
  <c r="V66" i="11"/>
  <c r="U67" i="11"/>
  <c r="V67" i="11"/>
  <c r="U68" i="11"/>
  <c r="V68" i="11"/>
  <c r="U69" i="11"/>
  <c r="V69" i="11"/>
  <c r="U70" i="11"/>
  <c r="V70" i="11"/>
  <c r="U71" i="11"/>
  <c r="V71" i="11"/>
  <c r="U72" i="11"/>
  <c r="V72" i="11"/>
  <c r="U73" i="11"/>
  <c r="V73" i="11"/>
  <c r="U74" i="11"/>
  <c r="V74" i="11"/>
  <c r="U75" i="11"/>
  <c r="V75" i="11"/>
  <c r="U76" i="11"/>
  <c r="V76" i="11"/>
  <c r="U77" i="11"/>
  <c r="V77" i="11"/>
  <c r="U78" i="11"/>
  <c r="V78" i="11"/>
  <c r="U79" i="11"/>
  <c r="V79" i="11"/>
  <c r="U80" i="11"/>
  <c r="V80" i="11"/>
  <c r="U81" i="11"/>
  <c r="V81" i="11"/>
  <c r="U82" i="11"/>
  <c r="V82" i="11"/>
  <c r="U83" i="11"/>
  <c r="V83" i="11"/>
  <c r="U84" i="11"/>
  <c r="V84" i="11"/>
  <c r="U85" i="11"/>
  <c r="V85" i="11"/>
  <c r="U86" i="11"/>
  <c r="V86" i="11"/>
  <c r="U87" i="11"/>
  <c r="V87" i="11"/>
  <c r="U88" i="11"/>
  <c r="V88" i="11"/>
  <c r="U89" i="11"/>
  <c r="V89" i="11"/>
  <c r="U91" i="11"/>
  <c r="V91" i="11"/>
  <c r="U92" i="11"/>
  <c r="V92" i="11"/>
  <c r="U93" i="11"/>
  <c r="V93" i="11"/>
  <c r="U94" i="11"/>
  <c r="V94" i="11"/>
  <c r="U95" i="11"/>
  <c r="V95" i="11"/>
  <c r="U96" i="11"/>
  <c r="V96" i="11"/>
  <c r="U97" i="11"/>
  <c r="V97" i="11"/>
  <c r="U98" i="11"/>
  <c r="V98" i="11"/>
  <c r="U99" i="11"/>
  <c r="V99" i="11"/>
  <c r="U100" i="11"/>
  <c r="V100" i="11"/>
  <c r="U101" i="11"/>
  <c r="V101" i="11"/>
  <c r="U102" i="11"/>
  <c r="V102" i="11"/>
  <c r="U103" i="11"/>
  <c r="V103" i="11"/>
  <c r="U104" i="11"/>
  <c r="V104" i="11"/>
  <c r="U105" i="11"/>
  <c r="V105" i="11"/>
  <c r="U106" i="11"/>
  <c r="V106" i="11"/>
  <c r="U107" i="11"/>
  <c r="V107" i="11"/>
  <c r="U108" i="11"/>
  <c r="V108" i="11"/>
  <c r="U109" i="11"/>
  <c r="V109" i="11"/>
  <c r="U110" i="11"/>
  <c r="V110" i="11"/>
  <c r="U111" i="11"/>
  <c r="V111" i="11"/>
  <c r="U112" i="11"/>
  <c r="V112" i="11"/>
  <c r="U113" i="11"/>
  <c r="V113" i="11"/>
  <c r="U114" i="11"/>
  <c r="V114" i="11"/>
  <c r="U115" i="11"/>
  <c r="V115" i="11"/>
  <c r="V3" i="11"/>
  <c r="U3" i="11"/>
  <c r="Q4" i="11"/>
  <c r="R4" i="11"/>
  <c r="Q5" i="11"/>
  <c r="R5" i="11"/>
  <c r="Q6" i="11"/>
  <c r="R6" i="11"/>
  <c r="Q7" i="11"/>
  <c r="R7" i="11"/>
  <c r="Q8" i="11"/>
  <c r="R8" i="11"/>
  <c r="Q9" i="11"/>
  <c r="R9" i="11"/>
  <c r="Q10" i="11"/>
  <c r="R10" i="11"/>
  <c r="Q11" i="11"/>
  <c r="R11" i="11"/>
  <c r="Q12" i="11"/>
  <c r="R12" i="11"/>
  <c r="Q13" i="11"/>
  <c r="R13" i="11"/>
  <c r="Q14" i="11"/>
  <c r="R14" i="11"/>
  <c r="Q15" i="11"/>
  <c r="R15" i="11"/>
  <c r="Q16" i="11"/>
  <c r="R16" i="11"/>
  <c r="Q17" i="11"/>
  <c r="R17" i="11"/>
  <c r="Q18" i="11"/>
  <c r="R18" i="11"/>
  <c r="Q19" i="11"/>
  <c r="R19" i="11"/>
  <c r="Q20" i="11"/>
  <c r="R20" i="11"/>
  <c r="Q21" i="11"/>
  <c r="R21" i="11"/>
  <c r="Q22" i="11"/>
  <c r="R22" i="11"/>
  <c r="Q23" i="11"/>
  <c r="R23" i="11"/>
  <c r="Q24" i="11"/>
  <c r="R24" i="11"/>
  <c r="Q25" i="11"/>
  <c r="R25" i="11"/>
  <c r="Q26" i="11"/>
  <c r="R26" i="11"/>
  <c r="Q27" i="11"/>
  <c r="R27" i="11"/>
  <c r="Q28" i="11"/>
  <c r="R28" i="11"/>
  <c r="Q29" i="11"/>
  <c r="R29" i="11"/>
  <c r="Q30" i="11"/>
  <c r="R30" i="11"/>
  <c r="Q31" i="11"/>
  <c r="R31" i="11"/>
  <c r="Q32" i="11"/>
  <c r="R32" i="11"/>
  <c r="Q33" i="11"/>
  <c r="R33" i="11"/>
  <c r="Q34" i="11"/>
  <c r="R34" i="11"/>
  <c r="Q35" i="11"/>
  <c r="R35" i="11"/>
  <c r="Q36" i="11"/>
  <c r="R36" i="11"/>
  <c r="Q37" i="11"/>
  <c r="R37" i="11"/>
  <c r="Q38" i="11"/>
  <c r="R38" i="11"/>
  <c r="Q39" i="11"/>
  <c r="R39" i="11"/>
  <c r="Q40" i="11"/>
  <c r="R40" i="11"/>
  <c r="Q41" i="11"/>
  <c r="R41" i="11"/>
  <c r="Q42" i="11"/>
  <c r="R42" i="11"/>
  <c r="Q43" i="11"/>
  <c r="R43" i="11"/>
  <c r="Q44" i="11"/>
  <c r="R44" i="11"/>
  <c r="Q45" i="11"/>
  <c r="R45" i="11"/>
  <c r="Q46" i="11"/>
  <c r="R46" i="11"/>
  <c r="Q47" i="11"/>
  <c r="R47" i="11"/>
  <c r="Q48" i="11"/>
  <c r="R48" i="11"/>
  <c r="Q49" i="11"/>
  <c r="R49" i="11"/>
  <c r="Q50" i="11"/>
  <c r="R50" i="11"/>
  <c r="Q51" i="11"/>
  <c r="R51" i="11"/>
  <c r="Q52" i="11"/>
  <c r="R52" i="11"/>
  <c r="Q53" i="11"/>
  <c r="R53" i="11"/>
  <c r="Q54" i="11"/>
  <c r="R54" i="11"/>
  <c r="Q56" i="11"/>
  <c r="R56" i="11"/>
  <c r="Q57" i="11"/>
  <c r="R57" i="11"/>
  <c r="Q58" i="11"/>
  <c r="R58" i="11"/>
  <c r="Q59" i="11"/>
  <c r="R59" i="11"/>
  <c r="Q60" i="11"/>
  <c r="R60" i="11"/>
  <c r="Q61" i="11"/>
  <c r="R61" i="11"/>
  <c r="Q62" i="11"/>
  <c r="R62" i="11"/>
  <c r="Q63" i="11"/>
  <c r="R63" i="11"/>
  <c r="Q64" i="11"/>
  <c r="R64" i="11"/>
  <c r="Q65" i="11"/>
  <c r="R65" i="11"/>
  <c r="Q66" i="11"/>
  <c r="R66" i="11"/>
  <c r="Q67" i="11"/>
  <c r="R67" i="11"/>
  <c r="Q68" i="11"/>
  <c r="R68" i="11"/>
  <c r="Q69" i="11"/>
  <c r="R69" i="11"/>
  <c r="Q70" i="11"/>
  <c r="R70" i="11"/>
  <c r="Q71" i="11"/>
  <c r="R71" i="11"/>
  <c r="Q72" i="11"/>
  <c r="R72" i="11"/>
  <c r="Q73" i="11"/>
  <c r="R73" i="11"/>
  <c r="Q74" i="11"/>
  <c r="R74" i="11"/>
  <c r="Q75" i="11"/>
  <c r="R75" i="11"/>
  <c r="Q76" i="11"/>
  <c r="R76" i="11"/>
  <c r="Q77" i="11"/>
  <c r="R77" i="11"/>
  <c r="Q78" i="11"/>
  <c r="R78" i="11"/>
  <c r="Q79" i="11"/>
  <c r="R79" i="11"/>
  <c r="Q80" i="11"/>
  <c r="R80" i="11"/>
  <c r="Q81" i="11"/>
  <c r="R81" i="11"/>
  <c r="Q82" i="11"/>
  <c r="R82" i="11"/>
  <c r="Q83" i="11"/>
  <c r="R83" i="11"/>
  <c r="Q84" i="11"/>
  <c r="R84" i="11"/>
  <c r="Q85" i="11"/>
  <c r="R85" i="11"/>
  <c r="Q86" i="11"/>
  <c r="R86" i="11"/>
  <c r="Q87" i="11"/>
  <c r="R87" i="11"/>
  <c r="Q88" i="11"/>
  <c r="R88" i="11"/>
  <c r="Q89" i="11"/>
  <c r="R89" i="11"/>
  <c r="Q90" i="11"/>
  <c r="R90" i="11"/>
  <c r="Q91" i="11"/>
  <c r="R91" i="11"/>
  <c r="Q92" i="11"/>
  <c r="R92" i="11"/>
  <c r="Q93" i="11"/>
  <c r="R93" i="11"/>
  <c r="Q94" i="11"/>
  <c r="R94" i="11"/>
  <c r="Q95" i="11"/>
  <c r="R95" i="11"/>
  <c r="Q96" i="11"/>
  <c r="R96" i="11"/>
  <c r="Q97" i="11"/>
  <c r="R97" i="11"/>
  <c r="Q98" i="11"/>
  <c r="R98" i="11"/>
  <c r="Q99" i="11"/>
  <c r="R99" i="11"/>
  <c r="Q100" i="11"/>
  <c r="R100" i="11"/>
  <c r="Q101" i="11"/>
  <c r="R101" i="11"/>
  <c r="Q102" i="11"/>
  <c r="R102" i="11"/>
  <c r="Q103" i="11"/>
  <c r="R103" i="11"/>
  <c r="Q104" i="11"/>
  <c r="R104" i="11"/>
  <c r="Q105" i="11"/>
  <c r="R105" i="11"/>
  <c r="Q106" i="11"/>
  <c r="R106" i="11"/>
  <c r="Q107" i="11"/>
  <c r="R107" i="11"/>
  <c r="Q108" i="11"/>
  <c r="R108" i="11"/>
  <c r="Q109" i="11"/>
  <c r="R109" i="11"/>
  <c r="Q110" i="11"/>
  <c r="R110" i="11"/>
  <c r="Q111" i="11"/>
  <c r="R111" i="11"/>
  <c r="Q112" i="11"/>
  <c r="R112" i="11"/>
  <c r="Q113" i="11"/>
  <c r="R113" i="11"/>
  <c r="Q114" i="11"/>
  <c r="R114" i="11"/>
  <c r="Q115" i="11"/>
  <c r="R115" i="11"/>
  <c r="R3" i="11"/>
  <c r="Q3" i="11"/>
  <c r="S15" i="11"/>
  <c r="T15" i="11"/>
  <c r="T12" i="11"/>
  <c r="S7" i="11"/>
  <c r="E11" i="14" l="1"/>
  <c r="E12" i="14" s="1"/>
  <c r="D29" i="13"/>
  <c r="D28" i="13" s="1"/>
  <c r="C29" i="13"/>
  <c r="B29" i="13"/>
  <c r="C28" i="13"/>
  <c r="B28" i="13"/>
  <c r="H24" i="13"/>
  <c r="H23" i="13"/>
  <c r="C22" i="13"/>
  <c r="G22" i="13" s="1"/>
  <c r="G23" i="13" s="1"/>
  <c r="E11" i="13"/>
  <c r="C8" i="13"/>
  <c r="D8" i="13" s="1"/>
  <c r="C7" i="13"/>
  <c r="D9" i="13" s="1"/>
  <c r="B5" i="13"/>
  <c r="C9" i="13" s="1"/>
  <c r="K114" i="11"/>
  <c r="S114" i="11" s="1"/>
  <c r="I114" i="11"/>
  <c r="K113" i="11"/>
  <c r="S113" i="11" s="1"/>
  <c r="I113" i="11"/>
  <c r="K112" i="11"/>
  <c r="S112" i="11" s="1"/>
  <c r="I112" i="11"/>
  <c r="K111" i="11"/>
  <c r="S111" i="11" s="1"/>
  <c r="I111" i="11"/>
  <c r="S110" i="11"/>
  <c r="K110" i="11"/>
  <c r="I110" i="11"/>
  <c r="S109" i="11"/>
  <c r="K109" i="11"/>
  <c r="I109" i="11"/>
  <c r="K108" i="11"/>
  <c r="S108" i="11" s="1"/>
  <c r="I108" i="11"/>
  <c r="L107" i="11"/>
  <c r="K107" i="11"/>
  <c r="I107" i="11"/>
  <c r="K106" i="11"/>
  <c r="S106" i="11" s="1"/>
  <c r="I106" i="11"/>
  <c r="L105" i="11"/>
  <c r="K105" i="11"/>
  <c r="S105" i="11" s="1"/>
  <c r="I105" i="11"/>
  <c r="I104" i="11"/>
  <c r="I103" i="11"/>
  <c r="K102" i="11"/>
  <c r="S102" i="11" s="1"/>
  <c r="I102" i="11"/>
  <c r="I101" i="11"/>
  <c r="K100" i="11"/>
  <c r="S100" i="11" s="1"/>
  <c r="I100" i="11"/>
  <c r="K99" i="11"/>
  <c r="S99" i="11" s="1"/>
  <c r="I99" i="11"/>
  <c r="I98" i="11"/>
  <c r="K97" i="11"/>
  <c r="S97" i="11" s="1"/>
  <c r="I97" i="11"/>
  <c r="M96" i="11"/>
  <c r="K96" i="11"/>
  <c r="I96" i="11"/>
  <c r="S95" i="11"/>
  <c r="K95" i="11"/>
  <c r="I95" i="11"/>
  <c r="K94" i="11"/>
  <c r="S94" i="11" s="1"/>
  <c r="I94" i="11"/>
  <c r="S93" i="11"/>
  <c r="M93" i="11"/>
  <c r="K93" i="11"/>
  <c r="T93" i="11" s="1"/>
  <c r="I93" i="11"/>
  <c r="W92" i="11"/>
  <c r="S92" i="11"/>
  <c r="I92" i="11"/>
  <c r="I91" i="11"/>
  <c r="L90" i="11"/>
  <c r="J90" i="11"/>
  <c r="I90" i="11"/>
  <c r="I89" i="11"/>
  <c r="I88" i="11"/>
  <c r="L87" i="11"/>
  <c r="K87" i="11"/>
  <c r="I87" i="11"/>
  <c r="W86" i="11"/>
  <c r="S86" i="11"/>
  <c r="I86" i="11"/>
  <c r="W85" i="11"/>
  <c r="S85" i="11"/>
  <c r="I85" i="11"/>
  <c r="I84" i="11"/>
  <c r="W83" i="11"/>
  <c r="S83" i="11"/>
  <c r="I83" i="11"/>
  <c r="W82" i="11"/>
  <c r="S82" i="11"/>
  <c r="I82" i="11"/>
  <c r="I81" i="11"/>
  <c r="W80" i="11"/>
  <c r="S80" i="11"/>
  <c r="I80" i="11"/>
  <c r="W79" i="11"/>
  <c r="S79" i="11"/>
  <c r="I79" i="11"/>
  <c r="W78" i="11"/>
  <c r="S78" i="11"/>
  <c r="I78" i="11"/>
  <c r="W77" i="11"/>
  <c r="S77" i="11"/>
  <c r="I77" i="11"/>
  <c r="W76" i="11"/>
  <c r="S76" i="11"/>
  <c r="I76" i="11"/>
  <c r="W75" i="11"/>
  <c r="S75" i="11"/>
  <c r="I75" i="11"/>
  <c r="I74" i="11"/>
  <c r="I73" i="11"/>
  <c r="K72" i="11"/>
  <c r="S72" i="11" s="1"/>
  <c r="J72" i="11"/>
  <c r="I72" i="11"/>
  <c r="W71" i="11"/>
  <c r="S71" i="11"/>
  <c r="I71" i="11"/>
  <c r="I70" i="11"/>
  <c r="S69" i="11"/>
  <c r="I69" i="11"/>
  <c r="F68" i="11"/>
  <c r="I68" i="11" s="1"/>
  <c r="S67" i="11"/>
  <c r="I67" i="11"/>
  <c r="S66" i="11"/>
  <c r="I66" i="11"/>
  <c r="S65" i="11"/>
  <c r="I65" i="11"/>
  <c r="W64" i="11"/>
  <c r="T64" i="11"/>
  <c r="I64" i="11"/>
  <c r="I63" i="11"/>
  <c r="S62" i="11"/>
  <c r="I62" i="11"/>
  <c r="I61" i="11"/>
  <c r="I60" i="11"/>
  <c r="I59" i="11"/>
  <c r="I58" i="11"/>
  <c r="I57" i="11"/>
  <c r="K56" i="11"/>
  <c r="S56" i="11" s="1"/>
  <c r="I56" i="11"/>
  <c r="I55" i="11"/>
  <c r="L54" i="11"/>
  <c r="K54" i="11"/>
  <c r="I54" i="11"/>
  <c r="I53" i="11"/>
  <c r="M52" i="11"/>
  <c r="K52" i="11"/>
  <c r="T52" i="11" s="1"/>
  <c r="I52" i="11"/>
  <c r="M51" i="11"/>
  <c r="K51" i="11"/>
  <c r="T51" i="11" s="1"/>
  <c r="I51" i="11"/>
  <c r="K50" i="11"/>
  <c r="S50" i="11" s="1"/>
  <c r="I50" i="11"/>
  <c r="M49" i="11"/>
  <c r="T49" i="11" s="1"/>
  <c r="K49" i="11"/>
  <c r="I49" i="11"/>
  <c r="I48" i="11"/>
  <c r="S47" i="11"/>
  <c r="K47" i="11"/>
  <c r="I47" i="11"/>
  <c r="I46" i="11"/>
  <c r="I45" i="11"/>
  <c r="I44" i="11"/>
  <c r="J43" i="11"/>
  <c r="L43" i="11" s="1"/>
  <c r="I43" i="11"/>
  <c r="K42" i="11"/>
  <c r="J42" i="11"/>
  <c r="L42" i="11" s="1"/>
  <c r="I42" i="11"/>
  <c r="I41" i="11"/>
  <c r="I40" i="11"/>
  <c r="I39" i="11"/>
  <c r="I38" i="11"/>
  <c r="K37" i="11"/>
  <c r="S37" i="11" s="1"/>
  <c r="I37" i="11"/>
  <c r="K36" i="11"/>
  <c r="S36" i="11" s="1"/>
  <c r="I36" i="11"/>
  <c r="S35" i="11"/>
  <c r="K35" i="11"/>
  <c r="F35" i="11"/>
  <c r="I35" i="11" s="1"/>
  <c r="I34" i="11"/>
  <c r="I33" i="11"/>
  <c r="M32" i="11"/>
  <c r="K32" i="11"/>
  <c r="S32" i="11" s="1"/>
  <c r="I32" i="11"/>
  <c r="M31" i="11"/>
  <c r="K31" i="11"/>
  <c r="I31" i="11"/>
  <c r="I30" i="11"/>
  <c r="M29" i="11"/>
  <c r="K29" i="11"/>
  <c r="S29" i="11" s="1"/>
  <c r="I29" i="11"/>
  <c r="M28" i="11"/>
  <c r="K28" i="11"/>
  <c r="I28" i="11"/>
  <c r="I27" i="11"/>
  <c r="I26" i="11"/>
  <c r="I25" i="11"/>
  <c r="S24" i="11"/>
  <c r="K24" i="11"/>
  <c r="F24" i="11"/>
  <c r="I24" i="11" s="1"/>
  <c r="I23" i="11"/>
  <c r="K22" i="11"/>
  <c r="S22" i="11" s="1"/>
  <c r="I22" i="11"/>
  <c r="I21" i="11"/>
  <c r="I20" i="11"/>
  <c r="K19" i="11"/>
  <c r="S19" i="11" s="1"/>
  <c r="I19" i="11"/>
  <c r="I18" i="11"/>
  <c r="I17" i="11"/>
  <c r="S16" i="11"/>
  <c r="K16" i="11"/>
  <c r="I16" i="11"/>
  <c r="M15" i="11"/>
  <c r="K15" i="11"/>
  <c r="I15" i="11"/>
  <c r="I14" i="11"/>
  <c r="I13" i="11"/>
  <c r="M12" i="11"/>
  <c r="K12" i="11"/>
  <c r="I12" i="11"/>
  <c r="I11" i="11"/>
  <c r="I10" i="11"/>
  <c r="I9" i="11"/>
  <c r="I8" i="11"/>
  <c r="I7" i="11"/>
  <c r="I6" i="11"/>
  <c r="I5" i="11"/>
  <c r="I4" i="11"/>
  <c r="I3" i="11"/>
  <c r="AD1" i="11"/>
  <c r="S87" i="11" l="1"/>
  <c r="T29" i="11"/>
  <c r="T31" i="11"/>
  <c r="S42" i="11"/>
  <c r="S54" i="11"/>
  <c r="T96" i="11"/>
  <c r="S107" i="11"/>
  <c r="T32" i="11"/>
  <c r="T28" i="11"/>
  <c r="S28" i="11"/>
  <c r="G24" i="13"/>
  <c r="C24" i="13" s="1"/>
  <c r="C23" i="13"/>
  <c r="E22" i="13"/>
  <c r="P24" i="9"/>
  <c r="P25" i="9"/>
  <c r="P26" i="9"/>
  <c r="P27" i="9"/>
  <c r="P28" i="9"/>
  <c r="P29" i="9"/>
  <c r="P30" i="9"/>
  <c r="P31" i="9"/>
  <c r="P32" i="9"/>
  <c r="P33" i="9"/>
  <c r="P34" i="9"/>
  <c r="P35" i="9"/>
  <c r="P36" i="9"/>
  <c r="P23" i="9"/>
  <c r="P22" i="9"/>
  <c r="J55" i="11" l="1"/>
  <c r="C25" i="13"/>
  <c r="E24" i="13"/>
  <c r="I24" i="13"/>
  <c r="E23" i="13"/>
  <c r="I23" i="13"/>
  <c r="C13" i="7"/>
  <c r="C14" i="7"/>
  <c r="C15" i="7"/>
  <c r="C16" i="7"/>
  <c r="C17" i="7"/>
  <c r="C18" i="7"/>
  <c r="C19" i="7"/>
  <c r="C20" i="7"/>
  <c r="C21" i="7"/>
  <c r="C12" i="7"/>
  <c r="G25" i="13" l="1"/>
  <c r="E25" i="13"/>
  <c r="D25" i="13"/>
  <c r="S55" i="11" s="1"/>
  <c r="I25" i="13"/>
  <c r="B26" i="2"/>
  <c r="B23" i="2"/>
  <c r="B22" i="2"/>
  <c r="B21" i="2"/>
  <c r="B20" i="2"/>
  <c r="B19" i="2"/>
  <c r="T74" i="1"/>
  <c r="T73" i="1"/>
  <c r="T71" i="1"/>
  <c r="T70" i="1"/>
  <c r="T69" i="1"/>
  <c r="T68" i="1"/>
  <c r="T67" i="1"/>
  <c r="T66" i="1"/>
  <c r="S74" i="1"/>
  <c r="S73" i="1"/>
  <c r="S71" i="1"/>
  <c r="S70" i="1"/>
  <c r="S69" i="1"/>
  <c r="S68" i="1"/>
  <c r="S67" i="1"/>
  <c r="S66" i="1"/>
  <c r="R74" i="1"/>
  <c r="R73" i="1"/>
  <c r="R71" i="1"/>
  <c r="R70" i="1"/>
  <c r="R69" i="1"/>
  <c r="R68" i="1"/>
  <c r="R67" i="1"/>
  <c r="R66" i="1"/>
  <c r="R62" i="1"/>
  <c r="T62" i="1" s="1"/>
  <c r="Q74" i="1"/>
  <c r="Q73" i="1"/>
  <c r="Q71" i="1"/>
  <c r="Q70" i="1"/>
  <c r="Q69" i="1"/>
  <c r="Q68" i="1"/>
  <c r="Q67" i="1"/>
  <c r="Q66" i="1"/>
  <c r="Q62" i="1"/>
  <c r="S62" i="1" s="1"/>
  <c r="Q60" i="1"/>
  <c r="S60" i="1" s="1"/>
  <c r="Q59" i="1"/>
  <c r="S59" i="1" s="1"/>
  <c r="Q58" i="1"/>
  <c r="S58" i="1" s="1"/>
  <c r="Q57" i="1"/>
  <c r="S57" i="1" s="1"/>
  <c r="O74" i="1"/>
  <c r="O73" i="1"/>
  <c r="O71" i="1"/>
  <c r="O70" i="1"/>
  <c r="O69" i="1"/>
  <c r="O68" i="1"/>
  <c r="O67" i="1"/>
  <c r="O66" i="1"/>
  <c r="O62" i="1"/>
  <c r="N74" i="1"/>
  <c r="N73" i="1"/>
  <c r="N71" i="1"/>
  <c r="N70" i="1"/>
  <c r="N69" i="1"/>
  <c r="N68" i="1"/>
  <c r="N67" i="1"/>
  <c r="N66" i="1"/>
  <c r="N62" i="1"/>
  <c r="N60" i="1"/>
  <c r="N59" i="1"/>
  <c r="N58" i="1"/>
  <c r="N57" i="1"/>
  <c r="L74" i="1"/>
  <c r="L73" i="1"/>
  <c r="L71" i="1"/>
  <c r="L70" i="1"/>
  <c r="L69" i="1"/>
  <c r="L68" i="1"/>
  <c r="L67" i="1"/>
  <c r="L66" i="1"/>
  <c r="L62" i="1"/>
  <c r="L61" i="1"/>
  <c r="L60" i="1"/>
  <c r="L59" i="1"/>
  <c r="L58" i="1"/>
  <c r="L57" i="1"/>
  <c r="K74" i="1"/>
  <c r="K73" i="1"/>
  <c r="K71" i="1"/>
  <c r="K70" i="1"/>
  <c r="U70" i="1" s="1"/>
  <c r="K69" i="1"/>
  <c r="K68" i="1"/>
  <c r="K67" i="1"/>
  <c r="K66" i="1"/>
  <c r="K62" i="1"/>
  <c r="K61" i="1"/>
  <c r="K60" i="1"/>
  <c r="K59" i="1"/>
  <c r="U59" i="1" s="1"/>
  <c r="K58" i="1"/>
  <c r="K57" i="1"/>
  <c r="U72" i="1"/>
  <c r="U66" i="1"/>
  <c r="U61" i="1" l="1"/>
  <c r="U69" i="1"/>
  <c r="U74" i="1"/>
  <c r="U60" i="1"/>
  <c r="U71" i="1"/>
  <c r="U57" i="1"/>
  <c r="K65" i="1"/>
  <c r="U73" i="1"/>
  <c r="S65" i="1"/>
  <c r="T65" i="1"/>
  <c r="U68" i="1"/>
  <c r="U58" i="1"/>
  <c r="R65" i="1"/>
  <c r="Q65" i="1"/>
  <c r="O65" i="1"/>
  <c r="N65" i="1"/>
  <c r="L65" i="1"/>
  <c r="U67" i="1"/>
  <c r="J6" i="1"/>
  <c r="J8" i="1"/>
  <c r="J9" i="1"/>
  <c r="J10" i="1"/>
  <c r="J11" i="1"/>
  <c r="J12" i="1"/>
  <c r="J13" i="1"/>
  <c r="J14" i="1"/>
  <c r="J15" i="1"/>
  <c r="J16" i="1"/>
  <c r="J17" i="1"/>
  <c r="J18" i="1"/>
  <c r="J19" i="1"/>
  <c r="J20" i="1"/>
  <c r="J21" i="1"/>
  <c r="J22" i="1"/>
  <c r="J23" i="1"/>
  <c r="J25" i="1"/>
  <c r="J26" i="1"/>
  <c r="J27" i="1"/>
  <c r="J28" i="1"/>
  <c r="J31" i="1"/>
  <c r="J32" i="1"/>
  <c r="J33" i="1"/>
  <c r="J34" i="1"/>
  <c r="J35" i="1"/>
  <c r="J36" i="1"/>
  <c r="J37"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91" i="1"/>
  <c r="J93" i="1"/>
  <c r="J95" i="1"/>
  <c r="J96" i="1"/>
  <c r="J97" i="1"/>
  <c r="J98" i="1"/>
  <c r="J99" i="1"/>
  <c r="J102" i="1"/>
  <c r="J103" i="1"/>
  <c r="J104" i="1"/>
  <c r="J105" i="1"/>
  <c r="J106" i="1"/>
  <c r="J107" i="1"/>
  <c r="J108" i="1"/>
  <c r="J109" i="1"/>
  <c r="J110"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U65" i="1" l="1"/>
  <c r="I88" i="1"/>
  <c r="J88" i="1" s="1"/>
  <c r="I89" i="1"/>
  <c r="J89" i="1" s="1"/>
  <c r="I90" i="1"/>
  <c r="J90" i="1" s="1"/>
  <c r="I92" i="1"/>
  <c r="J92" i="1" s="1"/>
  <c r="I94" i="1"/>
  <c r="J94" i="1" s="1"/>
  <c r="I100" i="1"/>
  <c r="J100" i="1" s="1"/>
  <c r="I101" i="1"/>
  <c r="J101" i="1" s="1"/>
  <c r="I111" i="1"/>
  <c r="J111" i="1" s="1"/>
  <c r="B3" i="6"/>
  <c r="I38" i="1"/>
  <c r="J38" i="1" s="1"/>
  <c r="I39" i="1"/>
  <c r="J39" i="1" s="1"/>
  <c r="I40" i="1"/>
  <c r="J40" i="1" s="1"/>
  <c r="I41" i="1"/>
  <c r="J41" i="1" s="1"/>
  <c r="I29" i="1"/>
  <c r="J29" i="1" s="1"/>
  <c r="I30" i="1"/>
  <c r="J30" i="1" s="1"/>
  <c r="I24" i="1"/>
  <c r="J24" i="1" s="1"/>
  <c r="I7" i="1"/>
  <c r="J7" i="1" s="1"/>
  <c r="I4" i="1"/>
  <c r="J4" i="1" s="1"/>
  <c r="I5" i="1"/>
  <c r="J5" i="1" s="1"/>
  <c r="I3" i="1"/>
  <c r="J3" i="1" s="1"/>
  <c r="A33" i="6"/>
  <c r="B33" i="6"/>
  <c r="A34" i="6"/>
  <c r="B34" i="6"/>
  <c r="A35" i="6"/>
  <c r="B35" i="6"/>
  <c r="A36" i="6"/>
  <c r="B36" i="6"/>
  <c r="A37" i="6"/>
  <c r="B37" i="6"/>
  <c r="A38" i="6"/>
  <c r="B38" i="6"/>
  <c r="A39" i="6"/>
  <c r="B39" i="6"/>
  <c r="B32" i="6"/>
  <c r="A32" i="6"/>
  <c r="B6" i="6"/>
  <c r="B7" i="6"/>
  <c r="B8" i="6"/>
  <c r="B9" i="6"/>
  <c r="B10" i="6"/>
  <c r="B11" i="6"/>
  <c r="B12" i="6"/>
  <c r="B13" i="6"/>
  <c r="B14" i="6"/>
  <c r="B15" i="6"/>
  <c r="B16" i="6"/>
  <c r="B17" i="6"/>
  <c r="B18" i="6"/>
  <c r="B19" i="6"/>
  <c r="B20" i="6"/>
  <c r="B21" i="6"/>
  <c r="B22" i="6"/>
  <c r="B23" i="6"/>
  <c r="B24" i="6"/>
  <c r="B25" i="6"/>
  <c r="B26" i="6"/>
  <c r="B27" i="6"/>
  <c r="B28" i="6"/>
  <c r="B29" i="6"/>
  <c r="B30" i="6"/>
  <c r="B31" i="6"/>
  <c r="B5" i="6"/>
  <c r="A6" i="6"/>
  <c r="A7" i="6"/>
  <c r="A8" i="6"/>
  <c r="A9" i="6"/>
  <c r="A10" i="6"/>
  <c r="A11" i="6"/>
  <c r="A12" i="6"/>
  <c r="A13" i="6"/>
  <c r="A14" i="6"/>
  <c r="A15" i="6"/>
  <c r="A16" i="6"/>
  <c r="A17" i="6"/>
  <c r="A18" i="6"/>
  <c r="A19" i="6"/>
  <c r="A20" i="6"/>
  <c r="A21" i="6"/>
  <c r="A22" i="6"/>
  <c r="A23" i="6"/>
  <c r="A24" i="6"/>
  <c r="A25" i="6"/>
  <c r="A26" i="6"/>
  <c r="A27" i="6"/>
  <c r="A28" i="6"/>
  <c r="A29" i="6"/>
  <c r="A30" i="6"/>
  <c r="A31" i="6"/>
  <c r="A5" i="6"/>
  <c r="I1" i="1" l="1"/>
  <c r="B4" i="2" l="1"/>
  <c r="B5" i="2"/>
  <c r="B6" i="2"/>
  <c r="B7" i="2"/>
  <c r="B8" i="2"/>
  <c r="B9" i="2"/>
  <c r="B10" i="2"/>
  <c r="B11" i="2"/>
  <c r="B12" i="2"/>
  <c r="B3" i="2"/>
</calcChain>
</file>

<file path=xl/comments1.xml><?xml version="1.0" encoding="utf-8"?>
<comments xmlns="http://schemas.openxmlformats.org/spreadsheetml/2006/main">
  <authors>
    <author>Skye Lei</author>
  </authors>
  <commentList>
    <comment ref="C3" authorId="0">
      <text>
        <r>
          <rPr>
            <b/>
            <sz val="9"/>
            <color indexed="81"/>
            <rFont val="Tahoma"/>
            <family val="2"/>
          </rPr>
          <t>Skye Lei:</t>
        </r>
        <r>
          <rPr>
            <sz val="9"/>
            <color indexed="81"/>
            <rFont val="Tahoma"/>
            <family val="2"/>
          </rPr>
          <t xml:space="preserve">
Select your program title</t>
        </r>
      </text>
    </comment>
  </commentList>
</comments>
</file>

<file path=xl/comments2.xml><?xml version="1.0" encoding="utf-8"?>
<comments xmlns="http://schemas.openxmlformats.org/spreadsheetml/2006/main">
  <authors>
    <author>Dawe, Megan</author>
  </authors>
  <commentList>
    <comment ref="S7" authorId="0">
      <text>
        <r>
          <rPr>
            <b/>
            <sz val="9"/>
            <color indexed="81"/>
            <rFont val="Tahoma"/>
            <family val="2"/>
          </rPr>
          <t>Dawe, Megan:</t>
        </r>
        <r>
          <rPr>
            <sz val="9"/>
            <color indexed="81"/>
            <rFont val="Tahoma"/>
            <family val="2"/>
          </rPr>
          <t xml:space="preserve">
Goal is 20 kWh for entire data center improvements, assume 10% for server improvements</t>
        </r>
      </text>
    </comment>
    <comment ref="B11" authorId="0">
      <text>
        <r>
          <rPr>
            <b/>
            <sz val="9"/>
            <color indexed="81"/>
            <rFont val="Tahoma"/>
            <family val="2"/>
          </rPr>
          <t>Dawe, Megan:</t>
        </r>
        <r>
          <rPr>
            <sz val="9"/>
            <color indexed="81"/>
            <rFont val="Tahoma"/>
            <family val="2"/>
          </rPr>
          <t xml:space="preserve">
Did not include electric clothes dryers</t>
        </r>
      </text>
    </comment>
    <comment ref="L24" authorId="0">
      <text>
        <r>
          <rPr>
            <b/>
            <sz val="9"/>
            <color indexed="81"/>
            <rFont val="Tahoma"/>
            <family val="2"/>
          </rPr>
          <t>Dawe, Megan:</t>
        </r>
        <r>
          <rPr>
            <sz val="9"/>
            <color indexed="81"/>
            <rFont val="Tahoma"/>
            <family val="2"/>
          </rPr>
          <t xml:space="preserve">
PG&amp;E white paper 2015; Estar 9% more efficient than fed, this is close to 25 kWh/yr. ASAP study found 330 kWh savings</t>
        </r>
      </text>
    </comment>
    <comment ref="S28" authorId="0">
      <text>
        <r>
          <rPr>
            <b/>
            <sz val="9"/>
            <color indexed="81"/>
            <rFont val="Tahoma"/>
            <family val="2"/>
          </rPr>
          <t>Dawe, Megan:</t>
        </r>
        <r>
          <rPr>
            <sz val="9"/>
            <color indexed="81"/>
            <rFont val="Tahoma"/>
            <family val="2"/>
          </rPr>
          <t xml:space="preserve">
had (-0.20 * 1000)? From where?</t>
        </r>
      </text>
    </comment>
    <comment ref="A36" authorId="0">
      <text>
        <r>
          <rPr>
            <b/>
            <sz val="9"/>
            <color indexed="81"/>
            <rFont val="Tahoma"/>
            <family val="2"/>
          </rPr>
          <t>Dawe, Megan:</t>
        </r>
        <r>
          <rPr>
            <sz val="9"/>
            <color indexed="81"/>
            <rFont val="Tahoma"/>
            <family val="2"/>
          </rPr>
          <t xml:space="preserve">
or Fed standard? Looks like feds are looking at this</t>
        </r>
      </text>
    </comment>
    <comment ref="S36" authorId="0">
      <text>
        <r>
          <rPr>
            <b/>
            <sz val="9"/>
            <color indexed="81"/>
            <rFont val="Tahoma"/>
            <family val="2"/>
          </rPr>
          <t>Dawe, Megan:</t>
        </r>
        <r>
          <rPr>
            <sz val="9"/>
            <color indexed="81"/>
            <rFont val="Tahoma"/>
            <family val="2"/>
          </rPr>
          <t xml:space="preserve">
ASAP study. Comparison from DOE study, found ~0.3 GWh. Took EL1:CSL1 avg savings in MMBtu for 2023. Converted to GWh</t>
        </r>
      </text>
    </comment>
    <comment ref="L42" authorId="0">
      <text>
        <r>
          <rPr>
            <b/>
            <sz val="9"/>
            <color indexed="81"/>
            <rFont val="Tahoma"/>
            <family val="2"/>
          </rPr>
          <t>Dawe, Megan:</t>
        </r>
        <r>
          <rPr>
            <sz val="9"/>
            <color indexed="81"/>
            <rFont val="Tahoma"/>
            <family val="2"/>
          </rPr>
          <t xml:space="preserve">
ESTAR 30% more efficient</t>
        </r>
      </text>
    </comment>
    <comment ref="K84" authorId="0">
      <text>
        <r>
          <rPr>
            <b/>
            <sz val="9"/>
            <color indexed="81"/>
            <rFont val="Tahoma"/>
            <family val="2"/>
          </rPr>
          <t>Dawe, Megan:</t>
        </r>
        <r>
          <rPr>
            <sz val="9"/>
            <color indexed="81"/>
            <rFont val="Tahoma"/>
            <family val="2"/>
          </rPr>
          <t xml:space="preserve">
using  1 per household with TV, avg # TVs ~ 3, so divide # of TVs by 3</t>
        </r>
      </text>
    </comment>
    <comment ref="L90" authorId="0">
      <text>
        <r>
          <rPr>
            <b/>
            <sz val="9"/>
            <color indexed="81"/>
            <rFont val="Tahoma"/>
            <family val="2"/>
          </rPr>
          <t>Dawe, Megan:</t>
        </r>
        <r>
          <rPr>
            <sz val="9"/>
            <color indexed="81"/>
            <rFont val="Tahoma"/>
            <family val="2"/>
          </rPr>
          <t xml:space="preserve">
based on ESTAR reqts…energy use will be bwn 32 and 63 W. With a base of 60 W, we will assume 10 W of savings</t>
        </r>
      </text>
    </comment>
    <comment ref="L107" authorId="0">
      <text>
        <r>
          <rPr>
            <b/>
            <sz val="9"/>
            <color indexed="81"/>
            <rFont val="Tahoma"/>
            <family val="2"/>
          </rPr>
          <t>Dawe, Megan:</t>
        </r>
        <r>
          <rPr>
            <sz val="9"/>
            <color indexed="81"/>
            <rFont val="Tahoma"/>
            <family val="2"/>
          </rPr>
          <t xml:space="preserve">
halved…expect substantial pushback from data center operators.</t>
        </r>
      </text>
    </comment>
  </commentList>
</comments>
</file>

<file path=xl/sharedStrings.xml><?xml version="1.0" encoding="utf-8"?>
<sst xmlns="http://schemas.openxmlformats.org/spreadsheetml/2006/main" count="6019" uniqueCount="880">
  <si>
    <t>Regulation</t>
  </si>
  <si>
    <t>Code or Standard Name</t>
  </si>
  <si>
    <t>Effective Date</t>
  </si>
  <si>
    <t>Expected</t>
  </si>
  <si>
    <t>2005 T-20</t>
  </si>
  <si>
    <t>Commercial Refrigeration Equipment, Solid Door</t>
  </si>
  <si>
    <t>On the books</t>
  </si>
  <si>
    <t>Commercial Refrigeration Equipment, Transparent Door</t>
  </si>
  <si>
    <t>Commercial Ice Maker Equipment</t>
  </si>
  <si>
    <t>Walk-In Refrigerators / Freezers</t>
  </si>
  <si>
    <t>Refrigerated Beverage Vending Machines</t>
  </si>
  <si>
    <t>Large Packaged Commercial Air-Conditioners, Tier 1</t>
  </si>
  <si>
    <t>Large Packaged Commercial Air-Conditioners, Tier 2</t>
  </si>
  <si>
    <t>Residential Pool Pumps, High Eff Motor, Tier 1</t>
  </si>
  <si>
    <t>Portable Electric Spas</t>
  </si>
  <si>
    <t>General Service Incandescent Lamps, Tier 1</t>
  </si>
  <si>
    <t>Pulse Start Metal Halide HID Luminaires, Tier 1(Vertical Lamps)</t>
  </si>
  <si>
    <t>Pulse Start Metal Halide HID Luminaires, Tier 2(All other MH</t>
  </si>
  <si>
    <t xml:space="preserve">Modular Furniture Task Lighting Fixtures </t>
  </si>
  <si>
    <t>Hot Food Holding Cabinets</t>
  </si>
  <si>
    <t xml:space="preserve">External Power Supplies, Tier 1 </t>
  </si>
  <si>
    <t>External Power Supplies, Tier 2</t>
  </si>
  <si>
    <t>Consumer Electronics - Audio Players</t>
  </si>
  <si>
    <t>Consumer Electronics - TVs</t>
  </si>
  <si>
    <t>Consumer Electronics - DVDs</t>
  </si>
  <si>
    <t>Water Dispensers</t>
  </si>
  <si>
    <t>Unit Heaters and Duct Furnaces</t>
  </si>
  <si>
    <t>Commercial Dishwasher Pre-Rinse Spray Valves</t>
  </si>
  <si>
    <t>2006 T-20</t>
  </si>
  <si>
    <t>Residential Pool Pumps, 2-speed Motors, Tier 2</t>
  </si>
  <si>
    <t>General Service Incandescent Lamps, Tier 2 #1</t>
  </si>
  <si>
    <t>General Service Incandescent Lamps, Tier 2 #2</t>
  </si>
  <si>
    <t>General Service Incandescent Lamps, Tier 2 #3</t>
  </si>
  <si>
    <t>BR, ER and R20 Incandescent Reflector Lamps: Residential</t>
  </si>
  <si>
    <t>BR, ER and R20 Incandescent Reflector Lamps: Commercial</t>
  </si>
  <si>
    <t>2008 T-20</t>
  </si>
  <si>
    <t>Metal Halide Fixtures</t>
  </si>
  <si>
    <t>Portable Lighting Fixtures</t>
  </si>
  <si>
    <t>General Purpose Lighting -- 100 watt</t>
  </si>
  <si>
    <t>General Purpose Lighting -- 75 watt</t>
  </si>
  <si>
    <t>General Purpose Lighting -- 60 and 40 watt</t>
  </si>
  <si>
    <t>2009 T-20</t>
  </si>
  <si>
    <t>Televisions - Tier 1</t>
  </si>
  <si>
    <t>Televisions - Tier 2</t>
  </si>
  <si>
    <t>2011 T-20</t>
  </si>
  <si>
    <t>Small Battery Chargers – Tier 1 (consumer with no USB charger or USB charger &lt;20 watt-hours)</t>
  </si>
  <si>
    <t>Small Battery Chargers – Tier 2 (consumer with USB charger ≥20 watt-hours)</t>
  </si>
  <si>
    <t>Small Battery Chargers – Tier 3 (non-consumer)</t>
  </si>
  <si>
    <t>Large Battery Chargers (≥2kW rated input)</t>
  </si>
  <si>
    <t>2015 T-20</t>
  </si>
  <si>
    <t>Residential Faucets &amp; Aerators - Lavatory w/ Natural Gas Water Heating  - Tier 1  (2.2 –1.5 gpm)</t>
  </si>
  <si>
    <t>Residential Faucets &amp; Aerators - Lavatory w/ Electric Water Heating   - Tier 1  (2.2 –1.5 gpm)</t>
  </si>
  <si>
    <t>2016 T-20</t>
  </si>
  <si>
    <t>Air Filter Labeling</t>
  </si>
  <si>
    <t>Dimming Ballasts</t>
  </si>
  <si>
    <t>Residential Faucets &amp; Aerators - Kitchen w/ Natural Gas Water Heating (1.8 gpm)</t>
  </si>
  <si>
    <t>Residential Faucets &amp; Aerators - Kitchen w/ Electric Water Heating (1.8 gpm)</t>
  </si>
  <si>
    <t>Public Lavatory Faucets (.5 gpm)</t>
  </si>
  <si>
    <t>Residential Faucets &amp; Aerators - Lavatory w/ Natural Gas Water Heating   - Tier 2  (1.5 –1.2 gpm)</t>
  </si>
  <si>
    <t>Residential Faucets &amp; Aerators - Lavatory w/ Electric Water Heating - Tier 2  (1.5 –1.2 gpm)</t>
  </si>
  <si>
    <t>Showerheads w/ Natural Gas Water Heaters  - Tier 1  (2..5 to 2.0 gpm)</t>
  </si>
  <si>
    <t>Showerheads w/ Electric Water Heaters  - Tier 1 (2..5 to 2.0 gpm)</t>
  </si>
  <si>
    <t>Toilets - Commercial (1.28 gpf)</t>
  </si>
  <si>
    <t>Toilets - Residential (1.28 gpf)</t>
  </si>
  <si>
    <t>Urinals (.125 gpf)</t>
  </si>
  <si>
    <t>Future Title 20</t>
  </si>
  <si>
    <t>Commercial Clothes Dryers</t>
  </si>
  <si>
    <t>Computers - Workstations</t>
  </si>
  <si>
    <t>Computers - Small Scale Servers</t>
  </si>
  <si>
    <t>Computers - Notebooks</t>
  </si>
  <si>
    <t>Computers - Desktops - Tier 1</t>
  </si>
  <si>
    <t>Computers - Desktops - Tier 2</t>
  </si>
  <si>
    <t>Game Consoles (Tier 1)</t>
  </si>
  <si>
    <t>Game Consoles (Tier 2)</t>
  </si>
  <si>
    <t>Pool Pumps &amp; Spas</t>
  </si>
  <si>
    <t>Set Top Boxes (Tier 1)</t>
  </si>
  <si>
    <t>Small Diameter Directional Lamps (Tier 1)</t>
  </si>
  <si>
    <t>Small Network Equipment</t>
  </si>
  <si>
    <t>Water Meters</t>
  </si>
  <si>
    <t>Metal Halide Lamp Fixtures</t>
  </si>
  <si>
    <t>State-Regulated General Service Lamps – Tier II</t>
  </si>
  <si>
    <t>LED Quality - Tier 1</t>
  </si>
  <si>
    <t>LED Quality - Tier 2</t>
  </si>
  <si>
    <t>Federal</t>
  </si>
  <si>
    <t>Electric Motors 1-200HP</t>
  </si>
  <si>
    <t>Commercial Refrigeration</t>
  </si>
  <si>
    <t>Residential Electric &amp; Gas Ranges</t>
  </si>
  <si>
    <t>General Service Fluorescent Lamps #1</t>
  </si>
  <si>
    <t xml:space="preserve">Incandescent Reflector Lamps </t>
  </si>
  <si>
    <t>Commercial Clothes Washers #1</t>
  </si>
  <si>
    <t>Residential Pool Heaters</t>
  </si>
  <si>
    <t>Residential Direct Heating Equipment</t>
  </si>
  <si>
    <t>Residential Refrigerators &amp; Freezers</t>
  </si>
  <si>
    <t>Residential Room AC</t>
  </si>
  <si>
    <t>Fluorescent Ballasts</t>
  </si>
  <si>
    <t>Small Commercial Package Air-Conditioners ≥65 and &lt;135 kBtu/h</t>
  </si>
  <si>
    <t>Large and Very Large Commercial Package Air-Conditioners ≥135 kBtu/h</t>
  </si>
  <si>
    <t>Computer Room Acs &gt;=65,000 Btu/h and &lt; 760,000 Btu/h</t>
  </si>
  <si>
    <t>Residential Dishwashers</t>
  </si>
  <si>
    <t>Residential Clothes Dryers</t>
  </si>
  <si>
    <t>Residential Gas-fired water heater</t>
  </si>
  <si>
    <t>Residential Electric storage water heater</t>
  </si>
  <si>
    <t>Residential Gas-fired instantaneous water heater</t>
  </si>
  <si>
    <t>Residential Oil-fired storage water heater</t>
  </si>
  <si>
    <t>Small Electric Motors</t>
  </si>
  <si>
    <t>Residential Clothes Washers (Front Loading)</t>
  </si>
  <si>
    <t xml:space="preserve">Residential Clothes Washers (Top Loading) Tier I </t>
  </si>
  <si>
    <t>Residential Clothes Washers (Top Loading) Tier II</t>
  </si>
  <si>
    <t>Residential Central AC, Heat Pumps and Furnaces</t>
  </si>
  <si>
    <t>External Power Supplies</t>
  </si>
  <si>
    <t>Battery Chargers</t>
  </si>
  <si>
    <t>Walk-in Coolers and Freezers (Door)</t>
  </si>
  <si>
    <t>Walk-in Coolers and Freezers (Systems)</t>
  </si>
  <si>
    <t>Distribution Transformers</t>
  </si>
  <si>
    <t>Commercial Refrigeration Equipment</t>
  </si>
  <si>
    <t>General Service Fluorescent Lamps #2</t>
  </si>
  <si>
    <t>ASHRAE Products (Commercial boilers)</t>
  </si>
  <si>
    <t>Air-Cooled Commercial Package ACs and HPs - Tier 1</t>
  </si>
  <si>
    <t>Commercial Clothes Washers #2</t>
  </si>
  <si>
    <t>Automatic Commercial Ice Makers</t>
  </si>
  <si>
    <t>Ceiling Fan Light Kits</t>
  </si>
  <si>
    <t xml:space="preserve">Beverage Vending Machines </t>
  </si>
  <si>
    <t>Pre-Rinse Spray Valves</t>
  </si>
  <si>
    <t>Furnace Fans</t>
  </si>
  <si>
    <t>Dehumidifiers</t>
  </si>
  <si>
    <t>Single-Package Vertical ACs and HPs</t>
  </si>
  <si>
    <t>Commercial and Industrial Pumps</t>
  </si>
  <si>
    <t>Residential Boilers</t>
  </si>
  <si>
    <t>Commercial Furnaces</t>
  </si>
  <si>
    <t>Air-Cooled Commercial Package ACs and HPs - Tier 2 (incremental to Tier 1)</t>
  </si>
  <si>
    <t>Electric Motors</t>
  </si>
  <si>
    <t>Microwaves</t>
  </si>
  <si>
    <t>First Year Compliance Rate</t>
  </si>
  <si>
    <t>Life-Cycle Savings ($)</t>
  </si>
  <si>
    <t>Life-Cycle Benefits ($)</t>
  </si>
  <si>
    <t>Natural Gas (Mtherms/yr)</t>
  </si>
  <si>
    <t>First Year Energy Savings (GWh)</t>
  </si>
  <si>
    <t>First Year Savings ($Million)</t>
  </si>
  <si>
    <t>Complete Stock Turnover Natural Gas Savings (Mtherms)</t>
  </si>
  <si>
    <t>Complete Stock Turnover Energy Savings (GWh)</t>
  </si>
  <si>
    <t>Complete Stock Turnover Savings ($Million)</t>
  </si>
  <si>
    <t>National Savings after Complete Stock Turnover (GWh)</t>
  </si>
  <si>
    <t>National Savings after Complete Stock Turnover ($Million)</t>
  </si>
  <si>
    <t>-</t>
  </si>
  <si>
    <t>Displays - Monitors (computer)</t>
  </si>
  <si>
    <t>IMC/unit ($/unit)</t>
  </si>
  <si>
    <t>EUL</t>
  </si>
  <si>
    <t>Exercise Spas</t>
  </si>
  <si>
    <t>Variable-Speed</t>
  </si>
  <si>
    <t>Dual-Speed</t>
  </si>
  <si>
    <t>Single-Speed Residential Filtration</t>
  </si>
  <si>
    <t>Pressure Cleaner Booster Pump</t>
  </si>
  <si>
    <t>Waterfall Pool Pumps</t>
  </si>
  <si>
    <t>Single-Speed Commerical</t>
  </si>
  <si>
    <t>Integral Filter Pool Pumps</t>
  </si>
  <si>
    <t>Life-Cycle Savings = Design Life x Electricity Savings (kwh/year) x Electricity Rate (cents/kwh)</t>
  </si>
  <si>
    <t>Life-Cycle Benefits = Life-Cycle Savings - Incremental Costs</t>
  </si>
  <si>
    <t>National Savings based on California being 12% of the market</t>
  </si>
  <si>
    <t>kWh</t>
  </si>
  <si>
    <t>Statewide Avg Annual Electricity Use per CA Household</t>
  </si>
  <si>
    <t>%</t>
  </si>
  <si>
    <t>Lighting</t>
  </si>
  <si>
    <t>Refrigerators and Freezers</t>
  </si>
  <si>
    <t>TV, PC, and office equipment</t>
  </si>
  <si>
    <t>Water heating</t>
  </si>
  <si>
    <t>Space heating</t>
  </si>
  <si>
    <t>Laundry</t>
  </si>
  <si>
    <t>Dishwashing and Cooking</t>
  </si>
  <si>
    <t>Pools and Spas</t>
  </si>
  <si>
    <t>Air Conditioning</t>
  </si>
  <si>
    <t>Misc</t>
  </si>
  <si>
    <t>Fans &amp; Blowers</t>
  </si>
  <si>
    <t>Sprinkler Spray Bodies</t>
  </si>
  <si>
    <t>Tub Spout Diverters</t>
  </si>
  <si>
    <t>20,217 to 178,725</t>
  </si>
  <si>
    <t>2,426 to 21,447</t>
  </si>
  <si>
    <t>Urinals</t>
  </si>
  <si>
    <t>Pool Pumps</t>
  </si>
  <si>
    <t>General Service Lamps</t>
  </si>
  <si>
    <t>Superseded Code or Standard</t>
  </si>
  <si>
    <t>Superseding Code or Standard</t>
  </si>
  <si>
    <t>Source</t>
  </si>
  <si>
    <t>2005 T-20: Commercial Ice Maker Equipment</t>
  </si>
  <si>
    <t>Fed Appliance: Automatic Commercial Ice Makers</t>
  </si>
  <si>
    <t>Navigant Assumption</t>
  </si>
  <si>
    <t>2005 T-20: Commercial Dishwasher Pre-Rinse Spray Valves</t>
  </si>
  <si>
    <t>Fed Appliance: Pre-Rinse Spray Valves</t>
  </si>
  <si>
    <t>2005 T-20: Consumer Electronics - TVs</t>
  </si>
  <si>
    <t>2009 T-20: Televisions - Tier 1</t>
  </si>
  <si>
    <t>ISSM</t>
  </si>
  <si>
    <t>2005 T-20: Commercial Refrigeration Equipment, Solid Door</t>
  </si>
  <si>
    <t>Fed Appliance: Commercial Refrigeration</t>
  </si>
  <si>
    <t>2005 T-20: Commercial Refrigeration Equipment, Transparent Door</t>
  </si>
  <si>
    <t>2005 T-20: Refrigerated Beverage Vending Machines</t>
  </si>
  <si>
    <t>Fed Appliance: Refrigerated Beverage Vending Machines</t>
  </si>
  <si>
    <t>2006 T-20: BR, ER and R20 Incandescent Reflector Lamps: Residential</t>
  </si>
  <si>
    <t xml:space="preserve">Fed Appliance: Incandescent Reflector Lamps </t>
  </si>
  <si>
    <t>2006 T-20: BR, ER and R20 Incandescent Reflector Lamps: Commercial</t>
  </si>
  <si>
    <t>2006 T-20: General Service Incandescent Lamps, Tier 2 #1</t>
  </si>
  <si>
    <t>2008 T-20: General Purpose Lighting -- 100 watt</t>
  </si>
  <si>
    <t>2006 T-20: General Service Incandescent Lamps, Tier 2 #2</t>
  </si>
  <si>
    <t>2008 T-20: General Purpose Lighting -- 75 watt</t>
  </si>
  <si>
    <t>2006 T-20: General Service Incandescent Lamps, Tier 2 #3</t>
  </si>
  <si>
    <t>2008 T-20: General Purpose Lighting -- 60 and 40 watt</t>
  </si>
  <si>
    <t>EISA</t>
  </si>
  <si>
    <t>Future T-20: State-Regulated General Service Lamps – Tier II</t>
  </si>
  <si>
    <t>2011 T-20: Small Battery Chargers – Tier 1 (consumer with no USB charger or USB charger &lt;20 watt-hours)</t>
  </si>
  <si>
    <t>Fed Appliance: Battery Chargers</t>
  </si>
  <si>
    <t>2011 T-20: Small Battery Chargers – Tier 2 (consumer with USB charger ≥20 watt-hours)</t>
  </si>
  <si>
    <t>2011 T-20: Small Battery Chargers – Tier 3 (non-consumer)</t>
  </si>
  <si>
    <t>2011 T-20: Large Battery Chargers (≥2kW rated input)</t>
  </si>
  <si>
    <t>2015 T-20: Residential Faucets &amp; Aerators - Lavatory w/ Natural Gas Water Heating  - Tier 1  (2.2 –1.5 gpm)</t>
  </si>
  <si>
    <t>2016 T-20: Residential Faucets &amp; Aerators - Lavatory w/ Natural Gas Water Heating   - Tier 2  (1.5 –1.2 gpm)</t>
  </si>
  <si>
    <t>2015 T-20: Residential Faucets &amp; Aerators - Lavatory w/ Electric Water Heating   - Tier 1  (2.2 –1.5 gpm)</t>
  </si>
  <si>
    <t>2016 T-20: Residential Faucets &amp; Aerators - Lavatory w/ Electric Water Heating - Tier 2  (1.5 –1.2 gpm)</t>
  </si>
  <si>
    <t>Fed Appliance: Electric Motors 1-200HP</t>
  </si>
  <si>
    <t>Fed Appliance: Electric Motors</t>
  </si>
  <si>
    <t xml:space="preserve">Fed Appliance: Beverage Vending Machines </t>
  </si>
  <si>
    <t>Fed Appliance: Commercial Refrigeration Equipment</t>
  </si>
  <si>
    <t>Fed Appliance: General Service Fluorescent Lamps #1</t>
  </si>
  <si>
    <t>Fed Appliance: General Service Fluorescent Lamps #2</t>
  </si>
  <si>
    <t>Fed Appliance: Commercial Clothes Washers #1</t>
  </si>
  <si>
    <t>Fed Appliance: Commercial Clothes Washers #2</t>
  </si>
  <si>
    <t>Fed Appliance: Small Commercial Package Air-Conditioners ≥65 and &lt;135 kBtu/h</t>
  </si>
  <si>
    <t>Fed Appliance: Air-Cooled Commercial Package ACs and HPs - Tier 1</t>
  </si>
  <si>
    <t>Fed Appliance: Large and Very Large Commercial Package Air-Conditioners ≥135 kBtu/h</t>
  </si>
  <si>
    <t xml:space="preserve">Fed Appliance: Residential Clothes Washers (Top Loading) Tier I </t>
  </si>
  <si>
    <t>Fed Appliance: Residential Clothes Washers (Top Loading) Tier II</t>
  </si>
  <si>
    <t>Expected 2019</t>
  </si>
  <si>
    <t>Navigant</t>
  </si>
  <si>
    <t>AAEE</t>
  </si>
  <si>
    <t>AAEE Ph 2</t>
  </si>
  <si>
    <t>Included in 2018 PG</t>
  </si>
  <si>
    <t>Yes</t>
  </si>
  <si>
    <t>Yes, derated by 20%</t>
  </si>
  <si>
    <t>No</t>
  </si>
  <si>
    <t>Standby Mode &amp; Power Factor</t>
  </si>
  <si>
    <t>Solar Inverters</t>
  </si>
  <si>
    <t>Eligible update year</t>
  </si>
  <si>
    <t>Fireplace/Hearth Devices</t>
  </si>
  <si>
    <t>Outdoor Luminaires</t>
  </si>
  <si>
    <t>Indoor Luminaires</t>
  </si>
  <si>
    <t>Superseded?</t>
  </si>
  <si>
    <t>Yes, T20</t>
  </si>
  <si>
    <t>Yes, T20 and EISA</t>
  </si>
  <si>
    <t>Potential</t>
  </si>
  <si>
    <t>Computers - Tablets</t>
  </si>
  <si>
    <t>Computers - Large-scale servers</t>
  </si>
  <si>
    <t>Computers - Industrial</t>
  </si>
  <si>
    <r>
      <t xml:space="preserve">Computers - small (screen area </t>
    </r>
    <r>
      <rPr>
        <u/>
        <sz val="11"/>
        <color theme="1"/>
        <rFont val="Calibri"/>
        <family val="2"/>
        <scheme val="minor"/>
      </rPr>
      <t>&lt;</t>
    </r>
    <r>
      <rPr>
        <sz val="11"/>
        <color theme="1"/>
        <rFont val="Calibri"/>
        <family val="2"/>
        <scheme val="minor"/>
      </rPr>
      <t xml:space="preserve"> 20in2)</t>
    </r>
  </si>
  <si>
    <t>Not included</t>
  </si>
  <si>
    <t>Air Purifiers (Cleaners)</t>
  </si>
  <si>
    <t>Energy Star</t>
  </si>
  <si>
    <t>ASAP 2016</t>
  </si>
  <si>
    <t>T20 Study</t>
  </si>
  <si>
    <t>Commercial Fryer</t>
  </si>
  <si>
    <t>Commercial Hot Food Holding Cabinets</t>
  </si>
  <si>
    <t>Commercial Ovens</t>
  </si>
  <si>
    <t>Commercial Refrigerator and Freezers</t>
  </si>
  <si>
    <t>Commercial Steam Cookers</t>
  </si>
  <si>
    <t>Central AC</t>
  </si>
  <si>
    <t>Ductless heating and cooling</t>
  </si>
  <si>
    <t>Room AC</t>
  </si>
  <si>
    <t>Ceiling fan</t>
  </si>
  <si>
    <t>Commercial light fixtures</t>
  </si>
  <si>
    <t>Light bulbs</t>
  </si>
  <si>
    <t>Light fixtures</t>
  </si>
  <si>
    <t>Data center storage</t>
  </si>
  <si>
    <t>Large network equipment</t>
  </si>
  <si>
    <t>Voice over Internet Protocol (VoIP) Phones</t>
  </si>
  <si>
    <t>Vending Machines</t>
  </si>
  <si>
    <t>Water Coolers</t>
  </si>
  <si>
    <t>Commercial water heaters</t>
  </si>
  <si>
    <t>High efficiency gas storage water heaters</t>
  </si>
  <si>
    <t>Solar water heaters</t>
  </si>
  <si>
    <t>In the residential sector, most of the growth in the Other category comes from increasing market penetration of smaller electric devices, most of which are not covered by efficiency standards.</t>
  </si>
  <si>
    <t>In the commercial sector, increased energy consumption for Other primarily reflects an increase in nonbuilding uses such as telephone and technology networks.</t>
  </si>
  <si>
    <t>US EIA projects a reduction of electricity (thousand kWh/household) from 2016 to 2040</t>
  </si>
  <si>
    <t>cooling</t>
  </si>
  <si>
    <t>lighting</t>
  </si>
  <si>
    <t>thousand kWh/home</t>
  </si>
  <si>
    <t>heating</t>
  </si>
  <si>
    <t>water heating</t>
  </si>
  <si>
    <t>Refrig &amp; freezers</t>
  </si>
  <si>
    <t>Laundry &amp; dishwashing</t>
  </si>
  <si>
    <t>cooking</t>
  </si>
  <si>
    <t>TVs and PCs</t>
  </si>
  <si>
    <t>Other uses</t>
  </si>
  <si>
    <t>households replace incandescents with LEDs or CFLs</t>
  </si>
  <si>
    <t>other = small electronics, home security systems, pool pumps</t>
  </si>
  <si>
    <t xml:space="preserve">https://www.eia.gov/outlooks/aeo/pdf/0383(2017).pdf </t>
  </si>
  <si>
    <t>Microwaves (95% of homes have and use)</t>
  </si>
  <si>
    <t>Stove (90% have and use)</t>
  </si>
  <si>
    <t>Clothes Washer (80% have and use)</t>
  </si>
  <si>
    <t>clothes dryer (80% have and use)</t>
  </si>
  <si>
    <t>dishwasher  (55% have and use)</t>
  </si>
  <si>
    <t>Major room for improvement of refrig, clothes washer, and freezer penetration</t>
  </si>
  <si>
    <t xml:space="preserve">https://www.eia.gov/todayinenergy/detail.php?id=31692 </t>
  </si>
  <si>
    <t>ESTAR computers &amp; monitors saved 32 billion kWh per year nationwide by 2012</t>
  </si>
  <si>
    <t>ESTAR computers and monitors consume 2 watts or less in sleep mode??</t>
  </si>
  <si>
    <t>Clothes washers much more efficient than federal standards (when introduced), saved 30 billion kWh and 110 trillion Btus</t>
  </si>
  <si>
    <t>ESTAR looking at self regulating devices (self power management)</t>
  </si>
  <si>
    <t xml:space="preserve">Sensors are beginning to power products down automatically when there is no one in the room, and home energy management systems are poised to maximize energy savings when no one is home. </t>
  </si>
  <si>
    <t>Going forward, the ENERGY STAR program will remain a champion for this kind of energy-saving functionality in products.</t>
  </si>
  <si>
    <t>Getting more out of this category may require setting regional, climate-based efficiency requirements to ensure that the biggest savings are targeted for areas with the best return on investment.</t>
  </si>
  <si>
    <t>By 2020, miscellaneous products will account for 30% of electricity use in U.S. households</t>
  </si>
  <si>
    <t xml:space="preserve">https://www.energystar.gov/ia/products/downloads/ES_Anniv_Book_030712_508compliant_v2.pdf?fd51-9671 </t>
  </si>
  <si>
    <t>EPS use 7 billion kWh/yr LESS nationwide b/c ESTAR. Transitioned to the fed standard?</t>
  </si>
  <si>
    <t>Standby Power currently addressed for 10 ESTAR product categories, NTE 1 watt or less</t>
  </si>
  <si>
    <t>TVs use 36 billion kWh/yr (nationwide) less with ESTAR standard</t>
  </si>
  <si>
    <t>CBECS</t>
  </si>
  <si>
    <t>RECS</t>
  </si>
  <si>
    <t>https://www.eia.gov/consumption/residential/</t>
  </si>
  <si>
    <t>Next Gen report</t>
  </si>
  <si>
    <t>CEC workshop</t>
  </si>
  <si>
    <t>http://www.energy.ca.gov/appliances/2017-AAER-05/documents.html</t>
  </si>
  <si>
    <t xml:space="preserve">http://www.energy.ca.gov/2010publications/CEC-200-2010-004/CEC-200-2010-004-ES.PDF </t>
  </si>
  <si>
    <t xml:space="preserve">http://www.energy.ca.gov/2010publications/CEC-200-2010-004/CEC-200-2010-004-V2.PDF </t>
  </si>
  <si>
    <t>Statewide Electricity Consumption per household</t>
  </si>
  <si>
    <t>Refrigerator and Freezers</t>
  </si>
  <si>
    <t>AC</t>
  </si>
  <si>
    <t>Diswasher and Cooking</t>
  </si>
  <si>
    <t>Space Heating</t>
  </si>
  <si>
    <t>Water Heating</t>
  </si>
  <si>
    <t>Misc.</t>
  </si>
  <si>
    <t>All households</t>
  </si>
  <si>
    <t>Primary conventional space heating\</t>
  </si>
  <si>
    <t>primary heat pump space heating</t>
  </si>
  <si>
    <t>Auxiliary space heating</t>
  </si>
  <si>
    <t>Attic fan</t>
  </si>
  <si>
    <t>Evaporative Cooling</t>
  </si>
  <si>
    <t>Solar water heating</t>
  </si>
  <si>
    <t>dryer</t>
  </si>
  <si>
    <t>clothes washer</t>
  </si>
  <si>
    <t>dish washer</t>
  </si>
  <si>
    <t>first refrigerator</t>
  </si>
  <si>
    <t>addtnl refrigerator</t>
  </si>
  <si>
    <t>Freezer</t>
  </si>
  <si>
    <t>pool pump</t>
  </si>
  <si>
    <t>spa</t>
  </si>
  <si>
    <t>outdoor ltg</t>
  </si>
  <si>
    <t>range/oven</t>
  </si>
  <si>
    <t>TV</t>
  </si>
  <si>
    <t>spa electric heat</t>
  </si>
  <si>
    <t>microwave</t>
  </si>
  <si>
    <t>home office equipment</t>
  </si>
  <si>
    <t>personal computer</t>
  </si>
  <si>
    <t>well pump</t>
  </si>
  <si>
    <t>PG&amp;E</t>
  </si>
  <si>
    <t>SDG&amp;E</t>
  </si>
  <si>
    <t>SCE</t>
  </si>
  <si>
    <t>LADWP</t>
  </si>
  <si>
    <t>EUC</t>
  </si>
  <si>
    <t>Sat.</t>
  </si>
  <si>
    <t>Electric UECs</t>
  </si>
  <si>
    <t>Avg Dwelling Size</t>
  </si>
  <si>
    <t>therms</t>
  </si>
  <si>
    <t>Statewide Natural Gas Energy Consumption per household</t>
  </si>
  <si>
    <t>Cooking</t>
  </si>
  <si>
    <t>Pools, spas, Misc</t>
  </si>
  <si>
    <t>Dryer</t>
  </si>
  <si>
    <t>Range/Oven</t>
  </si>
  <si>
    <t>Pool heating</t>
  </si>
  <si>
    <t>Spa heating</t>
  </si>
  <si>
    <t>Sat. Homes w/ gas accnt</t>
  </si>
  <si>
    <t>RASS 2009</t>
  </si>
  <si>
    <t>furnace fan</t>
  </si>
  <si>
    <t>Energy Star/RASS 2009</t>
  </si>
  <si>
    <t>Commercial Ice Makers</t>
  </si>
  <si>
    <t>Building Sector</t>
  </si>
  <si>
    <t>Com</t>
  </si>
  <si>
    <t>Res</t>
  </si>
  <si>
    <t>Television</t>
  </si>
  <si>
    <t>Included 2015</t>
  </si>
  <si>
    <t>Current Standard</t>
  </si>
  <si>
    <t xml:space="preserve">https://www.eia.gov/consumption/commercial/reports.php </t>
  </si>
  <si>
    <t>http://www.energy.ca.gov/2006publications/CEC-400-2006-005/CEC-400-2006-005.PDF</t>
  </si>
  <si>
    <t>Figure 8-3</t>
  </si>
  <si>
    <t>Electricity Usage by End Use</t>
  </si>
  <si>
    <t>Interior Lighting</t>
  </si>
  <si>
    <t>Exterior Lighting</t>
  </si>
  <si>
    <t>Office equipment</t>
  </si>
  <si>
    <t>Process</t>
  </si>
  <si>
    <t>Motors</t>
  </si>
  <si>
    <t>Air compressors</t>
  </si>
  <si>
    <t>Heating</t>
  </si>
  <si>
    <t>Cooling</t>
  </si>
  <si>
    <t>Ventilation</t>
  </si>
  <si>
    <t>Refrigeration</t>
  </si>
  <si>
    <t>Figure 8-4</t>
  </si>
  <si>
    <t>Natural Gas Usage by End Use</t>
  </si>
  <si>
    <t>Table 8-2: Electric Usage (GWh) by Building Type and End Use</t>
  </si>
  <si>
    <t>Building Type</t>
  </si>
  <si>
    <t>All</t>
  </si>
  <si>
    <t>Small Office</t>
  </si>
  <si>
    <t>Large Office</t>
  </si>
  <si>
    <t>Restaurant</t>
  </si>
  <si>
    <t>Retail</t>
  </si>
  <si>
    <t>Food Storage</t>
  </si>
  <si>
    <t>Refrigerated Warehouse</t>
  </si>
  <si>
    <t>School</t>
  </si>
  <si>
    <t>College</t>
  </si>
  <si>
    <t>Health</t>
  </si>
  <si>
    <t>Lodging</t>
  </si>
  <si>
    <t>All Offices</t>
  </si>
  <si>
    <t>All Warehouses</t>
  </si>
  <si>
    <t>Unrefrigerated Warehouse</t>
  </si>
  <si>
    <t>Heat</t>
  </si>
  <si>
    <t>Cool</t>
  </si>
  <si>
    <t>Vent.</t>
  </si>
  <si>
    <t>Refrig.</t>
  </si>
  <si>
    <t>WH</t>
  </si>
  <si>
    <t>Cook</t>
  </si>
  <si>
    <t>Int Ltg</t>
  </si>
  <si>
    <t>Ext Ltg</t>
  </si>
  <si>
    <t>Office Equip</t>
  </si>
  <si>
    <t>Air Comp</t>
  </si>
  <si>
    <t>Proc</t>
  </si>
  <si>
    <t>Total</t>
  </si>
  <si>
    <t xml:space="preserve">https://appliance-standards.org/sites/default/files/Next%20Gen%20Report%20Final_1.pdf </t>
  </si>
  <si>
    <t>2. CAF = compliance adjustment factor (how many products will comply with the efficiency standard)</t>
  </si>
  <si>
    <t>1 MMBtu =</t>
  </si>
  <si>
    <t>GWh</t>
  </si>
  <si>
    <t>Building Sector (Res, Com)</t>
  </si>
  <si>
    <t>PG/AAEE status</t>
  </si>
  <si>
    <t>Future Standard</t>
  </si>
  <si>
    <t>Priority</t>
  </si>
  <si>
    <t>Current EUC (kWh/yr)</t>
  </si>
  <si>
    <t>Annual Installations</t>
  </si>
  <si>
    <t>Proposed per unit savings (kWh/yr)</t>
  </si>
  <si>
    <t>Proposed per unit savings (Therms/yr)</t>
  </si>
  <si>
    <t>CAF 1</t>
  </si>
  <si>
    <t>CAF 2</t>
  </si>
  <si>
    <t>NOMAD</t>
  </si>
  <si>
    <t>Future Annual GWh savings (first year effective)</t>
  </si>
  <si>
    <t>Future Annual MTherms savings (first year effective)</t>
  </si>
  <si>
    <t>First year NPV savings ($ million)</t>
  </si>
  <si>
    <t>Unit Cost ($/unit) -DEER, CA Measure Cost Study (Itron)</t>
  </si>
  <si>
    <t>Savings source</t>
  </si>
  <si>
    <t>Reason for exclusion</t>
  </si>
  <si>
    <t>res</t>
  </si>
  <si>
    <t>none</t>
  </si>
  <si>
    <t>Not enough data</t>
  </si>
  <si>
    <t>split</t>
  </si>
  <si>
    <t>addressed in general service lamps</t>
  </si>
  <si>
    <t>Minimal savings potential</t>
  </si>
  <si>
    <t>https://www.forbes.com/sites/michaelkanellos/2014/07/29/why-is-power-consumption-for-gadgets-dropping-at-home/#5602dad07315</t>
  </si>
  <si>
    <t>http://ansonalex.com/infographics/tablet-and-ipad-energy-efficiency-and-consumption-infographic/</t>
  </si>
  <si>
    <t>https://www.usnews.com/news/articles/2014/04/22/apples-ipad-sales-boom-ends</t>
  </si>
  <si>
    <t>http://www2.epri.com/Our-Work/Documents/Energy%20Efficiency/iPadEnergyConsumeExecSummary6-2012Final.pdf</t>
  </si>
  <si>
    <t>http://www.danielresearchgroup.com/Portals/0/Downloads/%E2%88%9E%E2%88%AB%CE%94%20DRG%20United%20States%20Personal%20Device%202017-2021%20Forecast%20Q1%202017%20Update.pdf</t>
  </si>
  <si>
    <t>com</t>
  </si>
  <si>
    <t>Expected Q4 2025</t>
  </si>
  <si>
    <t>High</t>
  </si>
  <si>
    <t xml:space="preserve">https://www.google.com/about/datacenters/efficiency/internal/#servers </t>
  </si>
  <si>
    <t xml:space="preserve">http://mashable.com/2014/09/30/doe-energy-efficiency/#FpOeifQJnuqp </t>
  </si>
  <si>
    <t>Not enough data; likely minimal savings potential</t>
  </si>
  <si>
    <t>n/a</t>
  </si>
  <si>
    <t>Residential Clothes Dryer (electric)</t>
  </si>
  <si>
    <t>Fed 2015</t>
  </si>
  <si>
    <t>Energy Star/ASAP 2016</t>
  </si>
  <si>
    <t>Excluding heat pump clothes dryers at this time; emerging tech</t>
  </si>
  <si>
    <t>Future Fed</t>
  </si>
  <si>
    <t>Residential Clothes Dryer (gas)</t>
  </si>
  <si>
    <t>https://appliance-standards.org/sites/default/files/Next%20Gen%20Report%20Final_1.pdf</t>
  </si>
  <si>
    <t>Residential Clothes Washers (Top Loading)</t>
  </si>
  <si>
    <t>Fed 2018</t>
  </si>
  <si>
    <t>Commercial Clothes Washers</t>
  </si>
  <si>
    <t>Fed 2019</t>
  </si>
  <si>
    <t>ASAP Next Gen</t>
  </si>
  <si>
    <t>Residential Dishwasher</t>
  </si>
  <si>
    <t>Fed 2013</t>
  </si>
  <si>
    <t>Commercial Dishwasher</t>
  </si>
  <si>
    <t>There is a commercial Diswhasher Pre-Rinse Spray Valve standard T-20 2006</t>
  </si>
  <si>
    <t>Residential Refrigerators and Freezers</t>
  </si>
  <si>
    <t>Fed 2014</t>
  </si>
  <si>
    <t>Energy Star/RASS 2009/ASAP 2016</t>
  </si>
  <si>
    <t>ENERGY STAR, ASAP 2016</t>
  </si>
  <si>
    <t>https://www.energystar.gov/products/appliances/refrigerators</t>
  </si>
  <si>
    <t>https://www.statista.com/statistics/271533/refrigerator-and-freezer-shipments-in-the-us-since-2009/</t>
  </si>
  <si>
    <t>Fed 2017</t>
  </si>
  <si>
    <t>Residential Air-source HP</t>
  </si>
  <si>
    <t>Potentially</t>
  </si>
  <si>
    <t>Excluding heat pump technology at this time</t>
  </si>
  <si>
    <t>Check Fed 2015 for HPs</t>
  </si>
  <si>
    <t>Commercial Air-Source HP</t>
  </si>
  <si>
    <t>Residential Boilers (gas)</t>
  </si>
  <si>
    <t>Fed 2021</t>
  </si>
  <si>
    <t>Commercial Boilers (gas)</t>
  </si>
  <si>
    <t>Fed 2012</t>
  </si>
  <si>
    <t>Residential Furnaces (gas)</t>
  </si>
  <si>
    <t>Commercial Furnaces (gas)</t>
  </si>
  <si>
    <t>Fed 2023</t>
  </si>
  <si>
    <t>Residential Geothermal HP</t>
  </si>
  <si>
    <t>Potent. Fed 2015</t>
  </si>
  <si>
    <t>Commercial Geothermal HP</t>
  </si>
  <si>
    <t>Ventilation fans (Fans &amp; Blowers)</t>
  </si>
  <si>
    <t>Expected Q4 2022</t>
  </si>
  <si>
    <t>AAEE Ph 2/Energy Star/ASAP 2016</t>
  </si>
  <si>
    <t>http://docketpublic.energy.ca.gov/PublicDocuments/17-AAER-06/TN219236_20170616T162659_California_Investor_Owned_Utilities_Comments_Response_to_Invita.pdf</t>
  </si>
  <si>
    <t>https://www.regulations.gov/document?D=EERE-2013-BT-STD-0006-0192</t>
  </si>
  <si>
    <t>Check the Fed Ceiling Fan Light Kits (Fed 2019)</t>
  </si>
  <si>
    <t>Addressed in general service lamps</t>
  </si>
  <si>
    <t>Lots of potential areas this is covered</t>
  </si>
  <si>
    <t>Fed?</t>
  </si>
  <si>
    <t>Addressed in CRAC</t>
  </si>
  <si>
    <t>Residential Imaging equipment</t>
  </si>
  <si>
    <t>Energy Star/CEC</t>
  </si>
  <si>
    <t>Energy Star, Energy Use Calculator</t>
  </si>
  <si>
    <t>https://www.energystar.gov/products/office_equipment/imaging_equipment</t>
  </si>
  <si>
    <t>0.621 lbs Co2e/kWh (EIA 2015)</t>
  </si>
  <si>
    <t>30-50 W (active 0.25 hr/day); 3-5 W (standby 8 hr/day)</t>
  </si>
  <si>
    <t>http://energyusecalculator.com/electricity_printer.htm</t>
  </si>
  <si>
    <t>Commercial Imaging equipment</t>
  </si>
  <si>
    <t>300-500 W (active 1 hr/day); 30-50 W (standby 7 hr/day)</t>
  </si>
  <si>
    <t>Uninterruptible Power Supply (UPS)</t>
  </si>
  <si>
    <t>Addressed in External Power Supply?</t>
  </si>
  <si>
    <t>Fed 2011</t>
  </si>
  <si>
    <t>Residential heat pump water heaters</t>
  </si>
  <si>
    <t>Fed 2015?</t>
  </si>
  <si>
    <t>Included in Electric Storage WHs?</t>
  </si>
  <si>
    <t>High efficiency gas tankless water heaters</t>
  </si>
  <si>
    <t>Residential central AC (not heat pumps)</t>
  </si>
  <si>
    <t>T20 2013</t>
  </si>
  <si>
    <t>ESTAR v5.0 30% more efficient</t>
  </si>
  <si>
    <t>Energy Star/ Title 20 CASE</t>
  </si>
  <si>
    <t>http://www.energy.ca.gov/appliances/2009_tvregs/documents/2009-10-13_hearing/2009-10-13_STAFF_PRESENTATION.PDF</t>
  </si>
  <si>
    <t>https://www.energystar.gov/ia/partners/prod_development/revisions/downloads/television/Final_Version%204_5_TV_Program_Requirements.pdf?b8ba-a881</t>
  </si>
  <si>
    <t>http://www.energy.ca.gov/2009publications/CEC-400-2009-024/CEC-400-2009-024.PDF</t>
  </si>
  <si>
    <t>Microwave Oven</t>
  </si>
  <si>
    <t>Fed 2016</t>
  </si>
  <si>
    <t>RASS 2009/ASAP 2016</t>
  </si>
  <si>
    <t>n/a current T20</t>
  </si>
  <si>
    <t>Residential Pool heating</t>
  </si>
  <si>
    <t>T20 savings already claimed</t>
  </si>
  <si>
    <t>Expected 2018</t>
  </si>
  <si>
    <t>Navigant/CEC</t>
  </si>
  <si>
    <t>include from CASE report</t>
  </si>
  <si>
    <t>Title 20 CASE</t>
  </si>
  <si>
    <t>http://docketpublic.energy.ca.gov/PublicDocuments/17-AAER-12/TN219241_20170616T163814_California_Investor_Owned_Utilities_Comments_Response_to_Invita.pdf</t>
  </si>
  <si>
    <t>http://docketpublic.energy.ca.gov/PublicDocuments/17-AAER-12/TN219242_20170616T163957_California_Investor_Owned_Utilities_Comments_Response_to_Invita.pdf</t>
  </si>
  <si>
    <t>http://www.energy.ca.gov/2016publications/CEC-500-2016-034/CEC-500-2016-034.pdf</t>
  </si>
  <si>
    <t>http://docketpublic.energy.ca.gov/PublicDocuments/17-AAER-13/TN219245_20170616T164459_California_Investor_Owned_Utilities_Comments_Response_to_Invita.pdf</t>
  </si>
  <si>
    <t>Expected (20% derated)</t>
  </si>
  <si>
    <t>Expected 2020</t>
  </si>
  <si>
    <t>Title 20 CASE (2013)</t>
  </si>
  <si>
    <t>http://www.energy.ca.gov/appliances/2013rulemaking/documents/proposals/12-AAER-2D_Commercial_Clothes_Dryers/California_IOUs_Response_to_the_Invitation_for_Standards_Proposals_for_Commercial_Clothes_Dryers_2013-07-30_TN-71757.pdf</t>
  </si>
  <si>
    <t>http://docketpublic.energy.ca.gov/PublicDocuments/Migration-12-22-2015/Non-Regulatory/12-AAER-2D/TN%2074287%2012-22-14%20Refinement%20to%20Commercial%20Clothes%20Dryer%20CASE%20study%20Dec%2022%202014.pdf</t>
  </si>
  <si>
    <t>Navigant/Energy Star/RASS 2009</t>
  </si>
  <si>
    <t>Computers - Small Scale Servers (enterprise?)</t>
  </si>
  <si>
    <t>Computers - Notebooks (revised)</t>
  </si>
  <si>
    <t>Internal</t>
  </si>
  <si>
    <t>Expected 2021</t>
  </si>
  <si>
    <t>http://energyusecalculator.com/electricity_gameconsole.htm</t>
  </si>
  <si>
    <t>https://www.nrdc.org/experts/pierre-delforge/latest-generation-video-game-consoles-how-much-energy-do-they-waste-when</t>
  </si>
  <si>
    <t>https://www.statista.com/statistics/685117/us-game-consoles-unit-sales/</t>
  </si>
  <si>
    <t>Navigant/AAEE/Energy Star/RASS 2009</t>
  </si>
  <si>
    <t>unknown</t>
  </si>
  <si>
    <t xml:space="preserve">https://www.forbes.com/sites/michaelkanellos/2014/07/29/why-is-power-consumption-for-gadgets-dropping-at-home/#5602dad07315 </t>
  </si>
  <si>
    <t>http://docketpublic.energy.ca.gov/PublicDocuments/17-AAER-11/TN219240_20170616T163628_California_Investor_Owned_Utilities_Comments_Response_to_Invita.pdf</t>
  </si>
  <si>
    <t>Expected2018</t>
  </si>
  <si>
    <t xml:space="preserve">http://www.energy.ca.gov/appliances/2013rulemaking/documents/proposals/12-AAER-2B_Lighting/California_IOUs_Response_to_the_Invitation_for_Standards_Proposals_for_Small_Diameter_Directional_Lamps_2013-07-29_TN-71763.pdf </t>
  </si>
  <si>
    <t>http://www.energy.ca.gov/2014publications/CEC-400-2014-020/CEC-400-2014-020-SD.pdf</t>
  </si>
  <si>
    <t>Expected 2023</t>
  </si>
  <si>
    <t>Navigant/ Energy Star</t>
  </si>
  <si>
    <t xml:space="preserve">http://www.energy.ca.gov/appliances/2013rulemaking/documents/proposals/12-AAER-2A_Consumer_Electronics/California_IOUs_Response_to_the_Invitation_for_Standards_Proposals_for_Small_Network_Equipment_2013-07-29_TN-71761.pdf </t>
  </si>
  <si>
    <t>http://www.energy.ca.gov/appliances/2013rulemaking/documents/proposals/12-AAER-2A_Consumer_Electronics/Information_Technology_Industry_Council_Proposal_for_Standards_Consumer_Electronics_Networking_Equipment_2013-07-29_TN-71729.pdf</t>
  </si>
  <si>
    <t>http://www.energy.ca.gov/appliances/2013rulemaking/documents/proposals/12-AAER-2C_Water_Appliances/California_IOUs_and_Natural_Resources_defense_Councils_Responses_to_the_Invitation_for_Standards_Proposals_for_Water_Meters_-_Updated_2013-08-05_TN-71811.pdf</t>
  </si>
  <si>
    <t>Battery chargers (nonconsumer products, battery backups (golf carts?)</t>
  </si>
  <si>
    <t>CEC</t>
  </si>
  <si>
    <t>Consumer Audio Visual Equipment</t>
  </si>
  <si>
    <t>Look at IOU white papers</t>
  </si>
  <si>
    <t>Residential fans (exhaust, whole house, etc)</t>
  </si>
  <si>
    <t>res new construction</t>
  </si>
  <si>
    <t xml:space="preserve">https://www.energystar.gov/products/heating_cooling/fans_ventilating/key_product_criteria </t>
  </si>
  <si>
    <t>http://homeguides.sfgate.com/much-electricity-bathroom-fan-use-95199.html</t>
  </si>
  <si>
    <t>https://www.energystar.gov/most-efficient/me-certified-ventilating-fans</t>
  </si>
  <si>
    <t>T12 High CRI fluorescent ballasts</t>
  </si>
  <si>
    <t>Small Diameter Directional Lamps (Tier 2)</t>
  </si>
  <si>
    <t>Residential Clothes Washers</t>
  </si>
  <si>
    <t>Commercial package AC and heating equipment</t>
  </si>
  <si>
    <t>Ranges and ovens (electric)</t>
  </si>
  <si>
    <t>Ranges and ovens (gas)</t>
  </si>
  <si>
    <t>Wine Chiller</t>
  </si>
  <si>
    <t>Battery chargers</t>
  </si>
  <si>
    <t>T20</t>
  </si>
  <si>
    <t>Fed and T20</t>
  </si>
  <si>
    <t>Faucets</t>
  </si>
  <si>
    <t>Showerheads</t>
  </si>
  <si>
    <t>Toilets</t>
  </si>
  <si>
    <t>Commercial 3-phase AC and heat pumps</t>
  </si>
  <si>
    <t>Commercial air compressors</t>
  </si>
  <si>
    <t>Computer Room Air Conditioners (CRAC)</t>
  </si>
  <si>
    <t>Distribution transformers</t>
  </si>
  <si>
    <t>Electric motors</t>
  </si>
  <si>
    <t>Packaged Terminal AC (PTAC) and HP (PTHP)</t>
  </si>
  <si>
    <t>Fed</t>
  </si>
  <si>
    <t>Pumps</t>
  </si>
  <si>
    <t>Single-package vertical AC and HPs</t>
  </si>
  <si>
    <t>Small Motors</t>
  </si>
  <si>
    <t>Water-source heat pumps</t>
  </si>
  <si>
    <t>TOTAL</t>
  </si>
  <si>
    <t>TVs</t>
  </si>
  <si>
    <t xml:space="preserve">http://www.energy.ca.gov/2009publications/CEC-400-2009-024/CEC-400-2009-024.PDF </t>
  </si>
  <si>
    <t>Screen Type</t>
  </si>
  <si>
    <t>Size (in.)</t>
  </si>
  <si>
    <t>Screen Area (sq. in.)</t>
  </si>
  <si>
    <t>Resolution (pixels)</t>
  </si>
  <si>
    <t>Maximum On Mode Power for Certification (watts)</t>
  </si>
  <si>
    <t>Maximum Standby-Passive Mode Power for Certification (watts)</t>
  </si>
  <si>
    <t>Power Consumption in Standby Mode When Network Connected (watts)</t>
  </si>
  <si>
    <t>Ethernet Supported</t>
  </si>
  <si>
    <t>Reported Annual Energy Consumption (kWh)</t>
  </si>
  <si>
    <t>ENERGY STAR Most Efficient 2017</t>
  </si>
  <si>
    <t>T20 Tier 2 effective 2013</t>
  </si>
  <si>
    <t>LCD</t>
  </si>
  <si>
    <t>1366x768</t>
  </si>
  <si>
    <t>None</t>
  </si>
  <si>
    <t>ESTAR v7.0 effective 2015</t>
  </si>
  <si>
    <t>1920x1080</t>
  </si>
  <si>
    <t>Max Watts</t>
  </si>
  <si>
    <t>3840x2160</t>
  </si>
  <si>
    <t>Area (in2)</t>
  </si>
  <si>
    <t>Screen size (in)</t>
  </si>
  <si>
    <t>T20 Tier 2 active on mode</t>
  </si>
  <si>
    <t>0.12*Area(in2)+25 watts</t>
  </si>
  <si>
    <t>ESTAR v5.0 active on mode</t>
  </si>
  <si>
    <t>0.084*Area(in2)+18</t>
  </si>
  <si>
    <t>ESTAR v7.0 active on mode</t>
  </si>
  <si>
    <t>78.5*tanh(0.0005*(Area-140)+0.0038)+14</t>
  </si>
  <si>
    <t>% change</t>
  </si>
  <si>
    <t>T20 Tier 2 standby-passive</t>
  </si>
  <si>
    <t>max 1W</t>
  </si>
  <si>
    <t>ESTAR v7.0 standby-passive</t>
  </si>
  <si>
    <t>max 0.5W</t>
  </si>
  <si>
    <t>T20 Tier 2 standby-active</t>
  </si>
  <si>
    <t>ESTAR v7.0 standby-active</t>
  </si>
  <si>
    <t>3W</t>
  </si>
  <si>
    <t>Required to communicate over the Internet via Ethernet or WiFi</t>
  </si>
  <si>
    <t>Other</t>
  </si>
  <si>
    <t>On mode</t>
  </si>
  <si>
    <t>Standby-passive</t>
  </si>
  <si>
    <t>Standby-active</t>
  </si>
  <si>
    <t>T20 Tier 2</t>
  </si>
  <si>
    <t>ESTAR v7.0</t>
  </si>
  <si>
    <t>TV Type</t>
  </si>
  <si>
    <t>Stock or annual sales</t>
  </si>
  <si>
    <t>Power Use (W)</t>
  </si>
  <si>
    <t>unit energy savings (kWh/yr)</t>
  </si>
  <si>
    <t>energy consumption million kWh/yr</t>
  </si>
  <si>
    <t>hours of use/yr</t>
  </si>
  <si>
    <t>unit energy use (kWh/yr)</t>
  </si>
  <si>
    <t>first year GWh savings</t>
  </si>
  <si>
    <t>% reduction in energy consumption</t>
  </si>
  <si>
    <t>Total existing (CASE)</t>
  </si>
  <si>
    <t>T20 proposed - Tier 1 (CASE)</t>
  </si>
  <si>
    <t>T20 proposed - Tier 2 (CASE)</t>
  </si>
  <si>
    <t>EStAR v5.0 (30% reduction)</t>
  </si>
  <si>
    <t>energy use (kWh/yr)</t>
  </si>
  <si>
    <t>average</t>
  </si>
  <si>
    <t>median</t>
  </si>
  <si>
    <t>mode</t>
  </si>
  <si>
    <t>energy use (Watts)</t>
  </si>
  <si>
    <t>Fast Ethernet (100 Mbit/s)</t>
  </si>
  <si>
    <t>Fast Ethernet (100 Mbit/s),Gigabit Ethernet (1000 Mbit/s)</t>
  </si>
  <si>
    <t>1920x2160</t>
  </si>
  <si>
    <t>Fast Ethernet (100 Mbit/s),Other</t>
  </si>
  <si>
    <t>2160x3840</t>
  </si>
  <si>
    <t>OLED</t>
  </si>
  <si>
    <t>1920 x1080</t>
  </si>
  <si>
    <t>#ERROR</t>
  </si>
  <si>
    <t>1366 x768</t>
  </si>
  <si>
    <t>768x1366</t>
  </si>
  <si>
    <t>1080x1920</t>
  </si>
  <si>
    <t>Fast Ethernet (100 Mbit/s),Fast Energy Efficient Ethernet (IEEE 802.3az)</t>
  </si>
  <si>
    <t>Gigabit Ethernet (1000 Mbit/s)</t>
  </si>
  <si>
    <t>3480x2160</t>
  </si>
  <si>
    <t>1600x900</t>
  </si>
  <si>
    <t>Fast Ethernet (100 Mbit/s),Fast Energy Efficient Ethernet (IEEE 802.3az),Other</t>
  </si>
  <si>
    <t>Printers</t>
  </si>
  <si>
    <t>Date research was conducted</t>
  </si>
  <si>
    <t>Percent of Downloads</t>
  </si>
  <si>
    <t>Annual Units Sold</t>
  </si>
  <si>
    <t>Global Market Share</t>
  </si>
  <si>
    <t>US Market Share</t>
  </si>
  <si>
    <t>Hewlett Packard HP</t>
  </si>
  <si>
    <t>Canon</t>
  </si>
  <si>
    <t>Epson</t>
  </si>
  <si>
    <t>Brothers</t>
  </si>
  <si>
    <t>Samsung</t>
  </si>
  <si>
    <t>Xerox</t>
  </si>
  <si>
    <t>Others</t>
  </si>
  <si>
    <t>CA (12%)</t>
  </si>
  <si>
    <t>From SCE Work Paper SCE13CS008, Rev 2: Energy Star Audio Equipment</t>
  </si>
  <si>
    <t xml:space="preserve">Solution </t>
  </si>
  <si>
    <t>Description</t>
  </si>
  <si>
    <t>Annual Electric Savings (kWh/unit)</t>
  </si>
  <si>
    <t>Annual installations</t>
  </si>
  <si>
    <t>Code</t>
  </si>
  <si>
    <t>CE-92392</t>
  </si>
  <si>
    <t>Energy Star 3.0 Component Equipment replacing</t>
  </si>
  <si>
    <t>T20 Component Equipment</t>
  </si>
  <si>
    <t>CE-25413</t>
  </si>
  <si>
    <t>Energy Star 3.0 Compact Stereo replacing</t>
  </si>
  <si>
    <t>T20 Compact Stereo</t>
  </si>
  <si>
    <t>CE-17389</t>
  </si>
  <si>
    <t>Energy Star 3.0 MP3 Docking Station replacing</t>
  </si>
  <si>
    <t>T20 MP3 Docking Station</t>
  </si>
  <si>
    <t>CE-92565</t>
  </si>
  <si>
    <t>Energy Star 3.0 HTIB replacing</t>
  </si>
  <si>
    <t>T20 HTIB</t>
  </si>
  <si>
    <t>CE-59948</t>
  </si>
  <si>
    <t>Energy Star 3.0 Clock Radio replacing</t>
  </si>
  <si>
    <t>T20 Clock Radio</t>
  </si>
  <si>
    <t>Source: Navigant 2018 Potential and Goals Study</t>
  </si>
  <si>
    <t>PG Status</t>
  </si>
  <si>
    <t>Personal computer</t>
  </si>
  <si>
    <t>1. NOMAD follows ASAP 2016 study, which assumes 10% for non-ENERGY STAR products and 25% for ENERGY STAR</t>
  </si>
  <si>
    <t>3. Nationwide savings are estimated for California by applying population adjustment to annual installations (12%)</t>
  </si>
  <si>
    <t>Scenario 1: LOW</t>
  </si>
  <si>
    <t>Scenario 1: MID</t>
  </si>
  <si>
    <t>Scenario 3: HIGH</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</si>
  <si>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</si>
  <si>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</si>
  <si>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</si>
  <si>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</si>
  <si>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</si>
  <si>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</si>
  <si>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</si>
  <si>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</si>
  <si>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</si>
  <si>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</si>
  <si>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</si>
  <si>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</si>
  <si>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</si>
  <si>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</si>
  <si>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Reference</t>
  </si>
  <si>
    <t xml:space="preserve">This tab shows the "reference" case of the analysis which assumes business-as-usual trends. </t>
  </si>
  <si>
    <t>Conservative</t>
  </si>
  <si>
    <t xml:space="preserve">This tab shows the "conservative" case of the analysis built upon the "reference" case. </t>
  </si>
  <si>
    <t xml:space="preserve">This tab shows the "aggressive" case of the analysis built upon the "reference" case. </t>
  </si>
  <si>
    <t>Graph (electricity)</t>
  </si>
  <si>
    <t xml:space="preserve">This graph shows the SB 350 electricity savings potential by scenario, for both residential and nonresidential sectors. </t>
  </si>
  <si>
    <t>Graph (gas)</t>
  </si>
  <si>
    <t xml:space="preserve">This graph shows the SB 350 natural gas savings potential by scenario, for both residential and nonresidential sectors. </t>
  </si>
  <si>
    <t>Acronym Definition</t>
  </si>
  <si>
    <t>Definition</t>
  </si>
  <si>
    <t xml:space="preserve">Gigawatt hours </t>
  </si>
  <si>
    <t>MM Therms</t>
  </si>
  <si>
    <t>Million therms</t>
  </si>
  <si>
    <t>SB 350</t>
  </si>
  <si>
    <t>Senate Bill 350</t>
  </si>
  <si>
    <t>Title 24</t>
  </si>
  <si>
    <t>Additional Achievable Energy Efficiency is defined by the Energy Commission as energy savings not yet considered committed but deemed likely to occur, including future updates of building codes, appliance regulations, and utility efficiency programs</t>
  </si>
  <si>
    <t>Residential</t>
  </si>
  <si>
    <t>Single family and multi-family buildings</t>
  </si>
  <si>
    <t>Non-residential</t>
  </si>
  <si>
    <t xml:space="preserve">Commercial, excluding industrial and agriculture. </t>
  </si>
  <si>
    <t>Program Information</t>
  </si>
  <si>
    <t>Program</t>
  </si>
  <si>
    <t>Category</t>
  </si>
  <si>
    <t>Building Sectors</t>
  </si>
  <si>
    <t>Program Term</t>
  </si>
  <si>
    <t>Data Sources</t>
  </si>
  <si>
    <t>Savings Allocation by Sector</t>
  </si>
  <si>
    <t>Calculated directly in the analysis</t>
  </si>
  <si>
    <t>Savings Overlap Assumptions</t>
  </si>
  <si>
    <t>Utility Savings Overlap</t>
  </si>
  <si>
    <t>Demand Forecast Overlap</t>
  </si>
  <si>
    <t>AAEE Overlap</t>
  </si>
  <si>
    <t>Scenario Assumptions</t>
  </si>
  <si>
    <t>Reference Case</t>
  </si>
  <si>
    <t>Conservative Case</t>
  </si>
  <si>
    <t>Aggressive Case</t>
  </si>
  <si>
    <t>Program:</t>
  </si>
  <si>
    <t>Scenario:</t>
  </si>
  <si>
    <t>Entity</t>
  </si>
  <si>
    <t>Program Bin</t>
  </si>
  <si>
    <t>Program Type</t>
  </si>
  <si>
    <t>Scenario</t>
  </si>
  <si>
    <t xml:space="preserve">Energy Unit </t>
  </si>
  <si>
    <t>ELECTRICITY - CUMULATIVE SAVINGS</t>
  </si>
  <si>
    <t>Cumulative Energy Savings Potential - Electricity</t>
  </si>
  <si>
    <t>Aggressive</t>
  </si>
  <si>
    <t>GAS - CUMULATIVE SAVINGS</t>
  </si>
  <si>
    <t>Cumulative Energy Savings Potential - Gas</t>
  </si>
  <si>
    <t xml:space="preserve">Residential </t>
  </si>
  <si>
    <t>Combined</t>
  </si>
  <si>
    <t>Assumptions:</t>
  </si>
  <si>
    <t>Title 20</t>
  </si>
  <si>
    <t>FOR LOOKUP PURPOSES</t>
  </si>
  <si>
    <t>Bldg Sector(s)</t>
  </si>
  <si>
    <t>Codes &amp; Standards</t>
  </si>
  <si>
    <t>RES, NR</t>
  </si>
  <si>
    <t>Fed/CEC</t>
  </si>
  <si>
    <t>Local Government Ordinances</t>
  </si>
  <si>
    <t>Local</t>
  </si>
  <si>
    <t>Air Quality Districts</t>
  </si>
  <si>
    <t>State Financing</t>
  </si>
  <si>
    <t>Local Government Challenge</t>
  </si>
  <si>
    <t>Proposition 39</t>
  </si>
  <si>
    <t>NR</t>
  </si>
  <si>
    <t>CEC/CCC</t>
  </si>
  <si>
    <t>GGRF: Low Income Weather</t>
  </si>
  <si>
    <t>RES</t>
  </si>
  <si>
    <t>State of CA</t>
  </si>
  <si>
    <t>GGRF: Water-Energy Grant</t>
  </si>
  <si>
    <t>DWR</t>
  </si>
  <si>
    <t>DGS EE Retrofit</t>
  </si>
  <si>
    <t>DGS</t>
  </si>
  <si>
    <t>ECAA Financing</t>
  </si>
  <si>
    <t>PACE Financing</t>
  </si>
  <si>
    <t>Benchmarking and Public Disclosure</t>
  </si>
  <si>
    <t>Special Categories</t>
  </si>
  <si>
    <t>Behavorial, Retrocommissioning, Operational Savings</t>
  </si>
  <si>
    <t>Energy Asset Rating</t>
  </si>
  <si>
    <t>Smart Meter Data Analytics</t>
  </si>
  <si>
    <t>Electrification</t>
  </si>
  <si>
    <t>Non_Residential</t>
  </si>
  <si>
    <t>Single Family</t>
  </si>
  <si>
    <t>Hospital</t>
  </si>
  <si>
    <t>Low-rise Multi-family</t>
  </si>
  <si>
    <t>Hotel</t>
  </si>
  <si>
    <t>High-rise Multi-family</t>
  </si>
  <si>
    <t>Non-refrigerated warehouse</t>
  </si>
  <si>
    <t>Office, Large</t>
  </si>
  <si>
    <t>Office, Small</t>
  </si>
  <si>
    <t>Supermarket</t>
  </si>
  <si>
    <t>Other (Lab, data center, assembly, religious workship, etc.)</t>
  </si>
  <si>
    <t>Overall Assumptions</t>
  </si>
  <si>
    <t>Assume compliance adjustment factor per Navigant data</t>
  </si>
  <si>
    <t xml:space="preserve">      a. Reference: CAF set at 85% based on Navigant data</t>
  </si>
  <si>
    <t xml:space="preserve">      b. Conservative: CAF set at 85% based on Navigant data; Updates only to current measures</t>
  </si>
  <si>
    <t xml:space="preserve">      c. Aggressive: CAF improved to 100% for more aggressive savings estimate</t>
  </si>
  <si>
    <t>Federal Appliance Standards</t>
  </si>
  <si>
    <t>Appendix A3 - Federal Appliance Standards</t>
  </si>
  <si>
    <t>Future Fed and T20</t>
  </si>
  <si>
    <t>2018 PG Study</t>
  </si>
  <si>
    <t>C&amp;S list provided by Navigant.</t>
  </si>
  <si>
    <t>U.S. DOE Test Standards</t>
  </si>
  <si>
    <t>U.S. DOE Building Technology Office (BTO) Multi-Year Program Plan: Fiscal Years 2016-2020</t>
  </si>
  <si>
    <t xml:space="preserve">2003 and 2012 Commercial Building Energy Consumption Survey (CBECS) from U.S. Energy Information Administration </t>
  </si>
  <si>
    <t>CBECS Data</t>
  </si>
  <si>
    <t xml:space="preserve">2006 California Commercial End Use Survey (CEUS) </t>
  </si>
  <si>
    <t>CEUS Data</t>
  </si>
  <si>
    <t>2009 California Residential Appliance Saturation Survey (RASS)</t>
  </si>
  <si>
    <t>RASS Data</t>
  </si>
  <si>
    <t>CEC Demand Forecast office residential and nonresidential building stock and new construction forecast</t>
  </si>
  <si>
    <t>ENERGY STAR® and other voluntary standard and specification product databases</t>
  </si>
  <si>
    <t>California Investor Owned Utility (IOU) and other utility-sponsored incentive programs for specific appliance installations, such as those for refrigerators, water heaters, and pool pumps</t>
  </si>
  <si>
    <t>Expected Title 20 appliance standards</t>
  </si>
  <si>
    <t>Interview ASAP staff</t>
  </si>
  <si>
    <t>Energy Conservation Program: Energy Conservation Standards Final Rulemaking documents</t>
  </si>
  <si>
    <t>Product shipment or installation data from manufacturing industry representatives, such as NEMA, or U.S. government imports data.</t>
  </si>
  <si>
    <t>CEC Data</t>
  </si>
  <si>
    <t>ASAP Data</t>
  </si>
  <si>
    <t xml:space="preserve">Appliance Standard Awareness Program (ASAP) U.S. DOE Appliance Standards Rulemakings Schedule 2016 – 2017 </t>
  </si>
  <si>
    <t>ENERGY STAR Data</t>
  </si>
  <si>
    <t>Utility Data</t>
  </si>
  <si>
    <t>Title 20 Data from CEC</t>
  </si>
  <si>
    <t>Interview Data</t>
  </si>
  <si>
    <t>Statewide IOU Emerging Technologies Program (ETP) and Emerging Technologies Coordination Council (ETCC)</t>
  </si>
  <si>
    <t>ETP and ETCC Information</t>
  </si>
  <si>
    <t>Energy Corps Data</t>
  </si>
  <si>
    <t>Product Shipment Data</t>
  </si>
  <si>
    <t>Assumed that DOE will adopt updates to current Federal Appliance standards, where feasible, and will also adopt new standards for currently unregulated appliances and products. The compliance factor, which represents the proportion of the market that will comply with the standard at the time it goes into effect, is set at 85 percent in alignment with Navigant’s assumption.</t>
  </si>
  <si>
    <t>Assumed that DOE will adopt updates to current Federal Appliance standards, where feasible, but will not consider adopting new standards for currently unregulated appliances and products. The compliance factor is set at 85 percent in alignment with Navigant’s assumptions.</t>
  </si>
  <si>
    <t xml:space="preserve">Assumed that DOE will adopt updates to current Federal Appliance standards, where feasible, and will also adopt new standards for currently unregulated appliances and products. The compliance factor is set at 100 percent as requested by CEC. </t>
  </si>
  <si>
    <t>IOU sponsored incentive programs, including whole building, appliance incentive, and direct install programs because the baseline efficiency is improved, reducing savings for higher efficiency appliances.</t>
  </si>
  <si>
    <t xml:space="preserve">Overlap with Title 24 because federal appliance standards improve the efficiency of appliances installed in the building, and therefore, will improve the Title 24 baseline efficiencies. </t>
  </si>
  <si>
    <t>Overlap with Title 20 for standards where California has regulated an appliance prior to DOE or in instances where federal appliance law exempts California from preemption by federal standards.</t>
  </si>
  <si>
    <t>Negligible</t>
  </si>
  <si>
    <t>2019 through 2029</t>
  </si>
  <si>
    <t>General Data</t>
  </si>
  <si>
    <t>The starting year of the analysis depends on Navigant’s 2018 Potential and Goals study.</t>
  </si>
  <si>
    <t>Assume compliance adjustment factor per Navigant data; Only include updates to current measures</t>
  </si>
  <si>
    <t>CUMULATIVE - GWh savings</t>
  </si>
  <si>
    <t>CUMULATIVE - Mtherms savings</t>
  </si>
  <si>
    <t>ANNUAL - GWh savings</t>
  </si>
  <si>
    <t>ANNUAL - Mtherms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</si>
</sst>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0.0%"/>
    <numFmt numFmtId="168" formatCode="_(* #,##0.0_);_(* \(#,##0.0\);_(* &quot;-&quot;??_);_(@_)"/>
    <numFmt numFmtId="169" formatCode="[$-F800]dddd\,\ mmmm\ dd\,\ yyyy"/>
    <numFmt numFmtId="170" formatCode="&quot;$&quot;#,##0"/>
  </numFmts>
  <fonts count="36"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u/>
      <sz val="11"/>
      <color theme="1"/>
      <name val="Calibri"/>
      <family val="2"/>
      <scheme val="minor"/>
    </font>
    <font>
      <b/>
      <sz val="11"/>
      <color rgb="FFFFFFFF"/>
      <name val="Arial Narrow"/>
      <family val="2"/>
    </font>
    <font>
      <sz val="11"/>
      <color theme="1"/>
      <name val="Arial Narrow"/>
      <family val="2"/>
    </font>
    <font>
      <sz val="11"/>
      <name val="Calibri"/>
      <family val="2"/>
      <scheme val="minor"/>
    </font>
    <font>
      <b/>
      <sz val="9"/>
      <color indexed="81"/>
      <name val="Tahoma"/>
      <family val="2"/>
    </font>
    <font>
      <sz val="9"/>
      <color indexed="81"/>
      <name val="Tahoma"/>
      <family val="2"/>
    </font>
    <font>
      <sz val="10"/>
      <color rgb="FF232323"/>
      <name val="Arial"/>
      <family val="2"/>
    </font>
    <font>
      <b/>
      <sz val="10"/>
      <color rgb="FFB19B57"/>
      <name val="Arial"/>
      <family val="2"/>
    </font>
    <font>
      <sz val="10"/>
      <color rgb="FF333333"/>
      <name val="Arial"/>
      <family val="2"/>
    </font>
    <font>
      <b/>
      <sz val="10"/>
      <color theme="1"/>
      <name val="Calibri"/>
      <family val="2"/>
      <scheme val="minor"/>
    </font>
    <font>
      <sz val="10"/>
      <color theme="1"/>
      <name val="Calibri"/>
      <family val="2"/>
      <scheme val="minor"/>
    </font>
    <font>
      <b/>
      <sz val="11"/>
      <color theme="1"/>
      <name val="Arial"/>
      <family val="2"/>
    </font>
    <font>
      <sz val="18"/>
      <color theme="1"/>
      <name val="Arial"/>
      <family val="2"/>
    </font>
    <font>
      <b/>
      <sz val="14"/>
      <color theme="1"/>
      <name val="Arial"/>
      <family val="2"/>
    </font>
    <font>
      <b/>
      <sz val="18"/>
      <color theme="1"/>
      <name val="Calibri"/>
      <family val="2"/>
    </font>
    <font>
      <sz val="12"/>
      <color theme="1"/>
      <name val="Calibri"/>
      <family val="2"/>
      <scheme val="minor"/>
    </font>
    <font>
      <b/>
      <i/>
      <sz val="18"/>
      <color theme="1"/>
      <name val="Calibri"/>
      <family val="2"/>
      <scheme val="minor"/>
    </font>
    <font>
      <b/>
      <sz val="14"/>
      <color theme="1"/>
      <name val="Calibri"/>
      <family val="2"/>
      <scheme val="minor"/>
    </font>
    <font>
      <sz val="14"/>
      <color theme="1"/>
      <name val="Calibri"/>
      <family val="2"/>
      <scheme val="minor"/>
    </font>
    <font>
      <sz val="14"/>
      <color theme="1"/>
      <name val="Arial"/>
      <family val="2"/>
    </font>
    <font>
      <b/>
      <sz val="11"/>
      <color rgb="FF0070C0"/>
      <name val="Calibri"/>
      <family val="2"/>
      <scheme val="minor"/>
    </font>
    <font>
      <sz val="10"/>
      <color theme="1"/>
      <name val="Arial"/>
      <family val="2"/>
    </font>
    <font>
      <b/>
      <sz val="11"/>
      <color rgb="FFFF0000"/>
      <name val="Calibri"/>
      <family val="2"/>
      <scheme val="minor"/>
    </font>
    <font>
      <sz val="10"/>
      <name val="Arial"/>
      <family val="2"/>
    </font>
    <font>
      <u/>
      <sz val="9"/>
      <color theme="10"/>
      <name val="Calibri"/>
      <family val="2"/>
      <scheme val="minor"/>
    </font>
    <font>
      <b/>
      <sz val="14"/>
      <color rgb="FFFF0000"/>
      <name val="Calibri"/>
      <family val="2"/>
      <scheme val="minor"/>
    </font>
    <font>
      <b/>
      <sz val="11"/>
      <color theme="0" tint="-0.499984740745262"/>
      <name val="Calibri"/>
      <family val="2"/>
      <scheme val="minor"/>
    </font>
    <font>
      <sz val="11"/>
      <color theme="0" tint="-0.499984740745262"/>
      <name val="Calibri"/>
      <family val="2"/>
      <scheme val="minor"/>
    </font>
    <font>
      <sz val="10"/>
      <color theme="0" tint="-0.499984740745262"/>
      <name val="Calibri"/>
      <family val="2"/>
      <scheme val="minor"/>
    </font>
    <font>
      <sz val="11"/>
      <color rgb="FFFF000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rgb="FF555759"/>
        <bgColor indexed="64"/>
      </patternFill>
    </fill>
    <fill>
      <patternFill patternType="solid">
        <fgColor theme="7" tint="0.79998168889431442"/>
        <bgColor indexed="64"/>
      </patternFill>
    </fill>
    <fill>
      <patternFill patternType="solid">
        <fgColor rgb="FFFFFF00"/>
        <bgColor indexed="64"/>
      </patternFill>
    </fill>
    <fill>
      <patternFill patternType="solid">
        <fgColor rgb="FF232323"/>
        <bgColor indexed="64"/>
      </patternFill>
    </fill>
    <fill>
      <patternFill patternType="solid">
        <fgColor rgb="FFF7FAFF"/>
        <bgColor indexed="64"/>
      </patternFill>
    </fill>
    <fill>
      <patternFill patternType="solid">
        <fgColor rgb="FFD9D9D9"/>
        <bgColor indexed="64"/>
      </patternFill>
    </fill>
    <fill>
      <patternFill patternType="solid">
        <fgColor theme="9" tint="0.79998168889431442"/>
        <bgColor indexed="64"/>
      </patternFill>
    </fill>
    <fill>
      <patternFill patternType="solid">
        <fgColor theme="9"/>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9" tint="0.59999389629810485"/>
        <bgColor indexed="64"/>
      </patternFill>
    </fill>
  </fills>
  <borders count="28">
    <border>
      <left/>
      <right/>
      <top/>
      <bottom/>
      <diagonal/>
    </border>
    <border>
      <left/>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9">
    <xf numFmtId="0" fontId="0"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5" fillId="0" borderId="0" applyNumberFormat="0" applyFill="0" applyBorder="0" applyAlignment="0" applyProtection="0"/>
    <xf numFmtId="43" fontId="29" fillId="0" borderId="0" applyFont="0" applyFill="0" applyBorder="0" applyAlignment="0" applyProtection="0">
      <alignment wrapText="1"/>
    </xf>
    <xf numFmtId="43" fontId="29" fillId="0" borderId="0" applyFont="0" applyFill="0" applyBorder="0" applyAlignment="0" applyProtection="0">
      <alignment wrapText="1"/>
    </xf>
    <xf numFmtId="44" fontId="29" fillId="0" borderId="0" applyFont="0" applyFill="0" applyBorder="0" applyAlignment="0" applyProtection="0">
      <alignment wrapText="1"/>
    </xf>
    <xf numFmtId="44" fontId="29" fillId="0" borderId="0" applyFont="0" applyFill="0" applyBorder="0" applyAlignment="0" applyProtection="0"/>
    <xf numFmtId="44" fontId="29" fillId="0" borderId="0" applyFont="0" applyFill="0" applyBorder="0" applyAlignment="0" applyProtection="0"/>
    <xf numFmtId="0" fontId="30" fillId="0" borderId="0" applyNumberFormat="0" applyFill="0" applyBorder="0" applyAlignment="0" applyProtection="0"/>
    <xf numFmtId="0" fontId="29" fillId="0" borderId="0"/>
    <xf numFmtId="0" fontId="29" fillId="0" borderId="0">
      <alignment wrapText="1"/>
    </xf>
    <xf numFmtId="0" fontId="29" fillId="0" borderId="0"/>
    <xf numFmtId="0" fontId="2" fillId="0" borderId="0"/>
    <xf numFmtId="0" fontId="2" fillId="0" borderId="0"/>
    <xf numFmtId="0" fontId="29" fillId="0" borderId="0"/>
    <xf numFmtId="9" fontId="29" fillId="0" borderId="0" applyFont="0" applyFill="0" applyBorder="0" applyAlignment="0" applyProtection="0"/>
    <xf numFmtId="9" fontId="29" fillId="0" borderId="0" applyFont="0" applyFill="0" applyBorder="0" applyAlignment="0" applyProtection="0"/>
  </cellStyleXfs>
  <cellXfs count="206">
    <xf numFmtId="0" fontId="0" fillId="0" borderId="0" xfId="0"/>
    <xf numFmtId="14" fontId="0" fillId="0" borderId="0" xfId="0" applyNumberFormat="1"/>
    <xf numFmtId="0" fontId="3" fillId="0" borderId="0" xfId="0" applyFont="1"/>
    <xf numFmtId="0" fontId="0" fillId="0" borderId="0" xfId="0" applyAlignment="1">
      <alignment horizontal="center"/>
    </xf>
    <xf numFmtId="0" fontId="3" fillId="0" borderId="0" xfId="0" applyFont="1" applyAlignment="1">
      <alignment horizontal="center"/>
    </xf>
    <xf numFmtId="9" fontId="0" fillId="0" borderId="0" xfId="1" applyFont="1" applyAlignment="1">
      <alignment horizontal="center"/>
    </xf>
    <xf numFmtId="0" fontId="3" fillId="0" borderId="1" xfId="0" applyFont="1" applyBorder="1" applyAlignment="1">
      <alignment horizontal="center" vertical="center" wrapText="1"/>
    </xf>
    <xf numFmtId="0" fontId="3" fillId="0" borderId="0" xfId="0" applyFont="1" applyAlignment="1">
      <alignment wrapText="1"/>
    </xf>
    <xf numFmtId="0" fontId="0" fillId="0" borderId="0" xfId="0" quotePrefix="1"/>
    <xf numFmtId="0" fontId="3" fillId="0" borderId="0" xfId="0" applyFont="1" applyFill="1" applyBorder="1" applyAlignment="1">
      <alignment horizontal="center" vertical="center" wrapText="1"/>
    </xf>
    <xf numFmtId="164" fontId="0" fillId="0" borderId="0" xfId="0" applyNumberFormat="1"/>
    <xf numFmtId="164" fontId="0" fillId="0" borderId="0" xfId="2" applyNumberFormat="1" applyFont="1"/>
    <xf numFmtId="0" fontId="0" fillId="0" borderId="0" xfId="0" applyNumberFormat="1"/>
    <xf numFmtId="1" fontId="0" fillId="0" borderId="0" xfId="0" applyNumberFormat="1"/>
    <xf numFmtId="0" fontId="4" fillId="0" borderId="0" xfId="0" applyFont="1"/>
    <xf numFmtId="9" fontId="4" fillId="0" borderId="0" xfId="1" applyFont="1" applyAlignment="1">
      <alignment horizontal="center"/>
    </xf>
    <xf numFmtId="14" fontId="4" fillId="0" borderId="0" xfId="0" applyNumberFormat="1" applyFont="1"/>
    <xf numFmtId="164" fontId="4" fillId="0" borderId="0" xfId="0" applyNumberFormat="1" applyFont="1"/>
    <xf numFmtId="9" fontId="0" fillId="0" borderId="0" xfId="1" applyFont="1"/>
    <xf numFmtId="166" fontId="0" fillId="0" borderId="0" xfId="3" applyNumberFormat="1" applyFont="1"/>
    <xf numFmtId="0" fontId="0" fillId="2" borderId="0" xfId="0" applyFill="1"/>
    <xf numFmtId="0" fontId="5" fillId="0" borderId="0" xfId="4"/>
    <xf numFmtId="0" fontId="0" fillId="0" borderId="0" xfId="0" applyFont="1"/>
    <xf numFmtId="0" fontId="0" fillId="0" borderId="0" xfId="0" applyFill="1"/>
    <xf numFmtId="9" fontId="2" fillId="0" borderId="0" xfId="1" applyFont="1" applyAlignment="1">
      <alignment horizontal="center"/>
    </xf>
    <xf numFmtId="14" fontId="0" fillId="0" borderId="0" xfId="0" applyNumberFormat="1" applyFont="1"/>
    <xf numFmtId="0" fontId="4" fillId="0" borderId="0" xfId="0" applyFont="1" applyAlignment="1">
      <alignment horizontal="right"/>
    </xf>
    <xf numFmtId="0" fontId="7" fillId="3"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Alignment="1">
      <alignment wrapText="1"/>
    </xf>
    <xf numFmtId="0" fontId="0" fillId="4" borderId="0" xfId="0" applyFill="1"/>
    <xf numFmtId="0" fontId="4" fillId="0" borderId="0" xfId="0" applyNumberFormat="1" applyFont="1"/>
    <xf numFmtId="0" fontId="0" fillId="0" borderId="0" xfId="1" applyNumberFormat="1" applyFont="1" applyAlignment="1">
      <alignment horizontal="center"/>
    </xf>
    <xf numFmtId="9" fontId="5" fillId="0" borderId="0" xfId="4" applyNumberFormat="1"/>
    <xf numFmtId="0" fontId="0" fillId="5" borderId="0" xfId="0" applyFill="1"/>
    <xf numFmtId="9" fontId="0" fillId="0" borderId="0" xfId="0" applyNumberFormat="1"/>
    <xf numFmtId="9" fontId="0" fillId="5" borderId="0" xfId="0" applyNumberFormat="1" applyFill="1"/>
    <xf numFmtId="1" fontId="0" fillId="5" borderId="0" xfId="0" applyNumberFormat="1" applyFill="1"/>
    <xf numFmtId="9" fontId="0" fillId="5" borderId="0" xfId="1" applyFont="1" applyFill="1"/>
    <xf numFmtId="9" fontId="0" fillId="0" borderId="0" xfId="1" applyFont="1" applyFill="1"/>
    <xf numFmtId="0" fontId="3" fillId="4" borderId="0" xfId="0" applyFont="1" applyFill="1"/>
    <xf numFmtId="0" fontId="3" fillId="0" borderId="0" xfId="0" applyFont="1" applyFill="1"/>
    <xf numFmtId="167" fontId="0" fillId="0" borderId="0" xfId="1" applyNumberFormat="1" applyFont="1"/>
    <xf numFmtId="165" fontId="0" fillId="0" borderId="0" xfId="0" applyNumberFormat="1"/>
    <xf numFmtId="0" fontId="0" fillId="0" borderId="0" xfId="0" applyFont="1" applyFill="1"/>
    <xf numFmtId="0" fontId="9" fillId="0" borderId="0" xfId="0" applyFont="1" applyFill="1"/>
    <xf numFmtId="165" fontId="0" fillId="0" borderId="0" xfId="0" applyNumberFormat="1" applyFill="1"/>
    <xf numFmtId="168" fontId="0" fillId="0" borderId="0" xfId="0" applyNumberFormat="1" applyFill="1"/>
    <xf numFmtId="2" fontId="0" fillId="0" borderId="0" xfId="0" applyNumberFormat="1"/>
    <xf numFmtId="43" fontId="0" fillId="0" borderId="0" xfId="0" applyNumberFormat="1"/>
    <xf numFmtId="165" fontId="0" fillId="5" borderId="0" xfId="0" applyNumberFormat="1" applyFill="1"/>
    <xf numFmtId="9" fontId="0" fillId="0" borderId="0" xfId="0" applyNumberFormat="1" applyFill="1"/>
    <xf numFmtId="9" fontId="0" fillId="0" borderId="0" xfId="0" applyNumberFormat="1" applyAlignment="1">
      <alignment horizontal="center"/>
    </xf>
    <xf numFmtId="8" fontId="0" fillId="0" borderId="0" xfId="0" applyNumberFormat="1"/>
    <xf numFmtId="165" fontId="4" fillId="0" borderId="0" xfId="0" applyNumberFormat="1" applyFont="1"/>
    <xf numFmtId="2" fontId="0" fillId="0" borderId="0" xfId="0" applyNumberFormat="1" applyFill="1"/>
    <xf numFmtId="15" fontId="12" fillId="0" borderId="0" xfId="0" applyNumberFormat="1" applyFont="1"/>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3" fontId="14" fillId="0" borderId="5" xfId="0" applyNumberFormat="1" applyFont="1" applyBorder="1" applyAlignment="1">
      <alignment horizontal="left" vertical="center" wrapText="1"/>
    </xf>
    <xf numFmtId="10" fontId="14" fillId="0" borderId="5" xfId="0" applyNumberFormat="1" applyFont="1" applyBorder="1" applyAlignment="1">
      <alignment horizontal="left" vertical="center" wrapText="1"/>
    </xf>
    <xf numFmtId="9" fontId="14" fillId="0" borderId="6" xfId="0" applyNumberFormat="1" applyFont="1" applyBorder="1" applyAlignment="1">
      <alignment horizontal="left" vertical="center" wrapText="1"/>
    </xf>
    <xf numFmtId="0" fontId="14" fillId="7" borderId="4" xfId="0" applyFont="1" applyFill="1" applyBorder="1" applyAlignment="1">
      <alignment horizontal="left" vertical="center" wrapText="1"/>
    </xf>
    <xf numFmtId="0" fontId="14" fillId="7" borderId="5" xfId="0" applyFont="1" applyFill="1" applyBorder="1" applyAlignment="1">
      <alignment horizontal="left" vertical="center" wrapText="1"/>
    </xf>
    <xf numFmtId="3" fontId="14" fillId="7" borderId="5" xfId="0" applyNumberFormat="1" applyFont="1" applyFill="1" applyBorder="1" applyAlignment="1">
      <alignment horizontal="left" vertical="center" wrapText="1"/>
    </xf>
    <xf numFmtId="10" fontId="14" fillId="7" borderId="5" xfId="0" applyNumberFormat="1" applyFont="1" applyFill="1" applyBorder="1" applyAlignment="1">
      <alignment horizontal="left" vertical="center" wrapText="1"/>
    </xf>
    <xf numFmtId="9" fontId="14" fillId="7" borderId="6" xfId="0" applyNumberFormat="1" applyFont="1" applyFill="1" applyBorder="1" applyAlignment="1">
      <alignment horizontal="left" vertical="center" wrapText="1"/>
    </xf>
    <xf numFmtId="10" fontId="14" fillId="7" borderId="6" xfId="0" applyNumberFormat="1" applyFont="1" applyFill="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3" fontId="14" fillId="0" borderId="8" xfId="0" applyNumberFormat="1" applyFont="1" applyBorder="1" applyAlignment="1">
      <alignment horizontal="left" vertical="center" wrapText="1"/>
    </xf>
    <xf numFmtId="10" fontId="14" fillId="0" borderId="8" xfId="0" applyNumberFormat="1" applyFont="1" applyBorder="1" applyAlignment="1">
      <alignment horizontal="left" vertical="center" wrapText="1"/>
    </xf>
    <xf numFmtId="10" fontId="14" fillId="0" borderId="0" xfId="0" applyNumberFormat="1" applyFont="1" applyBorder="1" applyAlignment="1">
      <alignment horizontal="left" vertical="center" wrapText="1"/>
    </xf>
    <xf numFmtId="166" fontId="0" fillId="0" borderId="0" xfId="0" applyNumberFormat="1"/>
    <xf numFmtId="0" fontId="15" fillId="8" borderId="9" xfId="0" applyFont="1" applyFill="1" applyBorder="1" applyAlignment="1">
      <alignment vertical="center" wrapText="1"/>
    </xf>
    <xf numFmtId="0" fontId="15" fillId="8" borderId="10" xfId="0" applyFont="1" applyFill="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3" fillId="9" borderId="0" xfId="0" applyFont="1" applyFill="1" applyAlignment="1">
      <alignment wrapText="1"/>
    </xf>
    <xf numFmtId="0" fontId="3" fillId="10" borderId="0" xfId="0" applyFont="1" applyFill="1" applyAlignment="1">
      <alignment wrapText="1"/>
    </xf>
    <xf numFmtId="0" fontId="3" fillId="11" borderId="0" xfId="0" applyFont="1" applyFill="1" applyAlignment="1">
      <alignment wrapText="1"/>
    </xf>
    <xf numFmtId="0" fontId="18" fillId="12" borderId="0" xfId="0" applyFont="1" applyFill="1" applyAlignment="1">
      <alignment horizontal="left"/>
    </xf>
    <xf numFmtId="0" fontId="1" fillId="12" borderId="0" xfId="0" applyFont="1" applyFill="1"/>
    <xf numFmtId="0" fontId="19" fillId="12" borderId="0" xfId="0" applyFont="1" applyFill="1" applyAlignment="1">
      <alignment horizontal="left"/>
    </xf>
    <xf numFmtId="169" fontId="1" fillId="12" borderId="0" xfId="0" applyNumberFormat="1" applyFont="1" applyFill="1" applyAlignment="1">
      <alignment horizontal="left"/>
    </xf>
    <xf numFmtId="0" fontId="1" fillId="0" borderId="13" xfId="0" applyFont="1" applyBorder="1" applyAlignment="1">
      <alignment vertical="center" wrapText="1"/>
    </xf>
    <xf numFmtId="0" fontId="1" fillId="0" borderId="13" xfId="0" applyFont="1" applyBorder="1" applyAlignment="1">
      <alignment wrapText="1"/>
    </xf>
    <xf numFmtId="0" fontId="1" fillId="0" borderId="0" xfId="0" applyFont="1" applyBorder="1" applyAlignment="1">
      <alignment vertical="center" wrapText="1"/>
    </xf>
    <xf numFmtId="0" fontId="1" fillId="0" borderId="0" xfId="0" applyFont="1" applyBorder="1" applyAlignment="1">
      <alignment wrapText="1"/>
    </xf>
    <xf numFmtId="0" fontId="0" fillId="12" borderId="0" xfId="0" applyFont="1" applyFill="1" applyBorder="1"/>
    <xf numFmtId="0" fontId="0" fillId="12" borderId="13" xfId="0" applyFont="1" applyFill="1" applyBorder="1" applyAlignment="1">
      <alignment horizontal="left" vertical="center" wrapText="1"/>
    </xf>
    <xf numFmtId="0" fontId="0" fillId="0" borderId="11" xfId="0" applyFont="1" applyBorder="1" applyAlignment="1">
      <alignment horizontal="left"/>
    </xf>
    <xf numFmtId="170" fontId="0" fillId="12" borderId="13" xfId="2" applyNumberFormat="1" applyFont="1" applyFill="1" applyBorder="1" applyAlignment="1">
      <alignment horizontal="left" wrapText="1"/>
    </xf>
    <xf numFmtId="0" fontId="0" fillId="12" borderId="0" xfId="0" applyFont="1" applyFill="1" applyBorder="1" applyAlignment="1">
      <alignment horizontal="left" vertical="center" wrapText="1"/>
    </xf>
    <xf numFmtId="170" fontId="0" fillId="12" borderId="0" xfId="2" applyNumberFormat="1" applyFont="1" applyFill="1" applyBorder="1" applyAlignment="1">
      <alignment horizontal="left" wrapText="1"/>
    </xf>
    <xf numFmtId="9" fontId="0" fillId="12" borderId="13" xfId="0" applyNumberFormat="1" applyFont="1" applyFill="1" applyBorder="1" applyAlignment="1">
      <alignment horizontal="left" wrapText="1"/>
    </xf>
    <xf numFmtId="0" fontId="0" fillId="12" borderId="13" xfId="0" applyFont="1" applyFill="1" applyBorder="1" applyAlignment="1">
      <alignment vertical="center" wrapText="1"/>
    </xf>
    <xf numFmtId="0" fontId="0" fillId="12" borderId="0" xfId="0" applyFont="1" applyFill="1" applyBorder="1" applyAlignment="1">
      <alignment vertical="center" wrapText="1"/>
    </xf>
    <xf numFmtId="0" fontId="0" fillId="12" borderId="0" xfId="0" applyFont="1" applyFill="1" applyBorder="1" applyAlignment="1">
      <alignment horizontal="left" wrapText="1"/>
    </xf>
    <xf numFmtId="0" fontId="20" fillId="0" borderId="0" xfId="0" applyFont="1" applyFill="1" applyBorder="1" applyAlignment="1">
      <alignment horizontal="left"/>
    </xf>
    <xf numFmtId="0" fontId="0" fillId="0" borderId="0" xfId="0" applyBorder="1"/>
    <xf numFmtId="0" fontId="21" fillId="0" borderId="0" xfId="0" applyFont="1" applyFill="1" applyBorder="1" applyAlignment="1">
      <alignment horizontal="left" vertical="top"/>
    </xf>
    <xf numFmtId="0" fontId="3" fillId="0" borderId="0" xfId="0" applyFont="1" applyAlignment="1"/>
    <xf numFmtId="0" fontId="23" fillId="13" borderId="16" xfId="0" applyFont="1" applyFill="1" applyBorder="1"/>
    <xf numFmtId="0" fontId="23" fillId="13" borderId="17" xfId="0" applyFont="1" applyFill="1" applyBorder="1"/>
    <xf numFmtId="0" fontId="23" fillId="13" borderId="17" xfId="0" applyFont="1" applyFill="1" applyBorder="1" applyAlignment="1">
      <alignment horizontal="center"/>
    </xf>
    <xf numFmtId="0" fontId="23" fillId="13" borderId="18" xfId="0" applyFont="1" applyFill="1" applyBorder="1"/>
    <xf numFmtId="0" fontId="24" fillId="0" borderId="0" xfId="0" applyFont="1" applyBorder="1"/>
    <xf numFmtId="0" fontId="24" fillId="0" borderId="0" xfId="0" applyFont="1"/>
    <xf numFmtId="0" fontId="25" fillId="0" borderId="0" xfId="0" applyFont="1" applyAlignment="1">
      <alignment horizontal="left"/>
    </xf>
    <xf numFmtId="168" fontId="23" fillId="0" borderId="19" xfId="3" applyNumberFormat="1" applyFont="1" applyFill="1" applyBorder="1"/>
    <xf numFmtId="168" fontId="23" fillId="0" borderId="20" xfId="3" applyNumberFormat="1" applyFont="1" applyFill="1" applyBorder="1"/>
    <xf numFmtId="0" fontId="0" fillId="0" borderId="22" xfId="0" applyFont="1" applyFill="1" applyBorder="1"/>
    <xf numFmtId="0" fontId="0" fillId="0" borderId="0" xfId="0" applyFont="1" applyFill="1" applyBorder="1"/>
    <xf numFmtId="0" fontId="0" fillId="0" borderId="0" xfId="0" applyFont="1" applyFill="1" applyBorder="1" applyAlignment="1">
      <alignment horizontal="center"/>
    </xf>
    <xf numFmtId="168" fontId="0" fillId="0" borderId="0" xfId="3" applyNumberFormat="1" applyFont="1" applyFill="1" applyBorder="1"/>
    <xf numFmtId="168" fontId="0" fillId="0" borderId="11" xfId="3" applyNumberFormat="1" applyFont="1" applyFill="1" applyBorder="1"/>
    <xf numFmtId="0" fontId="26" fillId="0" borderId="0" xfId="0" applyFont="1" applyFill="1" applyBorder="1"/>
    <xf numFmtId="0" fontId="27" fillId="0" borderId="0" xfId="0" applyFont="1" applyAlignment="1">
      <alignment horizontal="left"/>
    </xf>
    <xf numFmtId="0" fontId="0" fillId="0" borderId="22" xfId="0" applyFill="1" applyBorder="1"/>
    <xf numFmtId="0" fontId="0" fillId="0" borderId="0" xfId="0" applyFill="1" applyBorder="1"/>
    <xf numFmtId="168" fontId="0" fillId="0" borderId="22" xfId="3" applyNumberFormat="1" applyFont="1" applyFill="1" applyBorder="1"/>
    <xf numFmtId="168" fontId="0" fillId="0" borderId="0" xfId="3" applyNumberFormat="1" applyFont="1" applyFill="1" applyBorder="1" applyAlignment="1">
      <alignment horizontal="center"/>
    </xf>
    <xf numFmtId="168" fontId="23" fillId="0" borderId="22" xfId="3" applyNumberFormat="1" applyFont="1" applyFill="1" applyBorder="1"/>
    <xf numFmtId="168" fontId="23" fillId="0" borderId="0" xfId="3" applyNumberFormat="1" applyFont="1" applyFill="1" applyBorder="1"/>
    <xf numFmtId="0" fontId="0" fillId="0" borderId="23" xfId="0" applyFill="1" applyBorder="1"/>
    <xf numFmtId="0" fontId="0" fillId="0" borderId="24" xfId="0" applyFill="1" applyBorder="1"/>
    <xf numFmtId="168" fontId="0" fillId="0" borderId="24" xfId="3" applyNumberFormat="1" applyFont="1" applyFill="1" applyBorder="1" applyAlignment="1">
      <alignment horizontal="center"/>
    </xf>
    <xf numFmtId="168" fontId="0" fillId="0" borderId="24" xfId="3" applyNumberFormat="1" applyFont="1" applyFill="1" applyBorder="1"/>
    <xf numFmtId="168" fontId="0" fillId="0" borderId="12" xfId="3" applyNumberFormat="1" applyFont="1" applyFill="1" applyBorder="1"/>
    <xf numFmtId="168" fontId="0" fillId="0" borderId="0" xfId="3" applyNumberFormat="1" applyFont="1" applyBorder="1"/>
    <xf numFmtId="168" fontId="23" fillId="14" borderId="16" xfId="3" applyNumberFormat="1" applyFont="1" applyFill="1" applyBorder="1"/>
    <xf numFmtId="168" fontId="23" fillId="14" borderId="20" xfId="3" applyNumberFormat="1" applyFont="1" applyFill="1" applyBorder="1"/>
    <xf numFmtId="168" fontId="23" fillId="14" borderId="20" xfId="3" applyNumberFormat="1" applyFont="1" applyFill="1" applyBorder="1" applyAlignment="1">
      <alignment horizontal="center"/>
    </xf>
    <xf numFmtId="0" fontId="23" fillId="14" borderId="20" xfId="3" applyNumberFormat="1" applyFont="1" applyFill="1" applyBorder="1"/>
    <xf numFmtId="0" fontId="23" fillId="14" borderId="21" xfId="3" applyNumberFormat="1" applyFont="1" applyFill="1" applyBorder="1"/>
    <xf numFmtId="0" fontId="23" fillId="0" borderId="19" xfId="0" applyFont="1" applyFill="1" applyBorder="1"/>
    <xf numFmtId="0" fontId="23" fillId="0" borderId="20" xfId="0" applyFont="1" applyFill="1" applyBorder="1"/>
    <xf numFmtId="0" fontId="0" fillId="0" borderId="0" xfId="0" applyFill="1" applyBorder="1" applyAlignment="1">
      <alignment horizontal="center"/>
    </xf>
    <xf numFmtId="0" fontId="23" fillId="0" borderId="22" xfId="0" applyFont="1" applyFill="1" applyBorder="1"/>
    <xf numFmtId="0" fontId="23" fillId="0" borderId="0" xfId="0" applyFont="1" applyFill="1" applyBorder="1"/>
    <xf numFmtId="0" fontId="23" fillId="0" borderId="0" xfId="0" applyFont="1" applyFill="1" applyBorder="1" applyAlignment="1">
      <alignment horizontal="center"/>
    </xf>
    <xf numFmtId="0" fontId="0" fillId="0" borderId="24" xfId="0" applyFill="1" applyBorder="1" applyAlignment="1">
      <alignment horizontal="center"/>
    </xf>
    <xf numFmtId="168" fontId="23" fillId="15" borderId="16" xfId="3" applyNumberFormat="1" applyFont="1" applyFill="1" applyBorder="1"/>
    <xf numFmtId="168" fontId="23" fillId="15" borderId="20" xfId="3" applyNumberFormat="1" applyFont="1" applyFill="1" applyBorder="1"/>
    <xf numFmtId="168" fontId="23" fillId="15" borderId="20" xfId="3" applyNumberFormat="1" applyFont="1" applyFill="1" applyBorder="1" applyAlignment="1">
      <alignment horizontal="center"/>
    </xf>
    <xf numFmtId="0" fontId="23" fillId="15" borderId="20" xfId="3" applyNumberFormat="1" applyFont="1" applyFill="1" applyBorder="1"/>
    <xf numFmtId="0" fontId="23" fillId="15" borderId="21" xfId="3" applyNumberFormat="1" applyFont="1" applyFill="1" applyBorder="1"/>
    <xf numFmtId="0" fontId="3" fillId="0" borderId="0" xfId="0" applyFont="1" applyFill="1" applyBorder="1"/>
    <xf numFmtId="0" fontId="16" fillId="0" borderId="0" xfId="0" applyFont="1"/>
    <xf numFmtId="0" fontId="28" fillId="0" borderId="0" xfId="0" applyFont="1" applyBorder="1"/>
    <xf numFmtId="0" fontId="31" fillId="0" borderId="0" xfId="0" applyFont="1"/>
    <xf numFmtId="0" fontId="23" fillId="0" borderId="0" xfId="0" applyFont="1"/>
    <xf numFmtId="0" fontId="32" fillId="0" borderId="25" xfId="0" applyFont="1" applyBorder="1" applyAlignment="1">
      <alignment horizontal="left"/>
    </xf>
    <xf numFmtId="0" fontId="33" fillId="0" borderId="0" xfId="0" applyFont="1"/>
    <xf numFmtId="0" fontId="33" fillId="0" borderId="0" xfId="0" applyFont="1" applyFill="1" applyBorder="1"/>
    <xf numFmtId="0" fontId="16" fillId="0" borderId="0" xfId="0" applyFont="1" applyBorder="1" applyAlignment="1">
      <alignment horizontal="right"/>
    </xf>
    <xf numFmtId="0" fontId="33" fillId="0" borderId="0" xfId="0" applyFont="1" applyFill="1"/>
    <xf numFmtId="0" fontId="33" fillId="0" borderId="0" xfId="0" applyFont="1" applyFill="1" applyBorder="1" applyAlignment="1">
      <alignment horizontal="left"/>
    </xf>
    <xf numFmtId="0" fontId="34" fillId="0" borderId="0" xfId="0" applyFont="1" applyBorder="1"/>
    <xf numFmtId="0" fontId="33" fillId="0" borderId="0" xfId="0" applyFont="1" applyBorder="1"/>
    <xf numFmtId="9" fontId="35" fillId="0" borderId="0" xfId="0" applyNumberFormat="1" applyFont="1" applyFill="1" applyBorder="1"/>
    <xf numFmtId="168" fontId="23" fillId="0" borderId="0" xfId="3" applyNumberFormat="1" applyFont="1" applyFill="1" applyBorder="1" applyAlignment="1">
      <alignment horizontal="center"/>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3" fillId="12" borderId="14" xfId="0" applyFont="1" applyFill="1" applyBorder="1" applyAlignment="1">
      <alignment horizontal="left" vertical="center" wrapText="1"/>
    </xf>
    <xf numFmtId="0" fontId="3" fillId="12" borderId="15" xfId="0" applyFont="1" applyFill="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168" fontId="22" fillId="15" borderId="16" xfId="3" applyNumberFormat="1" applyFont="1" applyFill="1" applyBorder="1" applyAlignment="1">
      <alignment horizontal="center"/>
    </xf>
    <xf numFmtId="168" fontId="22" fillId="15" borderId="17" xfId="3" applyNumberFormat="1" applyFont="1" applyFill="1" applyBorder="1" applyAlignment="1">
      <alignment horizontal="center"/>
    </xf>
    <xf numFmtId="168" fontId="22" fillId="15" borderId="18" xfId="3" applyNumberFormat="1" applyFont="1" applyFill="1" applyBorder="1" applyAlignment="1">
      <alignment horizontal="center"/>
    </xf>
    <xf numFmtId="168" fontId="23" fillId="0" borderId="20" xfId="3" applyNumberFormat="1" applyFont="1" applyFill="1" applyBorder="1" applyAlignment="1">
      <alignment horizontal="center"/>
    </xf>
    <xf numFmtId="168" fontId="23" fillId="0" borderId="21" xfId="3" applyNumberFormat="1" applyFont="1" applyFill="1" applyBorder="1" applyAlignment="1">
      <alignment horizontal="center"/>
    </xf>
    <xf numFmtId="168" fontId="23" fillId="0" borderId="0" xfId="3" applyNumberFormat="1" applyFont="1" applyFill="1" applyBorder="1" applyAlignment="1">
      <alignment horizontal="center"/>
    </xf>
    <xf numFmtId="168" fontId="23" fillId="0" borderId="11" xfId="3" applyNumberFormat="1" applyFont="1" applyFill="1" applyBorder="1" applyAlignment="1">
      <alignment horizontal="center"/>
    </xf>
    <xf numFmtId="0" fontId="22" fillId="13" borderId="16" xfId="0" applyFont="1" applyFill="1" applyBorder="1" applyAlignment="1">
      <alignment horizontal="center"/>
    </xf>
    <xf numFmtId="0" fontId="22" fillId="13" borderId="17" xfId="0" applyFont="1" applyFill="1" applyBorder="1" applyAlignment="1">
      <alignment horizontal="center"/>
    </xf>
    <xf numFmtId="0" fontId="22" fillId="13" borderId="18" xfId="0" applyFont="1" applyFill="1" applyBorder="1" applyAlignment="1">
      <alignment horizontal="center"/>
    </xf>
    <xf numFmtId="168" fontId="22" fillId="14" borderId="16" xfId="3" applyNumberFormat="1" applyFont="1" applyFill="1" applyBorder="1" applyAlignment="1">
      <alignment horizontal="center"/>
    </xf>
    <xf numFmtId="168" fontId="22" fillId="14" borderId="17" xfId="3" applyNumberFormat="1" applyFont="1" applyFill="1" applyBorder="1" applyAlignment="1">
      <alignment horizontal="center"/>
    </xf>
    <xf numFmtId="168" fontId="22" fillId="14" borderId="18" xfId="3" applyNumberFormat="1" applyFont="1" applyFill="1" applyBorder="1" applyAlignment="1">
      <alignment horizontal="center"/>
    </xf>
    <xf numFmtId="165" fontId="3" fillId="9" borderId="0" xfId="0" applyNumberFormat="1" applyFont="1" applyFill="1" applyAlignment="1">
      <alignment horizontal="center"/>
    </xf>
    <xf numFmtId="165" fontId="3" fillId="11" borderId="0" xfId="0" applyNumberFormat="1" applyFont="1" applyFill="1" applyAlignment="1">
      <alignment horizontal="center"/>
    </xf>
    <xf numFmtId="165" fontId="3" fillId="10" borderId="0" xfId="0" applyNumberFormat="1" applyFont="1" applyFill="1" applyAlignment="1">
      <alignment horizontal="center"/>
    </xf>
    <xf numFmtId="0" fontId="15" fillId="8" borderId="9" xfId="0" applyFont="1" applyFill="1" applyBorder="1" applyAlignment="1">
      <alignment vertical="center" wrapText="1"/>
    </xf>
    <xf numFmtId="0" fontId="15" fillId="8" borderId="10" xfId="0"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166" fontId="0" fillId="0" borderId="0" xfId="3" applyNumberFormat="1" applyFont="1" applyFill="1"/>
    <xf numFmtId="0" fontId="0" fillId="16" borderId="13" xfId="0" applyFill="1" applyBorder="1"/>
    <xf numFmtId="166" fontId="0" fillId="16" borderId="13" xfId="3" applyNumberFormat="1" applyFont="1" applyFill="1" applyBorder="1"/>
    <xf numFmtId="0" fontId="0" fillId="13" borderId="13" xfId="0" applyFill="1" applyBorder="1"/>
    <xf numFmtId="166" fontId="0" fillId="13" borderId="13" xfId="3" applyNumberFormat="1" applyFont="1" applyFill="1" applyBorder="1"/>
    <xf numFmtId="0" fontId="3" fillId="0" borderId="0" xfId="0" applyFont="1" applyFill="1" applyBorder="1" applyAlignment="1">
      <alignment horizontal="left"/>
    </xf>
    <xf numFmtId="0" fontId="0" fillId="0" borderId="0" xfId="0" applyAlignment="1">
      <alignment horizontal="left"/>
    </xf>
    <xf numFmtId="0" fontId="0" fillId="13" borderId="26" xfId="0" applyFill="1" applyBorder="1" applyAlignment="1">
      <alignment horizontal="left" wrapText="1"/>
    </xf>
    <xf numFmtId="0" fontId="0" fillId="13" borderId="27" xfId="0" applyFill="1" applyBorder="1" applyAlignment="1">
      <alignment horizontal="left" wrapText="1"/>
    </xf>
    <xf numFmtId="0" fontId="0" fillId="13" borderId="13" xfId="0" applyFill="1" applyBorder="1" applyAlignment="1">
      <alignment horizontal="left"/>
    </xf>
    <xf numFmtId="0" fontId="0" fillId="16" borderId="13" xfId="0" applyFill="1" applyBorder="1" applyAlignment="1">
      <alignment horizontal="left" wrapText="1"/>
    </xf>
    <xf numFmtId="0" fontId="0" fillId="16" borderId="13" xfId="0" applyFill="1" applyBorder="1" applyAlignment="1">
      <alignment horizontal="left"/>
    </xf>
    <xf numFmtId="0" fontId="3" fillId="16" borderId="13" xfId="0" applyFont="1" applyFill="1" applyBorder="1" applyAlignment="1">
      <alignment horizontal="left" wrapText="1"/>
    </xf>
    <xf numFmtId="166" fontId="0" fillId="0" borderId="0" xfId="3" applyNumberFormat="1" applyFont="1" applyFill="1" applyBorder="1"/>
    <xf numFmtId="166" fontId="0" fillId="0" borderId="11" xfId="3" applyNumberFormat="1" applyFont="1" applyFill="1" applyBorder="1"/>
  </cellXfs>
  <cellStyles count="19">
    <cellStyle name="Comma" xfId="3" builtinId="3"/>
    <cellStyle name="Comma 2" xfId="5"/>
    <cellStyle name="Comma 2 2" xfId="6"/>
    <cellStyle name="Currency" xfId="2" builtinId="4"/>
    <cellStyle name="Currency 2" xfId="7"/>
    <cellStyle name="Currency 2 2" xfId="8"/>
    <cellStyle name="Currency 2 3" xfId="9"/>
    <cellStyle name="Hyperlink" xfId="4" builtinId="8"/>
    <cellStyle name="Hyperlink 2" xfId="10"/>
    <cellStyle name="Normal" xfId="0" builtinId="0"/>
    <cellStyle name="Normal 11" xfId="11"/>
    <cellStyle name="Normal 2" xfId="12"/>
    <cellStyle name="Normal 2 2" xfId="13"/>
    <cellStyle name="Normal 3" xfId="14"/>
    <cellStyle name="Normal 5 2 2 2" xfId="15"/>
    <cellStyle name="Normal 6" xfId="16"/>
    <cellStyle name="Percent" xfId="1" builtinId="5"/>
    <cellStyle name="Percent 2" xfId="17"/>
    <cellStyle name="Percent 2 2" xfId="18"/>
  </cellStyles>
  <dxfs count="8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6.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chartsheet" Target="chartsheets/sheet1.xml"/><Relationship Id="rId12" Type="http://schemas.openxmlformats.org/officeDocument/2006/relationships/worksheet" Target="worksheets/sheet10.xml"/><Relationship Id="rId17" Type="http://schemas.openxmlformats.org/officeDocument/2006/relationships/worksheet" Target="worksheets/sheet15.xml"/><Relationship Id="rId25" Type="http://schemas.openxmlformats.org/officeDocument/2006/relationships/externalLink" Target="externalLinks/externalLink7.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4.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externalLink" Target="externalLinks/externalLink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8.xml"/><Relationship Id="rId19" Type="http://schemas.openxmlformats.org/officeDocument/2006/relationships/externalLink" Target="externalLinks/externalLink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chartsheet" Target="chart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#,##0_);_(* \(#,##0\);_(* "-"??_);_(@_)</c:formatCode>
                <c:ptCount val="15"/>
                <c:pt idx="0">
                  <c:v>0</c:v>
                </c:pt>
                <c:pt idx="1">
                  <c:v>0</c:v>
                </c:pt>
                <c:pt idx="2">
                  <c:v>0</c:v>
                </c:pt>
                <c:pt idx="3">
                  <c:v>0</c:v>
                </c:pt>
                <c:pt idx="4">
                  <c:v>0</c:v>
                </c:pt>
                <c:pt idx="5">
                  <c:v>0</c:v>
                </c:pt>
                <c:pt idx="6">
                  <c:v>0</c:v>
                </c:pt>
                <c:pt idx="7">
                  <c:v>0</c:v>
                </c:pt>
                <c:pt idx="8">
                  <c:v>0</c:v>
                </c:pt>
                <c:pt idx="9">
                  <c:v>22.888800000000003</c:v>
                </c:pt>
                <c:pt idx="10">
                  <c:v>550.9606500000001</c:v>
                </c:pt>
                <c:pt idx="11">
                  <c:v>1243.8135000000002</c:v>
                </c:pt>
                <c:pt idx="12">
                  <c:v>2102.9681700000006</c:v>
                </c:pt>
                <c:pt idx="13">
                  <c:v>2980.7582400000001</c:v>
                </c:pt>
                <c:pt idx="14">
                  <c:v>3905.6325300000008</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#,##0_);_(* \(#,##0\);_(* "-"??_);_(@_)</c:formatCode>
                <c:ptCount val="15"/>
                <c:pt idx="0">
                  <c:v>0</c:v>
                </c:pt>
                <c:pt idx="1">
                  <c:v>0</c:v>
                </c:pt>
                <c:pt idx="2">
                  <c:v>0</c:v>
                </c:pt>
                <c:pt idx="3">
                  <c:v>0</c:v>
                </c:pt>
                <c:pt idx="4">
                  <c:v>0</c:v>
                </c:pt>
                <c:pt idx="5">
                  <c:v>0</c:v>
                </c:pt>
                <c:pt idx="6">
                  <c:v>0</c:v>
                </c:pt>
                <c:pt idx="7">
                  <c:v>0</c:v>
                </c:pt>
                <c:pt idx="8">
                  <c:v>0</c:v>
                </c:pt>
                <c:pt idx="9">
                  <c:v>22.888800000000003</c:v>
                </c:pt>
                <c:pt idx="10">
                  <c:v>550.9606500000001</c:v>
                </c:pt>
                <c:pt idx="11">
                  <c:v>1353.1473000000003</c:v>
                </c:pt>
                <c:pt idx="12">
                  <c:v>2321.6357700000003</c:v>
                </c:pt>
                <c:pt idx="13">
                  <c:v>3337.9704000000002</c:v>
                </c:pt>
                <c:pt idx="14">
                  <c:v>4416.8391900000006</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#,##0_);_(* \(#,##0\);_(* "-"??_);_(@_)</c:formatCode>
                <c:ptCount val="15"/>
                <c:pt idx="0">
                  <c:v>0</c:v>
                </c:pt>
                <c:pt idx="1">
                  <c:v>0</c:v>
                </c:pt>
                <c:pt idx="2">
                  <c:v>0</c:v>
                </c:pt>
                <c:pt idx="3">
                  <c:v>0</c:v>
                </c:pt>
                <c:pt idx="4">
                  <c:v>0</c:v>
                </c:pt>
                <c:pt idx="5">
                  <c:v>0</c:v>
                </c:pt>
                <c:pt idx="6">
                  <c:v>0</c:v>
                </c:pt>
                <c:pt idx="7">
                  <c:v>0</c:v>
                </c:pt>
                <c:pt idx="8">
                  <c:v>0</c:v>
                </c:pt>
                <c:pt idx="9">
                  <c:v>26.928000000000004</c:v>
                </c:pt>
                <c:pt idx="10">
                  <c:v>648.18899999999996</c:v>
                </c:pt>
                <c:pt idx="11">
                  <c:v>1591.9379999999999</c:v>
                </c:pt>
                <c:pt idx="12">
                  <c:v>2731.3362000000002</c:v>
                </c:pt>
                <c:pt idx="13">
                  <c:v>3927.0239999999999</c:v>
                </c:pt>
                <c:pt idx="14">
                  <c:v>5196.2813999999998</c:v>
                </c:pt>
              </c:numCache>
            </c:numRef>
          </c:val>
          <c:smooth val="0"/>
        </c:ser>
        <c:dLbls>
          <c:showLegendKey val="0"/>
          <c:showVal val="0"/>
          <c:showCatName val="0"/>
          <c:showSerName val="0"/>
          <c:showPercent val="0"/>
          <c:showBubbleSize val="0"/>
        </c:dLbls>
        <c:marker val="1"/>
        <c:smooth val="0"/>
        <c:axId val="109635072"/>
        <c:axId val="109636608"/>
      </c:lineChart>
      <c:catAx>
        <c:axId val="109635072"/>
        <c:scaling>
          <c:orientation val="minMax"/>
        </c:scaling>
        <c:delete val="0"/>
        <c:axPos val="b"/>
        <c:numFmt formatCode="General" sourceLinked="1"/>
        <c:majorTickMark val="none"/>
        <c:minorTickMark val="none"/>
        <c:tickLblPos val="nextTo"/>
        <c:crossAx val="109636608"/>
        <c:crosses val="autoZero"/>
        <c:auto val="1"/>
        <c:lblAlgn val="ctr"/>
        <c:lblOffset val="100"/>
        <c:noMultiLvlLbl val="0"/>
      </c:catAx>
      <c:valAx>
        <c:axId val="109636608"/>
        <c:scaling>
          <c:orientation val="minMax"/>
        </c:scaling>
        <c:delete val="0"/>
        <c:axPos val="l"/>
        <c:majorGridlines/>
        <c:title>
          <c:tx>
            <c:rich>
              <a:bodyPr rot="-5400000" vert="horz"/>
              <a:lstStyle/>
              <a:p>
                <a:pPr>
                  <a:defRPr sz="1200"/>
                </a:pPr>
                <a:r>
                  <a:rPr lang="en-US" sz="1200"/>
                  <a:t>Electricity Savings (GWh)</a:t>
                </a:r>
              </a:p>
            </c:rich>
          </c:tx>
          <c:layout/>
          <c:overlay val="0"/>
        </c:title>
        <c:numFmt formatCode="_(* #,##0_);_(* \(#,##0\);_(* &quot;-&quot;??_);_(@_)" sourceLinked="1"/>
        <c:majorTickMark val="none"/>
        <c:minorTickMark val="none"/>
        <c:tickLblPos val="nextTo"/>
        <c:crossAx val="109635072"/>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c:v>
                </c:pt>
                <c:pt idx="1">
                  <c:v>0</c:v>
                </c:pt>
                <c:pt idx="2">
                  <c:v>0</c:v>
                </c:pt>
                <c:pt idx="3">
                  <c:v>0</c:v>
                </c:pt>
                <c:pt idx="4">
                  <c:v>0</c:v>
                </c:pt>
                <c:pt idx="5">
                  <c:v>0</c:v>
                </c:pt>
                <c:pt idx="6">
                  <c:v>0</c:v>
                </c:pt>
                <c:pt idx="7">
                  <c:v>0</c:v>
                </c:pt>
                <c:pt idx="8">
                  <c:v>0</c:v>
                </c:pt>
                <c:pt idx="9">
                  <c:v>1.2392999999999998</c:v>
                </c:pt>
                <c:pt idx="10">
                  <c:v>16.317449999999997</c:v>
                </c:pt>
                <c:pt idx="11">
                  <c:v>33.002099999999999</c:v>
                </c:pt>
                <c:pt idx="12">
                  <c:v>49.686749999999996</c:v>
                </c:pt>
                <c:pt idx="13">
                  <c:v>66.38669999999999</c:v>
                </c:pt>
                <c:pt idx="14">
                  <c:v>84.800250000000005</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c:v>
                </c:pt>
                <c:pt idx="1">
                  <c:v>0</c:v>
                </c:pt>
                <c:pt idx="2">
                  <c:v>0</c:v>
                </c:pt>
                <c:pt idx="3">
                  <c:v>0</c:v>
                </c:pt>
                <c:pt idx="4">
                  <c:v>0</c:v>
                </c:pt>
                <c:pt idx="5">
                  <c:v>0</c:v>
                </c:pt>
                <c:pt idx="6">
                  <c:v>0</c:v>
                </c:pt>
                <c:pt idx="7">
                  <c:v>0</c:v>
                </c:pt>
                <c:pt idx="8">
                  <c:v>0</c:v>
                </c:pt>
                <c:pt idx="9">
                  <c:v>1.2392999999999998</c:v>
                </c:pt>
                <c:pt idx="10">
                  <c:v>16.317449999999997</c:v>
                </c:pt>
                <c:pt idx="11">
                  <c:v>33.002099999999999</c:v>
                </c:pt>
                <c:pt idx="12">
                  <c:v>49.686749999999996</c:v>
                </c:pt>
                <c:pt idx="13">
                  <c:v>66.38669999999999</c:v>
                </c:pt>
                <c:pt idx="14">
                  <c:v>85.718249999999998</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c:v>
                </c:pt>
                <c:pt idx="1">
                  <c:v>0</c:v>
                </c:pt>
                <c:pt idx="2">
                  <c:v>0</c:v>
                </c:pt>
                <c:pt idx="3">
                  <c:v>0</c:v>
                </c:pt>
                <c:pt idx="4">
                  <c:v>0</c:v>
                </c:pt>
                <c:pt idx="5">
                  <c:v>0</c:v>
                </c:pt>
                <c:pt idx="6">
                  <c:v>0</c:v>
                </c:pt>
                <c:pt idx="7">
                  <c:v>0</c:v>
                </c:pt>
                <c:pt idx="8">
                  <c:v>0</c:v>
                </c:pt>
                <c:pt idx="9">
                  <c:v>1.458</c:v>
                </c:pt>
                <c:pt idx="10">
                  <c:v>19.196999999999999</c:v>
                </c:pt>
                <c:pt idx="11">
                  <c:v>38.826000000000001</c:v>
                </c:pt>
                <c:pt idx="12">
                  <c:v>58.454999999999998</c:v>
                </c:pt>
                <c:pt idx="13">
                  <c:v>78.102000000000004</c:v>
                </c:pt>
                <c:pt idx="14">
                  <c:v>100.84500000000001</c:v>
                </c:pt>
              </c:numCache>
            </c:numRef>
          </c:val>
          <c:smooth val="0"/>
        </c:ser>
        <c:dLbls>
          <c:showLegendKey val="0"/>
          <c:showVal val="0"/>
          <c:showCatName val="0"/>
          <c:showSerName val="0"/>
          <c:showPercent val="0"/>
          <c:showBubbleSize val="0"/>
        </c:dLbls>
        <c:marker val="1"/>
        <c:smooth val="0"/>
        <c:axId val="109949696"/>
        <c:axId val="109951232"/>
      </c:lineChart>
      <c:catAx>
        <c:axId val="109949696"/>
        <c:scaling>
          <c:orientation val="minMax"/>
        </c:scaling>
        <c:delete val="0"/>
        <c:axPos val="b"/>
        <c:numFmt formatCode="General" sourceLinked="1"/>
        <c:majorTickMark val="none"/>
        <c:minorTickMark val="none"/>
        <c:tickLblPos val="nextTo"/>
        <c:crossAx val="109951232"/>
        <c:crosses val="autoZero"/>
        <c:auto val="1"/>
        <c:lblAlgn val="ctr"/>
        <c:lblOffset val="100"/>
        <c:noMultiLvlLbl val="0"/>
      </c:catAx>
      <c:valAx>
        <c:axId val="109951232"/>
        <c:scaling>
          <c:orientation val="minMax"/>
        </c:scaling>
        <c:delete val="0"/>
        <c:axPos val="l"/>
        <c:majorGridlines/>
        <c:title>
          <c:tx>
            <c:rich>
              <a:bodyPr rot="-5400000" vert="horz"/>
              <a:lstStyle/>
              <a:p>
                <a:pPr>
                  <a:defRPr sz="1200"/>
                </a:pPr>
                <a:r>
                  <a:rPr lang="en-US" sz="1200"/>
                  <a:t>Gas Savings (MM Therms)</a:t>
                </a:r>
              </a:p>
            </c:rich>
          </c:tx>
          <c:layout/>
          <c:overlay val="0"/>
        </c:title>
        <c:numFmt formatCode="_(* #,##0.0_);_(* \(#,##0.0\);_(* &quot;-&quot;??_);_(@_)" sourceLinked="1"/>
        <c:majorTickMark val="none"/>
        <c:minorTickMark val="none"/>
        <c:tickLblPos val="nextTo"/>
        <c:crossAx val="109949696"/>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mp"/></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712235" cy="1183278"/>
        </a:xfrm>
        <a:prstGeom prst="rect">
          <a:avLst/>
        </a:prstGeom>
        <a:noFill/>
        <a:ln w="3175">
          <a:solidFill>
            <a:schemeClr val="tx1"/>
          </a:solidFill>
        </a:ln>
        <a:effectLst/>
        <a:extLs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lc="http://schemas.openxmlformats.org/drawingml/2006/locked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2</xdr:col>
      <xdr:colOff>7838803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5</xdr:col>
      <xdr:colOff>115135</xdr:colOff>
      <xdr:row>54</xdr:row>
      <xdr:rowOff>143374</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00"/>
          <a:ext cx="5982535" cy="3572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jensen/AppData/Local/Microsoft/Windows/Temporary%20Internet%20Files/Content.Outlook/YPVZSQ72/Program%20Data%20Analysis%20-%20LGC%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Workbook%20A1_T24_201708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B350_T20%20and%20Fed%20App%20Std%20Potential%20Savings%20REVISED%2008-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Home"/>
      <sheetName val="Program Analysis"/>
      <sheetName val="SB 350 Potential"/>
      <sheetName val="Reference"/>
      <sheetName val="Conservative"/>
      <sheetName val="Aggressive"/>
      <sheetName val="Graph (electricity)"/>
      <sheetName val="Graph (gas)"/>
      <sheetName val="Data Analytics"/>
      <sheetName val="Chart1"/>
      <sheetName val="Chart2"/>
      <sheetName val="Chart3"/>
      <sheetName val="Chart4"/>
      <sheetName val="Look-up"/>
      <sheetName val="BEARS Worksheet"/>
      <sheetName val="LGC Worksheet"/>
      <sheetName val="LGC Conservative"/>
      <sheetName val="GHG Assumptions"/>
    </sheetNames>
    <sheetDataSet>
      <sheetData sheetId="0"/>
      <sheetData sheetId="1"/>
      <sheetData sheetId="2"/>
      <sheetData sheetId="3">
        <row r="35">
          <cell r="G35">
            <v>2015</v>
          </cell>
        </row>
      </sheetData>
      <sheetData sheetId="4"/>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85">
          <cell r="T85">
            <v>0.25</v>
          </cell>
        </row>
      </sheetData>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Benchmarking"/>
      <sheetName val="Look-up"/>
      <sheetName val="FS Stick Mid PA"/>
      <sheetName val="FS ADD Mid PA"/>
      <sheetName val="Summary"/>
      <sheetName val="Building Stock Data"/>
    </sheetNames>
    <sheetDataSet>
      <sheetData sheetId="0"/>
      <sheetData sheetId="1"/>
      <sheetData sheetId="2"/>
      <sheetData sheetId="3"/>
      <sheetData sheetId="4"/>
      <sheetData sheetId="5"/>
      <sheetData sheetId="6" refreshError="1"/>
      <sheetData sheetId="7" refreshError="1"/>
      <sheetData sheetId="8"/>
      <sheetData sheetId="9">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Benchmarking and Public Disclosure</v>
          </cell>
        </row>
        <row r="17">
          <cell r="A17" t="str">
            <v>Behavorial, Retrocommissioning, Operational Savings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S List"/>
      <sheetName val="Overall Assumptions"/>
      <sheetName val="Potential Stds"/>
      <sheetName val="S1_Savings by Yr"/>
      <sheetName val="S2_Savings by Yr"/>
      <sheetName val="S3_Savings by Yr"/>
      <sheetName val="TV calcs"/>
      <sheetName val="Imaging calcs"/>
      <sheetName val="Audio calcs"/>
      <sheetName val="Superseded C&amp;S"/>
      <sheetName val="RASS 2009"/>
      <sheetName val="CUES 2009"/>
      <sheetName val="Sheet2"/>
    </sheetNames>
    <sheetDataSet>
      <sheetData sheetId="0" refreshError="1"/>
      <sheetData sheetId="1" refreshError="1"/>
      <sheetData sheetId="2">
        <row r="7">
          <cell r="A7" t="str">
            <v>Future Title 20</v>
          </cell>
          <cell r="C7" t="str">
            <v>com</v>
          </cell>
          <cell r="I7">
            <v>2027</v>
          </cell>
          <cell r="Q7" t="str">
            <v/>
          </cell>
          <cell r="R7" t="str">
            <v/>
          </cell>
          <cell r="S7">
            <v>2</v>
          </cell>
          <cell r="U7">
            <v>2</v>
          </cell>
          <cell r="V7" t="str">
            <v/>
          </cell>
        </row>
        <row r="8">
          <cell r="A8" t="str">
            <v>Future Title 20</v>
          </cell>
          <cell r="C8" t="str">
            <v>com</v>
          </cell>
          <cell r="I8" t="str">
            <v/>
          </cell>
          <cell r="Q8" t="str">
            <v/>
          </cell>
          <cell r="R8" t="str">
            <v/>
          </cell>
          <cell r="U8" t="str">
            <v/>
          </cell>
          <cell r="V8" t="str">
            <v/>
          </cell>
        </row>
        <row r="9">
          <cell r="A9" t="str">
            <v>Future Title 20</v>
          </cell>
          <cell r="C9" t="str">
            <v>com</v>
          </cell>
          <cell r="I9" t="str">
            <v/>
          </cell>
          <cell r="Q9" t="str">
            <v/>
          </cell>
          <cell r="R9" t="str">
            <v/>
          </cell>
          <cell r="U9" t="str">
            <v/>
          </cell>
          <cell r="V9" t="str">
            <v/>
          </cell>
        </row>
        <row r="10">
          <cell r="A10" t="str">
            <v>Potential</v>
          </cell>
          <cell r="C10" t="str">
            <v>res</v>
          </cell>
          <cell r="I10" t="str">
            <v/>
          </cell>
          <cell r="Q10" t="str">
            <v/>
          </cell>
          <cell r="R10" t="str">
            <v/>
          </cell>
          <cell r="U10" t="str">
            <v/>
          </cell>
          <cell r="V10" t="str">
            <v/>
          </cell>
        </row>
        <row r="11">
          <cell r="A11" t="str">
            <v>n/a</v>
          </cell>
          <cell r="C11" t="str">
            <v>res</v>
          </cell>
          <cell r="I11" t="str">
            <v/>
          </cell>
          <cell r="Q11">
            <v>0</v>
          </cell>
          <cell r="R11">
            <v>0</v>
          </cell>
          <cell r="U11" t="str">
            <v/>
          </cell>
          <cell r="V11" t="str">
            <v/>
          </cell>
        </row>
        <row r="12">
          <cell r="A12" t="str">
            <v>Future Fed</v>
          </cell>
          <cell r="C12" t="str">
            <v>res</v>
          </cell>
          <cell r="I12">
            <v>2024</v>
          </cell>
          <cell r="Q12">
            <v>0</v>
          </cell>
          <cell r="R12">
            <v>1.2392999999999998</v>
          </cell>
          <cell r="T12">
            <v>1.2392999999999998</v>
          </cell>
          <cell r="U12" t="str">
            <v/>
          </cell>
          <cell r="V12">
            <v>1.458</v>
          </cell>
        </row>
        <row r="13">
          <cell r="A13" t="str">
            <v>Future Fed</v>
          </cell>
          <cell r="C13" t="str">
            <v>res</v>
          </cell>
          <cell r="I13" t="str">
            <v/>
          </cell>
          <cell r="Q13">
            <v>0</v>
          </cell>
          <cell r="R13">
            <v>0</v>
          </cell>
          <cell r="U13" t="str">
            <v/>
          </cell>
          <cell r="V13" t="str">
            <v/>
          </cell>
        </row>
        <row r="14">
          <cell r="A14" t="str">
            <v>Future Fed</v>
          </cell>
          <cell r="C14" t="str">
            <v>res</v>
          </cell>
          <cell r="I14" t="str">
            <v/>
          </cell>
          <cell r="Q14">
            <v>0</v>
          </cell>
          <cell r="R14">
            <v>0</v>
          </cell>
          <cell r="U14" t="str">
            <v/>
          </cell>
          <cell r="V14" t="str">
            <v/>
          </cell>
        </row>
        <row r="15">
          <cell r="A15" t="str">
            <v>Future Fed</v>
          </cell>
          <cell r="C15" t="str">
            <v>com</v>
          </cell>
          <cell r="I15">
            <v>2028</v>
          </cell>
          <cell r="Q15">
            <v>1.5146999999999999</v>
          </cell>
          <cell r="R15">
            <v>1.5300000000000001E-2</v>
          </cell>
          <cell r="S15">
            <v>1.5146999999999999</v>
          </cell>
          <cell r="T15">
            <v>1.5300000000000001E-2</v>
          </cell>
          <cell r="U15">
            <v>1.782</v>
          </cell>
          <cell r="V15">
            <v>1.8000000000000002E-2</v>
          </cell>
        </row>
        <row r="16">
          <cell r="A16" t="str">
            <v>Future Fed</v>
          </cell>
          <cell r="C16" t="str">
            <v>res</v>
          </cell>
          <cell r="I16">
            <v>2029</v>
          </cell>
          <cell r="Q16">
            <v>12.790800000000001</v>
          </cell>
          <cell r="R16">
            <v>0</v>
          </cell>
          <cell r="S16">
            <v>12.790800000000001</v>
          </cell>
          <cell r="U16">
            <v>15.048</v>
          </cell>
          <cell r="V16" t="str">
            <v/>
          </cell>
        </row>
        <row r="17">
          <cell r="A17" t="str">
            <v>Future Fed</v>
          </cell>
          <cell r="I17" t="str">
            <v/>
          </cell>
          <cell r="Q17">
            <v>0</v>
          </cell>
          <cell r="R17">
            <v>0</v>
          </cell>
          <cell r="U17" t="str">
            <v/>
          </cell>
          <cell r="V17" t="str">
            <v/>
          </cell>
        </row>
        <row r="18">
          <cell r="A18" t="str">
            <v>Potential</v>
          </cell>
          <cell r="C18" t="str">
            <v>com</v>
          </cell>
          <cell r="I18" t="str">
            <v/>
          </cell>
          <cell r="Q18" t="str">
            <v/>
          </cell>
          <cell r="R18" t="str">
            <v/>
          </cell>
          <cell r="U18" t="str">
            <v/>
          </cell>
          <cell r="V18" t="str">
            <v/>
          </cell>
        </row>
        <row r="19">
          <cell r="A19" t="str">
            <v>Future Fed</v>
          </cell>
          <cell r="C19" t="str">
            <v>res</v>
          </cell>
          <cell r="I19">
            <v>2026</v>
          </cell>
          <cell r="Q19">
            <v>128.26755</v>
          </cell>
          <cell r="R19">
            <v>0</v>
          </cell>
          <cell r="S19">
            <v>128.26755</v>
          </cell>
          <cell r="U19">
            <v>150.90300000000002</v>
          </cell>
          <cell r="V19" t="str">
            <v/>
          </cell>
        </row>
        <row r="20">
          <cell r="A20" t="str">
            <v>Potential</v>
          </cell>
          <cell r="C20" t="str">
            <v>com</v>
          </cell>
          <cell r="I20" t="str">
            <v/>
          </cell>
          <cell r="Q20" t="str">
            <v/>
          </cell>
          <cell r="R20" t="str">
            <v/>
          </cell>
          <cell r="U20" t="str">
            <v/>
          </cell>
          <cell r="V20" t="str">
            <v/>
          </cell>
        </row>
        <row r="21">
          <cell r="A21" t="str">
            <v>Potential</v>
          </cell>
          <cell r="C21" t="str">
            <v>com</v>
          </cell>
          <cell r="I21" t="str">
            <v/>
          </cell>
          <cell r="Q21">
            <v>0</v>
          </cell>
          <cell r="R21">
            <v>0</v>
          </cell>
          <cell r="U21" t="str">
            <v/>
          </cell>
          <cell r="V21" t="str">
            <v/>
          </cell>
        </row>
        <row r="22">
          <cell r="A22" t="str">
            <v>Future Fed</v>
          </cell>
          <cell r="C22" t="str">
            <v>com</v>
          </cell>
          <cell r="I22">
            <v>2028</v>
          </cell>
          <cell r="Q22">
            <v>4.9571999999999994</v>
          </cell>
          <cell r="R22">
            <v>0</v>
          </cell>
          <cell r="S22">
            <v>4.9571999999999994</v>
          </cell>
          <cell r="U22">
            <v>5.8319999999999999</v>
          </cell>
          <cell r="V22" t="str">
            <v/>
          </cell>
        </row>
        <row r="23">
          <cell r="A23" t="str">
            <v>Potential</v>
          </cell>
          <cell r="C23" t="str">
            <v>com</v>
          </cell>
          <cell r="I23" t="str">
            <v/>
          </cell>
          <cell r="Q23" t="str">
            <v/>
          </cell>
          <cell r="R23" t="str">
            <v/>
          </cell>
          <cell r="U23" t="str">
            <v/>
          </cell>
          <cell r="V23" t="str">
            <v/>
          </cell>
        </row>
        <row r="24">
          <cell r="A24" t="str">
            <v>Future Fed</v>
          </cell>
          <cell r="C24" t="str">
            <v>com</v>
          </cell>
          <cell r="I24">
            <v>2027</v>
          </cell>
          <cell r="Q24">
            <v>3.1334400000000002</v>
          </cell>
          <cell r="R24">
            <v>0</v>
          </cell>
          <cell r="S24">
            <v>3.1334400000000002</v>
          </cell>
          <cell r="U24">
            <v>3.6864000000000003</v>
          </cell>
          <cell r="V24" t="str">
            <v/>
          </cell>
        </row>
        <row r="25">
          <cell r="A25" t="str">
            <v>Potential</v>
          </cell>
          <cell r="C25" t="str">
            <v>com</v>
          </cell>
          <cell r="I25" t="str">
            <v/>
          </cell>
          <cell r="Q25" t="str">
            <v/>
          </cell>
          <cell r="R25" t="str">
            <v/>
          </cell>
          <cell r="U25" t="str">
            <v/>
          </cell>
          <cell r="V25" t="str">
            <v/>
          </cell>
        </row>
        <row r="26">
          <cell r="A26" t="str">
            <v>Potential</v>
          </cell>
          <cell r="C26" t="str">
            <v>res</v>
          </cell>
          <cell r="I26" t="str">
            <v/>
          </cell>
          <cell r="Q26">
            <v>0</v>
          </cell>
          <cell r="R26">
            <v>0</v>
          </cell>
          <cell r="U26" t="str">
            <v/>
          </cell>
          <cell r="V26" t="str">
            <v/>
          </cell>
        </row>
        <row r="27">
          <cell r="A27" t="str">
            <v>Potential</v>
          </cell>
          <cell r="C27" t="str">
            <v>com</v>
          </cell>
          <cell r="I27" t="str">
            <v/>
          </cell>
          <cell r="Q27" t="str">
            <v/>
          </cell>
          <cell r="R27" t="str">
            <v/>
          </cell>
          <cell r="U27" t="str">
            <v/>
          </cell>
          <cell r="V27" t="str">
            <v/>
          </cell>
        </row>
        <row r="28">
          <cell r="A28" t="str">
            <v>Future Fed</v>
          </cell>
          <cell r="C28" t="str">
            <v>res</v>
          </cell>
          <cell r="I28">
            <v>2031</v>
          </cell>
          <cell r="Q28">
            <v>-2.4785999999999997</v>
          </cell>
          <cell r="R28">
            <v>2.7539999999999996</v>
          </cell>
          <cell r="S28">
            <v>-2.4785999999999997</v>
          </cell>
          <cell r="T28">
            <v>2.7539999999999996</v>
          </cell>
          <cell r="U28">
            <v>-2.9159999999999999</v>
          </cell>
          <cell r="V28">
            <v>3.2399999999999993</v>
          </cell>
        </row>
        <row r="29">
          <cell r="A29" t="str">
            <v>Future Fed</v>
          </cell>
          <cell r="C29" t="str">
            <v>com</v>
          </cell>
          <cell r="I29">
            <v>2029</v>
          </cell>
          <cell r="Q29">
            <v>-0.21572999999999998</v>
          </cell>
          <cell r="R29">
            <v>1.7135999999999998</v>
          </cell>
          <cell r="S29">
            <v>-0.21572999999999998</v>
          </cell>
          <cell r="T29">
            <v>1.7135999999999998</v>
          </cell>
          <cell r="U29">
            <v>-0.25379999999999997</v>
          </cell>
          <cell r="V29">
            <v>2.016</v>
          </cell>
        </row>
        <row r="30">
          <cell r="A30" t="str">
            <v>Potential</v>
          </cell>
          <cell r="C30" t="str">
            <v>res</v>
          </cell>
          <cell r="I30" t="str">
            <v/>
          </cell>
          <cell r="Q30" t="str">
            <v/>
          </cell>
          <cell r="R30" t="str">
            <v/>
          </cell>
          <cell r="U30" t="str">
            <v/>
          </cell>
          <cell r="V30" t="str">
            <v/>
          </cell>
        </row>
        <row r="31">
          <cell r="A31" t="str">
            <v>Future Fed</v>
          </cell>
          <cell r="C31" t="str">
            <v>res</v>
          </cell>
          <cell r="I31">
            <v>2031</v>
          </cell>
          <cell r="Q31">
            <v>0</v>
          </cell>
          <cell r="R31">
            <v>6.6937499999999996</v>
          </cell>
          <cell r="T31">
            <v>6.6937499999999996</v>
          </cell>
          <cell r="U31" t="str">
            <v/>
          </cell>
          <cell r="V31">
            <v>7.875</v>
          </cell>
        </row>
        <row r="32">
          <cell r="A32" t="str">
            <v>Future Fed</v>
          </cell>
          <cell r="C32" t="str">
            <v>com</v>
          </cell>
          <cell r="I32">
            <v>2031</v>
          </cell>
          <cell r="Q32">
            <v>-4.9801499999999992</v>
          </cell>
          <cell r="R32">
            <v>4.3605</v>
          </cell>
          <cell r="S32">
            <v>-4.9801499999999992</v>
          </cell>
          <cell r="T32">
            <v>4.3605</v>
          </cell>
          <cell r="U32">
            <v>-5.859</v>
          </cell>
          <cell r="V32">
            <v>5.13</v>
          </cell>
        </row>
        <row r="33">
          <cell r="A33" t="str">
            <v>Potential</v>
          </cell>
          <cell r="C33" t="str">
            <v>res</v>
          </cell>
          <cell r="I33" t="str">
            <v/>
          </cell>
          <cell r="Q33">
            <v>0</v>
          </cell>
          <cell r="R33">
            <v>0</v>
          </cell>
          <cell r="U33" t="str">
            <v/>
          </cell>
          <cell r="V33" t="str">
            <v/>
          </cell>
        </row>
        <row r="34">
          <cell r="A34" t="str">
            <v>Potential</v>
          </cell>
          <cell r="C34" t="str">
            <v>com</v>
          </cell>
          <cell r="I34" t="str">
            <v/>
          </cell>
          <cell r="Q34" t="str">
            <v/>
          </cell>
          <cell r="R34" t="str">
            <v/>
          </cell>
          <cell r="U34" t="str">
            <v/>
          </cell>
          <cell r="V34" t="str">
            <v/>
          </cell>
        </row>
        <row r="35">
          <cell r="A35" t="str">
            <v>Future Fed</v>
          </cell>
          <cell r="C35" t="str">
            <v>res</v>
          </cell>
          <cell r="I35">
            <v>2024</v>
          </cell>
          <cell r="Q35">
            <v>22.888800000000003</v>
          </cell>
          <cell r="R35">
            <v>0</v>
          </cell>
          <cell r="S35">
            <v>22.888800000000003</v>
          </cell>
          <cell r="U35">
            <v>26.928000000000004</v>
          </cell>
          <cell r="V35" t="str">
            <v/>
          </cell>
        </row>
        <row r="36">
          <cell r="A36" t="str">
            <v>Future Title 20</v>
          </cell>
          <cell r="C36" t="str">
            <v>com</v>
          </cell>
          <cell r="I36">
            <v>2024</v>
          </cell>
          <cell r="Q36" t="str">
            <v/>
          </cell>
          <cell r="R36" t="str">
            <v/>
          </cell>
          <cell r="S36">
            <v>132.45974999999999</v>
          </cell>
          <cell r="U36">
            <v>155.83500000000001</v>
          </cell>
          <cell r="V36" t="str">
            <v/>
          </cell>
        </row>
        <row r="37">
          <cell r="A37" t="str">
            <v>Future Title 20</v>
          </cell>
          <cell r="C37" t="str">
            <v>res</v>
          </cell>
          <cell r="I37">
            <v>2029</v>
          </cell>
          <cell r="Q37" t="str">
            <v/>
          </cell>
          <cell r="R37" t="str">
            <v/>
          </cell>
          <cell r="S37">
            <v>28.610999999999997</v>
          </cell>
          <cell r="U37">
            <v>33.659999999999997</v>
          </cell>
          <cell r="V37" t="str">
            <v/>
          </cell>
        </row>
        <row r="38">
          <cell r="A38" t="str">
            <v>Potential</v>
          </cell>
          <cell r="C38" t="str">
            <v>com</v>
          </cell>
          <cell r="I38" t="str">
            <v/>
          </cell>
          <cell r="Q38">
            <v>0</v>
          </cell>
          <cell r="R38">
            <v>0</v>
          </cell>
          <cell r="U38" t="str">
            <v/>
          </cell>
          <cell r="V38" t="str">
            <v/>
          </cell>
        </row>
        <row r="39">
          <cell r="A39" t="str">
            <v>Potential</v>
          </cell>
          <cell r="C39" t="str">
            <v>split</v>
          </cell>
          <cell r="I39" t="str">
            <v/>
          </cell>
          <cell r="Q39">
            <v>0</v>
          </cell>
          <cell r="R39">
            <v>0</v>
          </cell>
          <cell r="U39" t="str">
            <v/>
          </cell>
          <cell r="V39" t="str">
            <v/>
          </cell>
        </row>
        <row r="40">
          <cell r="A40" t="str">
            <v>Potential</v>
          </cell>
          <cell r="C40" t="str">
            <v>split</v>
          </cell>
          <cell r="I40" t="str">
            <v/>
          </cell>
          <cell r="Q40">
            <v>0</v>
          </cell>
          <cell r="R40">
            <v>0</v>
          </cell>
          <cell r="U40" t="str">
            <v/>
          </cell>
          <cell r="V40" t="str">
            <v/>
          </cell>
        </row>
        <row r="41">
          <cell r="A41" t="str">
            <v>Potential</v>
          </cell>
          <cell r="C41" t="str">
            <v>com</v>
          </cell>
          <cell r="I41" t="str">
            <v/>
          </cell>
          <cell r="Q41" t="str">
            <v/>
          </cell>
          <cell r="R41" t="str">
            <v/>
          </cell>
          <cell r="U41" t="str">
            <v/>
          </cell>
          <cell r="V41" t="str">
            <v/>
          </cell>
        </row>
        <row r="42">
          <cell r="A42" t="str">
            <v>Future Title 20</v>
          </cell>
          <cell r="C42" t="str">
            <v>res</v>
          </cell>
          <cell r="I42">
            <v>2027</v>
          </cell>
          <cell r="Q42" t="str">
            <v/>
          </cell>
          <cell r="R42" t="str">
            <v/>
          </cell>
          <cell r="S42">
            <v>11.368688579999999</v>
          </cell>
          <cell r="U42">
            <v>13.374927741176469</v>
          </cell>
          <cell r="V42" t="str">
            <v/>
          </cell>
        </row>
        <row r="43">
          <cell r="A43" t="str">
            <v>Future Title 20</v>
          </cell>
          <cell r="C43" t="str">
            <v>com</v>
          </cell>
          <cell r="I43">
            <v>2027</v>
          </cell>
          <cell r="Q43" t="str">
            <v/>
          </cell>
          <cell r="R43" t="str">
            <v/>
          </cell>
          <cell r="U43" t="str">
            <v/>
          </cell>
          <cell r="V43" t="str">
            <v/>
          </cell>
        </row>
        <row r="44">
          <cell r="A44" t="str">
            <v>Potential</v>
          </cell>
          <cell r="C44" t="str">
            <v>com</v>
          </cell>
          <cell r="I44" t="str">
            <v/>
          </cell>
          <cell r="Q44" t="str">
            <v/>
          </cell>
          <cell r="R44" t="str">
            <v/>
          </cell>
          <cell r="U44" t="str">
            <v/>
          </cell>
          <cell r="V44" t="str">
            <v/>
          </cell>
        </row>
        <row r="45">
          <cell r="A45" t="str">
            <v>Potential</v>
          </cell>
          <cell r="C45" t="str">
            <v>com</v>
          </cell>
          <cell r="I45" t="str">
            <v/>
          </cell>
          <cell r="Q45" t="str">
            <v/>
          </cell>
          <cell r="R45" t="str">
            <v/>
          </cell>
          <cell r="U45" t="str">
            <v/>
          </cell>
          <cell r="V45" t="str">
            <v/>
          </cell>
        </row>
        <row r="46">
          <cell r="A46" t="str">
            <v>Potential</v>
          </cell>
          <cell r="C46" t="str">
            <v>com</v>
          </cell>
          <cell r="I46" t="str">
            <v/>
          </cell>
          <cell r="Q46" t="str">
            <v/>
          </cell>
          <cell r="R46" t="str">
            <v/>
          </cell>
          <cell r="U46" t="str">
            <v/>
          </cell>
          <cell r="V46" t="str">
            <v/>
          </cell>
        </row>
        <row r="47">
          <cell r="A47" t="str">
            <v>Future Fed</v>
          </cell>
          <cell r="C47" t="str">
            <v>com</v>
          </cell>
          <cell r="I47">
            <v>2029</v>
          </cell>
          <cell r="Q47">
            <v>3.84795</v>
          </cell>
          <cell r="R47">
            <v>0</v>
          </cell>
          <cell r="S47">
            <v>3.84795</v>
          </cell>
          <cell r="U47">
            <v>4.5270000000000001</v>
          </cell>
          <cell r="V47" t="str">
            <v/>
          </cell>
        </row>
        <row r="48">
          <cell r="A48" t="str">
            <v>Potential</v>
          </cell>
          <cell r="C48" t="str">
            <v>com</v>
          </cell>
          <cell r="I48" t="str">
            <v/>
          </cell>
          <cell r="Q48" t="str">
            <v/>
          </cell>
          <cell r="R48" t="str">
            <v/>
          </cell>
          <cell r="U48" t="str">
            <v/>
          </cell>
          <cell r="V48" t="str">
            <v/>
          </cell>
        </row>
        <row r="49">
          <cell r="A49" t="str">
            <v>Future Fed</v>
          </cell>
          <cell r="C49" t="str">
            <v>com</v>
          </cell>
          <cell r="I49">
            <v>2029</v>
          </cell>
          <cell r="Q49" t="str">
            <v/>
          </cell>
          <cell r="R49" t="str">
            <v/>
          </cell>
          <cell r="T49">
            <v>0.91799999999999993</v>
          </cell>
          <cell r="U49" t="str">
            <v/>
          </cell>
          <cell r="V49">
            <v>1.08</v>
          </cell>
        </row>
        <row r="50">
          <cell r="A50" t="str">
            <v>Future Fed</v>
          </cell>
          <cell r="C50" t="str">
            <v>res</v>
          </cell>
          <cell r="I50">
            <v>2025</v>
          </cell>
          <cell r="Q50">
            <v>450.27900000000005</v>
          </cell>
          <cell r="R50">
            <v>0</v>
          </cell>
          <cell r="S50">
            <v>450.27900000000005</v>
          </cell>
          <cell r="U50">
            <v>529.74</v>
          </cell>
          <cell r="V50" t="str">
            <v/>
          </cell>
        </row>
        <row r="51">
          <cell r="A51" t="str">
            <v>Future Fed</v>
          </cell>
          <cell r="C51" t="str">
            <v>res</v>
          </cell>
          <cell r="I51">
            <v>2025</v>
          </cell>
          <cell r="Q51">
            <v>0</v>
          </cell>
          <cell r="R51">
            <v>12.117599999999999</v>
          </cell>
          <cell r="T51">
            <v>12.117599999999999</v>
          </cell>
          <cell r="U51" t="str">
            <v/>
          </cell>
          <cell r="V51">
            <v>14.256000000000002</v>
          </cell>
        </row>
        <row r="52">
          <cell r="A52" t="str">
            <v>Future Fed</v>
          </cell>
          <cell r="C52" t="str">
            <v>res</v>
          </cell>
          <cell r="I52">
            <v>2025</v>
          </cell>
          <cell r="Q52">
            <v>0</v>
          </cell>
          <cell r="R52">
            <v>1.7212499999999999</v>
          </cell>
          <cell r="T52">
            <v>1.7212499999999999</v>
          </cell>
          <cell r="U52" t="str">
            <v/>
          </cell>
          <cell r="V52">
            <v>2.0249999999999999</v>
          </cell>
        </row>
        <row r="53">
          <cell r="A53" t="str">
            <v>Potential</v>
          </cell>
          <cell r="C53" t="str">
            <v>split</v>
          </cell>
          <cell r="I53" t="str">
            <v/>
          </cell>
          <cell r="Q53" t="str">
            <v/>
          </cell>
          <cell r="R53" t="str">
            <v/>
          </cell>
          <cell r="U53" t="str">
            <v/>
          </cell>
          <cell r="V53" t="str">
            <v/>
          </cell>
        </row>
        <row r="54">
          <cell r="A54" t="str">
            <v>Future Fed</v>
          </cell>
          <cell r="C54" t="str">
            <v>res</v>
          </cell>
          <cell r="I54">
            <v>2031</v>
          </cell>
          <cell r="Q54">
            <v>81.549000000000007</v>
          </cell>
          <cell r="R54">
            <v>0</v>
          </cell>
          <cell r="S54">
            <v>81.549000000000007</v>
          </cell>
          <cell r="U54">
            <v>95.94</v>
          </cell>
          <cell r="V54" t="str">
            <v/>
          </cell>
        </row>
        <row r="55">
          <cell r="A55" t="str">
            <v>Future Title 20</v>
          </cell>
          <cell r="C55" t="str">
            <v>split</v>
          </cell>
          <cell r="I55">
            <v>2024</v>
          </cell>
          <cell r="Q55">
            <v>318.62100000000004</v>
          </cell>
          <cell r="S55">
            <v>318.62100000000004</v>
          </cell>
          <cell r="U55">
            <v>318.62100000000004</v>
          </cell>
        </row>
        <row r="56">
          <cell r="A56" t="str">
            <v>Future Fed</v>
          </cell>
          <cell r="C56" t="str">
            <v>res</v>
          </cell>
          <cell r="I56">
            <v>2026</v>
          </cell>
          <cell r="Q56">
            <v>13.219200000000001</v>
          </cell>
          <cell r="R56">
            <v>0</v>
          </cell>
          <cell r="S56">
            <v>13.219200000000001</v>
          </cell>
          <cell r="U56">
            <v>15.552000000000001</v>
          </cell>
          <cell r="V56" t="str">
            <v/>
          </cell>
        </row>
        <row r="57">
          <cell r="A57" t="str">
            <v>n/a current T20</v>
          </cell>
          <cell r="C57" t="str">
            <v>res</v>
          </cell>
          <cell r="I57" t="str">
            <v/>
          </cell>
          <cell r="Q57">
            <v>0</v>
          </cell>
          <cell r="R57">
            <v>0</v>
          </cell>
          <cell r="U57" t="str">
            <v/>
          </cell>
          <cell r="V57" t="str">
            <v/>
          </cell>
        </row>
        <row r="58">
          <cell r="A58" t="str">
            <v>Future Title 20</v>
          </cell>
          <cell r="C58" t="str">
            <v>split</v>
          </cell>
          <cell r="I58">
            <v>2020</v>
          </cell>
          <cell r="Q58" t="str">
            <v/>
          </cell>
          <cell r="R58" t="str">
            <v/>
          </cell>
          <cell r="U58" t="str">
            <v/>
          </cell>
          <cell r="V58" t="str">
            <v/>
          </cell>
        </row>
        <row r="59">
          <cell r="A59" t="str">
            <v>Future Title 20</v>
          </cell>
          <cell r="C59" t="str">
            <v>split</v>
          </cell>
          <cell r="I59">
            <v>2020</v>
          </cell>
          <cell r="Q59" t="str">
            <v/>
          </cell>
          <cell r="R59" t="str">
            <v/>
          </cell>
          <cell r="U59" t="str">
            <v/>
          </cell>
          <cell r="V59" t="str">
            <v/>
          </cell>
        </row>
        <row r="60">
          <cell r="A60" t="str">
            <v>Future Title 20</v>
          </cell>
          <cell r="C60" t="str">
            <v>com</v>
          </cell>
          <cell r="I60" t="str">
            <v/>
          </cell>
          <cell r="Q60" t="str">
            <v/>
          </cell>
          <cell r="R60" t="str">
            <v/>
          </cell>
          <cell r="U60" t="str">
            <v/>
          </cell>
          <cell r="V60" t="str">
            <v/>
          </cell>
        </row>
        <row r="61">
          <cell r="A61" t="str">
            <v>Future Title 20</v>
          </cell>
          <cell r="C61" t="str">
            <v>split</v>
          </cell>
          <cell r="I61" t="str">
            <v/>
          </cell>
          <cell r="Q61" t="str">
            <v/>
          </cell>
          <cell r="R61" t="str">
            <v/>
          </cell>
          <cell r="U61" t="str">
            <v/>
          </cell>
          <cell r="V61" t="str">
            <v/>
          </cell>
        </row>
        <row r="62">
          <cell r="A62" t="str">
            <v>Future Title 20</v>
          </cell>
          <cell r="C62" t="str">
            <v>split</v>
          </cell>
          <cell r="I62" t="str">
            <v/>
          </cell>
          <cell r="Q62" t="str">
            <v/>
          </cell>
          <cell r="R62" t="str">
            <v/>
          </cell>
          <cell r="S62">
            <v>20.399999999999999</v>
          </cell>
          <cell r="U62">
            <v>24</v>
          </cell>
          <cell r="V62" t="str">
            <v/>
          </cell>
        </row>
        <row r="63">
          <cell r="A63" t="str">
            <v>Future Title 20</v>
          </cell>
          <cell r="C63" t="str">
            <v>split</v>
          </cell>
          <cell r="I63" t="str">
            <v/>
          </cell>
          <cell r="Q63" t="str">
            <v/>
          </cell>
          <cell r="R63" t="str">
            <v/>
          </cell>
          <cell r="U63" t="str">
            <v/>
          </cell>
          <cell r="V63" t="str">
            <v/>
          </cell>
        </row>
        <row r="64">
          <cell r="A64" t="str">
            <v>Future Title 20</v>
          </cell>
          <cell r="C64" t="str">
            <v>com</v>
          </cell>
          <cell r="I64">
            <v>2022</v>
          </cell>
          <cell r="Q64" t="str">
            <v/>
          </cell>
          <cell r="R64" t="str">
            <v/>
          </cell>
          <cell r="T64">
            <v>1.2E-2</v>
          </cell>
          <cell r="U64" t="str">
            <v/>
          </cell>
          <cell r="V64">
            <v>1.4190059614073554E-2</v>
          </cell>
        </row>
        <row r="65">
          <cell r="A65" t="str">
            <v>Future Title 20</v>
          </cell>
          <cell r="C65" t="str">
            <v>com</v>
          </cell>
          <cell r="I65">
            <v>2021</v>
          </cell>
          <cell r="Q65" t="str">
            <v/>
          </cell>
          <cell r="R65" t="str">
            <v/>
          </cell>
          <cell r="S65">
            <v>0.79400000000000004</v>
          </cell>
          <cell r="U65">
            <v>0.93411764705882361</v>
          </cell>
          <cell r="V65" t="str">
            <v/>
          </cell>
        </row>
        <row r="66">
          <cell r="A66" t="str">
            <v>Future Title 20</v>
          </cell>
          <cell r="C66" t="str">
            <v>com</v>
          </cell>
          <cell r="I66">
            <v>2027</v>
          </cell>
          <cell r="Q66" t="str">
            <v/>
          </cell>
          <cell r="R66" t="str">
            <v/>
          </cell>
          <cell r="S66">
            <v>0.28799999999999998</v>
          </cell>
          <cell r="U66">
            <v>0.33882352941176469</v>
          </cell>
          <cell r="V66" t="str">
            <v/>
          </cell>
        </row>
        <row r="67">
          <cell r="A67" t="str">
            <v>Future Title 20</v>
          </cell>
          <cell r="C67" t="str">
            <v>split</v>
          </cell>
          <cell r="I67">
            <v>2021</v>
          </cell>
          <cell r="Q67" t="str">
            <v/>
          </cell>
          <cell r="R67" t="str">
            <v/>
          </cell>
          <cell r="S67">
            <v>4.1979999999999995</v>
          </cell>
          <cell r="U67">
            <v>4.9388235294117644</v>
          </cell>
          <cell r="V67" t="str">
            <v/>
          </cell>
        </row>
        <row r="68">
          <cell r="A68" t="str">
            <v>Future Title 20</v>
          </cell>
          <cell r="C68" t="str">
            <v>split</v>
          </cell>
          <cell r="I68">
            <v>2027</v>
          </cell>
          <cell r="Q68" t="str">
            <v/>
          </cell>
          <cell r="R68" t="str">
            <v/>
          </cell>
          <cell r="U68" t="str">
            <v/>
          </cell>
          <cell r="V68" t="str">
            <v/>
          </cell>
        </row>
        <row r="69">
          <cell r="A69" t="str">
            <v>Future Title 20</v>
          </cell>
          <cell r="C69" t="str">
            <v>split</v>
          </cell>
          <cell r="I69">
            <v>2021</v>
          </cell>
          <cell r="Q69" t="str">
            <v/>
          </cell>
          <cell r="R69" t="str">
            <v/>
          </cell>
          <cell r="S69">
            <v>60.144000000000005</v>
          </cell>
          <cell r="U69">
            <v>70.757647058823537</v>
          </cell>
          <cell r="V69" t="str">
            <v/>
          </cell>
        </row>
        <row r="70">
          <cell r="A70" t="str">
            <v>Future Title 20</v>
          </cell>
          <cell r="C70" t="str">
            <v>split</v>
          </cell>
          <cell r="I70">
            <v>2023</v>
          </cell>
          <cell r="Q70" t="str">
            <v/>
          </cell>
          <cell r="R70" t="str">
            <v/>
          </cell>
          <cell r="U70" t="str">
            <v/>
          </cell>
          <cell r="V70" t="str">
            <v/>
          </cell>
        </row>
        <row r="71">
          <cell r="A71" t="str">
            <v>Future Title 20</v>
          </cell>
          <cell r="C71" t="str">
            <v>split</v>
          </cell>
          <cell r="I71">
            <v>2021</v>
          </cell>
          <cell r="Q71" t="str">
            <v/>
          </cell>
          <cell r="R71" t="str">
            <v/>
          </cell>
          <cell r="S71">
            <v>23.709600000000002</v>
          </cell>
          <cell r="U71">
            <v>27.893647058823532</v>
          </cell>
          <cell r="V71" t="str">
            <v/>
          </cell>
        </row>
        <row r="72">
          <cell r="A72" t="str">
            <v>Future Title 20</v>
          </cell>
          <cell r="C72" t="str">
            <v>split</v>
          </cell>
          <cell r="I72">
            <v>2027</v>
          </cell>
          <cell r="Q72" t="str">
            <v/>
          </cell>
          <cell r="R72" t="str">
            <v/>
          </cell>
          <cell r="S72">
            <v>367.8631480041746</v>
          </cell>
          <cell r="U72">
            <v>435</v>
          </cell>
          <cell r="V72" t="str">
            <v/>
          </cell>
        </row>
        <row r="73">
          <cell r="A73" t="str">
            <v>Future Title 20</v>
          </cell>
          <cell r="C73" t="str">
            <v>split</v>
          </cell>
          <cell r="I73">
            <v>2027</v>
          </cell>
          <cell r="Q73" t="str">
            <v/>
          </cell>
          <cell r="R73" t="str">
            <v/>
          </cell>
          <cell r="U73" t="str">
            <v/>
          </cell>
          <cell r="V73" t="str">
            <v/>
          </cell>
        </row>
        <row r="74">
          <cell r="A74" t="str">
            <v>Future Title 20</v>
          </cell>
          <cell r="C74" t="str">
            <v>split</v>
          </cell>
          <cell r="I74">
            <v>2021</v>
          </cell>
          <cell r="Q74" t="str">
            <v/>
          </cell>
          <cell r="R74" t="str">
            <v/>
          </cell>
          <cell r="U74" t="str">
            <v/>
          </cell>
          <cell r="V74" t="str">
            <v/>
          </cell>
        </row>
        <row r="75">
          <cell r="A75" t="str">
            <v>Future Title 20</v>
          </cell>
          <cell r="C75" t="str">
            <v>split</v>
          </cell>
          <cell r="I75">
            <v>2021</v>
          </cell>
          <cell r="Q75" t="str">
            <v/>
          </cell>
          <cell r="R75" t="str">
            <v/>
          </cell>
          <cell r="S75">
            <v>1.8</v>
          </cell>
          <cell r="U75">
            <v>2.1285089421110333</v>
          </cell>
          <cell r="V75" t="str">
            <v/>
          </cell>
        </row>
        <row r="76">
          <cell r="A76" t="str">
            <v>Future Title 20</v>
          </cell>
          <cell r="C76" t="str">
            <v>split</v>
          </cell>
          <cell r="I76">
            <v>2021</v>
          </cell>
          <cell r="Q76" t="str">
            <v/>
          </cell>
          <cell r="R76" t="str">
            <v/>
          </cell>
          <cell r="S76">
            <v>0.8</v>
          </cell>
          <cell r="U76">
            <v>0.94600397427157035</v>
          </cell>
          <cell r="V76" t="str">
            <v/>
          </cell>
        </row>
        <row r="77">
          <cell r="A77" t="str">
            <v>Future Title 20</v>
          </cell>
          <cell r="C77" t="str">
            <v>split</v>
          </cell>
          <cell r="I77">
            <v>2021</v>
          </cell>
          <cell r="Q77" t="str">
            <v/>
          </cell>
          <cell r="R77" t="str">
            <v/>
          </cell>
          <cell r="S77">
            <v>0.27999999999999997</v>
          </cell>
          <cell r="U77">
            <v>0.33110139099504954</v>
          </cell>
          <cell r="V77" t="str">
            <v/>
          </cell>
        </row>
        <row r="78">
          <cell r="A78" t="str">
            <v>Future Title 20</v>
          </cell>
          <cell r="C78" t="str">
            <v>split</v>
          </cell>
          <cell r="I78">
            <v>2021</v>
          </cell>
          <cell r="Q78" t="str">
            <v/>
          </cell>
          <cell r="R78" t="str">
            <v/>
          </cell>
          <cell r="S78">
            <v>2.4600000000000004</v>
          </cell>
          <cell r="U78">
            <v>2.9089622208850789</v>
          </cell>
          <cell r="V78" t="str">
            <v/>
          </cell>
        </row>
        <row r="79">
          <cell r="A79" t="str">
            <v>Future Title 20</v>
          </cell>
          <cell r="C79" t="str">
            <v>split</v>
          </cell>
          <cell r="I79">
            <v>2021</v>
          </cell>
          <cell r="Q79" t="str">
            <v/>
          </cell>
          <cell r="R79" t="str">
            <v/>
          </cell>
          <cell r="S79">
            <v>18.580000000000002</v>
          </cell>
          <cell r="U79">
            <v>21.970942302457221</v>
          </cell>
          <cell r="V79" t="str">
            <v/>
          </cell>
        </row>
        <row r="80">
          <cell r="A80" t="str">
            <v>Future Title 20</v>
          </cell>
          <cell r="C80" t="str">
            <v>split</v>
          </cell>
          <cell r="I80">
            <v>2021</v>
          </cell>
          <cell r="Q80" t="str">
            <v/>
          </cell>
          <cell r="R80" t="str">
            <v/>
          </cell>
          <cell r="S80">
            <v>6.66</v>
          </cell>
          <cell r="U80">
            <v>7.8754830858108225</v>
          </cell>
          <cell r="V80" t="str">
            <v/>
          </cell>
        </row>
        <row r="81">
          <cell r="A81" t="str">
            <v>Future Title 20</v>
          </cell>
          <cell r="C81" t="str">
            <v>split</v>
          </cell>
          <cell r="I81">
            <v>2021</v>
          </cell>
          <cell r="Q81" t="str">
            <v/>
          </cell>
          <cell r="R81" t="str">
            <v/>
          </cell>
          <cell r="S81">
            <v>0</v>
          </cell>
          <cell r="U81">
            <v>0</v>
          </cell>
          <cell r="V81" t="str">
            <v/>
          </cell>
        </row>
        <row r="82">
          <cell r="A82" t="str">
            <v>Future Title 20</v>
          </cell>
          <cell r="C82" t="str">
            <v>split</v>
          </cell>
          <cell r="I82">
            <v>2021</v>
          </cell>
          <cell r="Q82" t="str">
            <v/>
          </cell>
          <cell r="R82" t="str">
            <v/>
          </cell>
          <cell r="S82">
            <v>4.8000000000000007</v>
          </cell>
          <cell r="U82">
            <v>5.6760238456294223</v>
          </cell>
          <cell r="V82" t="str">
            <v/>
          </cell>
        </row>
        <row r="83">
          <cell r="A83" t="str">
            <v>Future Title 20</v>
          </cell>
          <cell r="C83" t="str">
            <v>split</v>
          </cell>
          <cell r="I83">
            <v>2021</v>
          </cell>
          <cell r="Q83" t="str">
            <v/>
          </cell>
          <cell r="R83" t="str">
            <v/>
          </cell>
          <cell r="S83">
            <v>9.8000000000000007</v>
          </cell>
          <cell r="U83">
            <v>11.588548684826737</v>
          </cell>
          <cell r="V83" t="str">
            <v/>
          </cell>
        </row>
        <row r="84">
          <cell r="A84" t="str">
            <v>Future Title 20</v>
          </cell>
          <cell r="C84" t="str">
            <v>split</v>
          </cell>
          <cell r="I84">
            <v>2021</v>
          </cell>
          <cell r="Q84" t="str">
            <v/>
          </cell>
          <cell r="R84" t="str">
            <v/>
          </cell>
          <cell r="S84">
            <v>17.758910593304982</v>
          </cell>
          <cell r="U84">
            <v>21</v>
          </cell>
          <cell r="V84" t="str">
            <v/>
          </cell>
        </row>
        <row r="85">
          <cell r="A85" t="str">
            <v>Future Title 20</v>
          </cell>
          <cell r="C85" t="str">
            <v>split</v>
          </cell>
          <cell r="I85">
            <v>2020</v>
          </cell>
          <cell r="Q85" t="str">
            <v/>
          </cell>
          <cell r="R85" t="str">
            <v/>
          </cell>
          <cell r="S85">
            <v>307</v>
          </cell>
          <cell r="U85">
            <v>361.1764705882353</v>
          </cell>
          <cell r="V85" t="str">
            <v/>
          </cell>
        </row>
        <row r="86">
          <cell r="A86" t="str">
            <v>Future Title 20</v>
          </cell>
          <cell r="C86" t="str">
            <v>com</v>
          </cell>
          <cell r="I86">
            <v>2025</v>
          </cell>
          <cell r="Q86" t="str">
            <v/>
          </cell>
          <cell r="R86" t="str">
            <v/>
          </cell>
          <cell r="S86">
            <v>18.7</v>
          </cell>
          <cell r="U86">
            <v>22.112842898597954</v>
          </cell>
          <cell r="V86" t="str">
            <v/>
          </cell>
        </row>
        <row r="87">
          <cell r="A87" t="str">
            <v>Future Title 20</v>
          </cell>
          <cell r="C87" t="str">
            <v>split</v>
          </cell>
          <cell r="I87">
            <v>2021</v>
          </cell>
          <cell r="Q87" t="str">
            <v/>
          </cell>
          <cell r="R87" t="str">
            <v/>
          </cell>
          <cell r="S87">
            <v>0.70105413723094412</v>
          </cell>
          <cell r="U87">
            <v>0.82899999999999996</v>
          </cell>
          <cell r="V87" t="str">
            <v/>
          </cell>
        </row>
        <row r="88">
          <cell r="A88" t="str">
            <v>Future Title 20</v>
          </cell>
          <cell r="C88" t="str">
            <v>com</v>
          </cell>
          <cell r="I88">
            <v>2024</v>
          </cell>
          <cell r="Q88" t="str">
            <v/>
          </cell>
          <cell r="R88" t="str">
            <v/>
          </cell>
          <cell r="U88" t="str">
            <v/>
          </cell>
          <cell r="V88" t="str">
            <v/>
          </cell>
        </row>
        <row r="89">
          <cell r="A89" t="str">
            <v>Future Title 20</v>
          </cell>
          <cell r="C89" t="str">
            <v>split</v>
          </cell>
          <cell r="I89">
            <v>2024</v>
          </cell>
          <cell r="Q89" t="str">
            <v/>
          </cell>
          <cell r="R89" t="str">
            <v/>
          </cell>
          <cell r="U89" t="str">
            <v/>
          </cell>
          <cell r="V89" t="str">
            <v/>
          </cell>
        </row>
        <row r="90">
          <cell r="A90" t="str">
            <v>Future Title 20</v>
          </cell>
          <cell r="C90" t="str">
            <v>res</v>
          </cell>
          <cell r="I90">
            <v>2024</v>
          </cell>
          <cell r="Q90" t="str">
            <v/>
          </cell>
          <cell r="R90" t="str">
            <v/>
          </cell>
        </row>
        <row r="91">
          <cell r="A91" t="str">
            <v>Future Title 20</v>
          </cell>
          <cell r="C91" t="str">
            <v>split</v>
          </cell>
          <cell r="I91">
            <v>2027</v>
          </cell>
          <cell r="Q91" t="str">
            <v/>
          </cell>
          <cell r="R91" t="str">
            <v/>
          </cell>
          <cell r="U91" t="str">
            <v/>
          </cell>
          <cell r="V91" t="str">
            <v/>
          </cell>
        </row>
        <row r="92">
          <cell r="A92" t="str">
            <v>Future Title 20</v>
          </cell>
          <cell r="C92" t="str">
            <v>split</v>
          </cell>
          <cell r="I92">
            <v>2027</v>
          </cell>
          <cell r="Q92" t="str">
            <v/>
          </cell>
          <cell r="R92" t="str">
            <v/>
          </cell>
          <cell r="S92">
            <v>153</v>
          </cell>
          <cell r="U92">
            <v>180</v>
          </cell>
          <cell r="V92" t="str">
            <v/>
          </cell>
        </row>
        <row r="93">
          <cell r="A93" t="str">
            <v>Future Fed</v>
          </cell>
          <cell r="C93" t="str">
            <v>res</v>
          </cell>
          <cell r="I93">
            <v>2026</v>
          </cell>
          <cell r="Q93">
            <v>23.294249999999998</v>
          </cell>
          <cell r="R93">
            <v>1.6065</v>
          </cell>
          <cell r="S93">
            <v>23.294249999999998</v>
          </cell>
          <cell r="T93">
            <v>1.6065</v>
          </cell>
          <cell r="U93">
            <v>27.405000000000001</v>
          </cell>
          <cell r="V93">
            <v>1.8900000000000001</v>
          </cell>
        </row>
        <row r="94">
          <cell r="A94" t="str">
            <v>Future Fed</v>
          </cell>
          <cell r="C94" t="str">
            <v>com</v>
          </cell>
          <cell r="I94">
            <v>2031</v>
          </cell>
          <cell r="Q94">
            <v>107.52074999999999</v>
          </cell>
          <cell r="R94">
            <v>0</v>
          </cell>
          <cell r="S94">
            <v>107.52074999999999</v>
          </cell>
          <cell r="U94">
            <v>126.495</v>
          </cell>
          <cell r="V94" t="str">
            <v/>
          </cell>
        </row>
        <row r="95">
          <cell r="A95" t="str">
            <v>Future Fed</v>
          </cell>
          <cell r="C95" t="str">
            <v>res</v>
          </cell>
          <cell r="I95">
            <v>2030</v>
          </cell>
          <cell r="Q95">
            <v>13.77</v>
          </cell>
          <cell r="R95">
            <v>0</v>
          </cell>
          <cell r="S95">
            <v>13.77</v>
          </cell>
          <cell r="U95">
            <v>16.2</v>
          </cell>
          <cell r="V95" t="str">
            <v/>
          </cell>
        </row>
        <row r="96">
          <cell r="A96" t="str">
            <v>Future Fed</v>
          </cell>
          <cell r="C96" t="str">
            <v>res</v>
          </cell>
          <cell r="I96">
            <v>2030</v>
          </cell>
          <cell r="Q96">
            <v>0</v>
          </cell>
          <cell r="R96">
            <v>7.7112E-2</v>
          </cell>
          <cell r="T96">
            <v>7.7112E-2</v>
          </cell>
          <cell r="U96" t="str">
            <v/>
          </cell>
          <cell r="V96">
            <v>9.0719999999999995E-2</v>
          </cell>
        </row>
        <row r="97">
          <cell r="A97" t="str">
            <v>Future Fed</v>
          </cell>
          <cell r="C97" t="str">
            <v>res</v>
          </cell>
          <cell r="I97">
            <v>2029</v>
          </cell>
          <cell r="Q97" t="str">
            <v/>
          </cell>
          <cell r="R97" t="str">
            <v/>
          </cell>
          <cell r="S97">
            <v>15.44994</v>
          </cell>
          <cell r="U97">
            <v>18.176399999999997</v>
          </cell>
          <cell r="V97" t="str">
            <v/>
          </cell>
        </row>
        <row r="98">
          <cell r="A98" t="str">
            <v>n/a current T20</v>
          </cell>
          <cell r="C98" t="str">
            <v>res</v>
          </cell>
          <cell r="I98">
            <v>2028</v>
          </cell>
          <cell r="Q98">
            <v>0</v>
          </cell>
          <cell r="R98">
            <v>0</v>
          </cell>
          <cell r="U98" t="str">
            <v/>
          </cell>
          <cell r="V98" t="str">
            <v/>
          </cell>
        </row>
        <row r="99">
          <cell r="A99" t="str">
            <v>Future Fed</v>
          </cell>
          <cell r="C99" t="str">
            <v>res</v>
          </cell>
          <cell r="I99">
            <v>2027</v>
          </cell>
          <cell r="Q99">
            <v>9.0269999999999992</v>
          </cell>
          <cell r="R99">
            <v>0</v>
          </cell>
          <cell r="S99">
            <v>9.0269999999999992</v>
          </cell>
          <cell r="U99">
            <v>10.620000000000001</v>
          </cell>
          <cell r="V99" t="str">
            <v/>
          </cell>
        </row>
        <row r="100">
          <cell r="A100" t="str">
            <v>Future Fed</v>
          </cell>
          <cell r="C100" t="str">
            <v>res</v>
          </cell>
          <cell r="I100">
            <v>2025</v>
          </cell>
          <cell r="Q100">
            <v>30.941189999999999</v>
          </cell>
          <cell r="R100">
            <v>0</v>
          </cell>
          <cell r="S100">
            <v>30.941189999999999</v>
          </cell>
          <cell r="U100">
            <v>36.401399999999995</v>
          </cell>
          <cell r="V100" t="str">
            <v/>
          </cell>
        </row>
        <row r="101">
          <cell r="A101" t="str">
            <v>n/a current T20</v>
          </cell>
          <cell r="C101" t="str">
            <v>res</v>
          </cell>
          <cell r="I101" t="str">
            <v/>
          </cell>
          <cell r="Q101">
            <v>0</v>
          </cell>
          <cell r="R101">
            <v>0</v>
          </cell>
          <cell r="U101" t="str">
            <v/>
          </cell>
          <cell r="V101" t="str">
            <v/>
          </cell>
        </row>
        <row r="102">
          <cell r="A102" t="str">
            <v>Future Fed</v>
          </cell>
          <cell r="C102" t="str">
            <v>res</v>
          </cell>
          <cell r="I102">
            <v>2031</v>
          </cell>
          <cell r="Q102">
            <v>33.94764</v>
          </cell>
          <cell r="R102">
            <v>0</v>
          </cell>
          <cell r="S102">
            <v>33.94764</v>
          </cell>
          <cell r="U102">
            <v>39.938400000000009</v>
          </cell>
          <cell r="V102" t="str">
            <v/>
          </cell>
        </row>
        <row r="103">
          <cell r="A103" t="str">
            <v>n/a current T20</v>
          </cell>
          <cell r="C103" t="str">
            <v>res</v>
          </cell>
          <cell r="I103" t="str">
            <v/>
          </cell>
          <cell r="Q103">
            <v>0</v>
          </cell>
          <cell r="R103">
            <v>0</v>
          </cell>
          <cell r="U103" t="str">
            <v/>
          </cell>
          <cell r="V103" t="str">
            <v/>
          </cell>
        </row>
        <row r="104">
          <cell r="A104" t="str">
            <v>n/a current T20</v>
          </cell>
          <cell r="C104" t="str">
            <v>res</v>
          </cell>
          <cell r="I104" t="str">
            <v/>
          </cell>
          <cell r="Q104">
            <v>0</v>
          </cell>
          <cell r="R104">
            <v>0</v>
          </cell>
          <cell r="U104" t="str">
            <v/>
          </cell>
          <cell r="V104" t="str">
            <v/>
          </cell>
        </row>
        <row r="105">
          <cell r="A105" t="str">
            <v>Future Fed</v>
          </cell>
          <cell r="C105" t="str">
            <v>com</v>
          </cell>
          <cell r="I105" t="str">
            <v/>
          </cell>
          <cell r="Q105" t="str">
            <v/>
          </cell>
          <cell r="R105" t="str">
            <v/>
          </cell>
          <cell r="S105">
            <v>11.842199999999998</v>
          </cell>
          <cell r="U105">
            <v>13.931999999999999</v>
          </cell>
          <cell r="V105" t="str">
            <v/>
          </cell>
        </row>
        <row r="106">
          <cell r="A106" t="str">
            <v>Future Fed</v>
          </cell>
          <cell r="C106" t="str">
            <v>com</v>
          </cell>
          <cell r="I106">
            <v>2030</v>
          </cell>
          <cell r="Q106" t="str">
            <v/>
          </cell>
          <cell r="R106" t="str">
            <v/>
          </cell>
          <cell r="S106">
            <v>176.84351999999998</v>
          </cell>
          <cell r="U106">
            <v>208.05120000000002</v>
          </cell>
          <cell r="V106" t="str">
            <v/>
          </cell>
        </row>
        <row r="107">
          <cell r="A107" t="str">
            <v>Future Fed</v>
          </cell>
          <cell r="C107" t="str">
            <v>com</v>
          </cell>
          <cell r="I107">
            <v>2025</v>
          </cell>
          <cell r="Q107">
            <v>6.7503599999999997</v>
          </cell>
          <cell r="R107">
            <v>0</v>
          </cell>
          <cell r="S107">
            <v>6.7503599999999997</v>
          </cell>
          <cell r="U107">
            <v>7.9415999999999993</v>
          </cell>
          <cell r="V107" t="str">
            <v/>
          </cell>
        </row>
        <row r="108">
          <cell r="A108" t="str">
            <v>Future Fed</v>
          </cell>
          <cell r="C108" t="str">
            <v>com</v>
          </cell>
          <cell r="I108">
            <v>2026</v>
          </cell>
          <cell r="Q108" t="str">
            <v/>
          </cell>
          <cell r="R108" t="str">
            <v/>
          </cell>
          <cell r="S108">
            <v>109.33380000000001</v>
          </cell>
          <cell r="U108">
            <v>128.62800000000001</v>
          </cell>
          <cell r="V108" t="str">
            <v/>
          </cell>
        </row>
        <row r="109">
          <cell r="A109" t="str">
            <v>Future Fed</v>
          </cell>
          <cell r="C109" t="str">
            <v>com</v>
          </cell>
          <cell r="I109">
            <v>2027</v>
          </cell>
          <cell r="Q109">
            <v>154.14137999999997</v>
          </cell>
          <cell r="R109">
            <v>0</v>
          </cell>
          <cell r="S109">
            <v>154.14137999999997</v>
          </cell>
          <cell r="U109">
            <v>181.34279999999998</v>
          </cell>
          <cell r="V109" t="str">
            <v/>
          </cell>
        </row>
        <row r="110">
          <cell r="A110" t="str">
            <v>Future Fed</v>
          </cell>
          <cell r="C110" t="str">
            <v>com</v>
          </cell>
          <cell r="I110">
            <v>2028</v>
          </cell>
          <cell r="Q110">
            <v>7.54596</v>
          </cell>
          <cell r="R110">
            <v>0</v>
          </cell>
          <cell r="S110">
            <v>7.54596</v>
          </cell>
          <cell r="U110">
            <v>8.8775999999999993</v>
          </cell>
          <cell r="V110" t="str">
            <v/>
          </cell>
        </row>
        <row r="111">
          <cell r="A111" t="str">
            <v>Future Fed</v>
          </cell>
          <cell r="C111" t="str">
            <v>com</v>
          </cell>
          <cell r="I111">
            <v>2029</v>
          </cell>
          <cell r="Q111">
            <v>30.661199999999997</v>
          </cell>
          <cell r="R111">
            <v>0</v>
          </cell>
          <cell r="S111">
            <v>30.661199999999997</v>
          </cell>
          <cell r="U111">
            <v>36.072000000000003</v>
          </cell>
          <cell r="V111" t="str">
            <v/>
          </cell>
        </row>
        <row r="112">
          <cell r="A112" t="str">
            <v>Future Fed</v>
          </cell>
          <cell r="C112" t="str">
            <v>com</v>
          </cell>
          <cell r="I112">
            <v>2028</v>
          </cell>
          <cell r="Q112">
            <v>4.61754</v>
          </cell>
          <cell r="R112">
            <v>0</v>
          </cell>
          <cell r="S112">
            <v>4.61754</v>
          </cell>
          <cell r="U112">
            <v>5.4324000000000003</v>
          </cell>
          <cell r="V112" t="str">
            <v/>
          </cell>
        </row>
        <row r="113">
          <cell r="A113" t="str">
            <v>Future Fed</v>
          </cell>
          <cell r="C113" t="str">
            <v>com</v>
          </cell>
          <cell r="I113">
            <v>2025</v>
          </cell>
          <cell r="Q113">
            <v>17.212499999999999</v>
          </cell>
          <cell r="R113">
            <v>0</v>
          </cell>
          <cell r="S113">
            <v>17.212499999999999</v>
          </cell>
          <cell r="U113">
            <v>20.25</v>
          </cell>
          <cell r="V113" t="str">
            <v/>
          </cell>
        </row>
        <row r="114">
          <cell r="A114" t="str">
            <v>Future Fed</v>
          </cell>
          <cell r="C114" t="str">
            <v>com</v>
          </cell>
          <cell r="I114">
            <v>2028</v>
          </cell>
          <cell r="Q114" t="str">
            <v/>
          </cell>
          <cell r="R114" t="str">
            <v/>
          </cell>
          <cell r="S114">
            <v>29.210759999999997</v>
          </cell>
          <cell r="U114">
            <v>34.365600000000001</v>
          </cell>
          <cell r="V114" t="str">
            <v/>
          </cell>
        </row>
        <row r="115">
          <cell r="A115" t="str">
            <v>n/a current T20</v>
          </cell>
          <cell r="C115" t="str">
            <v>com</v>
          </cell>
          <cell r="Q115">
            <v>0</v>
          </cell>
          <cell r="R115">
            <v>0</v>
          </cell>
          <cell r="U115" t="str">
            <v/>
          </cell>
          <cell r="V115" t="str">
            <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eia.gov/consumption/commercial/reports.php" TargetMode="External"/><Relationship Id="rId2" Type="http://schemas.openxmlformats.org/officeDocument/2006/relationships/hyperlink" Target="http://www.energy.ca.gov/2010publications/CEC-200-2010-004/CEC-200-2010-004-V2.PDF" TargetMode="External"/><Relationship Id="rId1" Type="http://schemas.openxmlformats.org/officeDocument/2006/relationships/hyperlink" Target="http://www.energy.ca.gov/2010publications/CEC-200-2010-004/CEC-200-2010-004-ES.PDF" TargetMode="External"/><Relationship Id="rId4" Type="http://schemas.openxmlformats.org/officeDocument/2006/relationships/hyperlink" Target="https://appliance-standards.org/sites/default/files/Next%20Gen%20Report%20Final_1.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energystar.gov/ia/products/downloads/ES_Anniv_Book_030712_508compliant_v2.pdf?fd51-9671" TargetMode="External"/><Relationship Id="rId2" Type="http://schemas.openxmlformats.org/officeDocument/2006/relationships/hyperlink" Target="https://www.eia.gov/todayinenergy/detail.php?id=31692" TargetMode="External"/><Relationship Id="rId1" Type="http://schemas.openxmlformats.org/officeDocument/2006/relationships/hyperlink" Target="https://www.eia.gov/outlooks/aeo/pdf/0383(2017).pdf" TargetMode="External"/><Relationship Id="rId4"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www.energy.ca.gov/appliances/2013rulemaking/documents/proposals/12-AAER-2A_Consumer_Electronics/California_IOUs_Response_to_the_Invitation_for_Standards_Proposals_for_Small_Network_Equipment_2013-07-29_TN-71761.pdf" TargetMode="External"/><Relationship Id="rId7" Type="http://schemas.openxmlformats.org/officeDocument/2006/relationships/hyperlink" Target="https://www.google.com/about/datacenters/efficiency/internal/" TargetMode="External"/><Relationship Id="rId2" Type="http://schemas.openxmlformats.org/officeDocument/2006/relationships/hyperlink" Target="http://www.energy.ca.gov/appliances/2013rulemaking/documents/proposals/12-AAER-2B_Lighting/California_IOUs_Response_to_the_Invitation_for_Standards_Proposals_for_Small_Diameter_Directional_Lamps_2013-07-29_TN-71763.pdf" TargetMode="External"/><Relationship Id="rId1" Type="http://schemas.openxmlformats.org/officeDocument/2006/relationships/hyperlink" Target="https://www.forbes.com/sites/michaelkanellos/2014/07/29/why-is-power-consumption-for-gadgets-dropping-at-home/" TargetMode="External"/><Relationship Id="rId6" Type="http://schemas.openxmlformats.org/officeDocument/2006/relationships/hyperlink" Target="http://www.energy.ca.gov/appliances/2013rulemaking/documents/proposals/12-AAER-2B_Lighting/California_IOUs_Response_to_the_Invitation_for_Standards_Proposals_for_Small_Diameter_Directional_Lamps_2013-07-29_TN-71763.pdf" TargetMode="External"/><Relationship Id="rId5" Type="http://schemas.openxmlformats.org/officeDocument/2006/relationships/hyperlink" Target="http://mashable.com/2014/09/30/doe-energy-efficiency/" TargetMode="External"/><Relationship Id="rId10" Type="http://schemas.openxmlformats.org/officeDocument/2006/relationships/comments" Target="../comments2.xml"/><Relationship Id="rId4" Type="http://schemas.openxmlformats.org/officeDocument/2006/relationships/hyperlink" Target="https://www.energystar.gov/products/heating_cooling/fans_ventilating/key_product_criteria" TargetMode="External"/><Relationship Id="rId9"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hyperlink" Target="http://www.energy.ca.gov/2009publications/CEC-400-2009-024/CEC-400-2009-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4"/>
  <sheetViews>
    <sheetView windowProtection="1" zoomScale="70" zoomScaleNormal="70" workbookViewId="0">
      <selection activeCell="D31" sqref="D31"/>
    </sheetView>
  </sheetViews>
  <sheetFormatPr defaultColWidth="8.88671875" defaultRowHeight="13.8" x14ac:dyDescent="0.25"/>
  <cols>
    <col min="1" max="1" width="8.88671875" style="84"/>
    <col min="2" max="2" width="20.5546875" style="84" customWidth="1"/>
    <col min="3" max="3" width="121.21875" style="84" customWidth="1"/>
    <col min="4" max="16384" width="8.88671875" style="84"/>
  </cols>
  <sheetData>
    <row r="8" spans="2:8" ht="22.8" x14ac:dyDescent="0.4">
      <c r="B8" s="83" t="s">
        <v>722</v>
      </c>
      <c r="H8"/>
    </row>
    <row r="9" spans="2:8" ht="22.8" x14ac:dyDescent="0.4">
      <c r="B9" s="83" t="s">
        <v>723</v>
      </c>
    </row>
    <row r="10" spans="2:8" ht="22.8" x14ac:dyDescent="0.4">
      <c r="B10" s="83" t="s">
        <v>724</v>
      </c>
    </row>
    <row r="11" spans="2:8" ht="22.8" x14ac:dyDescent="0.4">
      <c r="B11" s="83"/>
    </row>
    <row r="12" spans="2:8" ht="17.399999999999999" x14ac:dyDescent="0.3">
      <c r="B12" s="85" t="s">
        <v>834</v>
      </c>
    </row>
    <row r="13" spans="2:8" x14ac:dyDescent="0.25">
      <c r="B13" s="84" t="s">
        <v>725</v>
      </c>
      <c r="C13" s="84" t="s">
        <v>835</v>
      </c>
    </row>
    <row r="14" spans="2:8" x14ac:dyDescent="0.25">
      <c r="B14" s="84" t="s">
        <v>726</v>
      </c>
      <c r="C14" s="84" t="s">
        <v>727</v>
      </c>
    </row>
    <row r="15" spans="2:8" x14ac:dyDescent="0.25">
      <c r="B15" s="84" t="s">
        <v>728</v>
      </c>
      <c r="C15" s="84" t="s">
        <v>729</v>
      </c>
    </row>
    <row r="16" spans="2:8" x14ac:dyDescent="0.25">
      <c r="B16" s="84" t="s">
        <v>730</v>
      </c>
      <c r="C16" s="86">
        <v>42978</v>
      </c>
    </row>
    <row r="27" spans="2:3" ht="27.6" customHeight="1" x14ac:dyDescent="0.25">
      <c r="B27" s="165" t="s">
        <v>731</v>
      </c>
      <c r="C27" s="166"/>
    </row>
    <row r="28" spans="2:3" x14ac:dyDescent="0.25">
      <c r="B28" s="87" t="s">
        <v>732</v>
      </c>
      <c r="C28" s="88" t="s">
        <v>733</v>
      </c>
    </row>
    <row r="29" spans="2:3" x14ac:dyDescent="0.25">
      <c r="B29" s="87" t="s">
        <v>734</v>
      </c>
      <c r="C29" s="88" t="s">
        <v>735</v>
      </c>
    </row>
    <row r="30" spans="2:3" x14ac:dyDescent="0.25">
      <c r="B30" s="87" t="s">
        <v>736</v>
      </c>
      <c r="C30" s="88" t="s">
        <v>737</v>
      </c>
    </row>
    <row r="31" spans="2:3" x14ac:dyDescent="0.25">
      <c r="B31" s="87" t="s">
        <v>738</v>
      </c>
      <c r="C31" s="88" t="s">
        <v>739</v>
      </c>
    </row>
    <row r="32" spans="2:3" x14ac:dyDescent="0.25">
      <c r="B32" s="87" t="s">
        <v>736</v>
      </c>
      <c r="C32" s="88" t="s">
        <v>740</v>
      </c>
    </row>
    <row r="33" spans="2:3" x14ac:dyDescent="0.25">
      <c r="B33" s="87" t="s">
        <v>741</v>
      </c>
      <c r="C33" s="87" t="s">
        <v>742</v>
      </c>
    </row>
    <row r="34" spans="2:3" x14ac:dyDescent="0.25">
      <c r="B34" s="87" t="s">
        <v>743</v>
      </c>
      <c r="C34" s="87" t="s">
        <v>744</v>
      </c>
    </row>
    <row r="35" spans="2:3" x14ac:dyDescent="0.25">
      <c r="B35" s="89"/>
      <c r="C35" s="90"/>
    </row>
    <row r="37" spans="2:3" ht="27.6" customHeight="1" x14ac:dyDescent="0.25">
      <c r="B37" s="165" t="s">
        <v>745</v>
      </c>
      <c r="C37" s="166" t="s">
        <v>746</v>
      </c>
    </row>
    <row r="38" spans="2:3" x14ac:dyDescent="0.25">
      <c r="B38" s="87" t="s">
        <v>422</v>
      </c>
      <c r="C38" s="88" t="s">
        <v>747</v>
      </c>
    </row>
    <row r="39" spans="2:3" x14ac:dyDescent="0.25">
      <c r="B39" s="87" t="s">
        <v>748</v>
      </c>
      <c r="C39" s="88" t="s">
        <v>749</v>
      </c>
    </row>
    <row r="40" spans="2:3" x14ac:dyDescent="0.25">
      <c r="B40" s="87" t="s">
        <v>750</v>
      </c>
      <c r="C40" s="88" t="s">
        <v>751</v>
      </c>
    </row>
    <row r="41" spans="2:3" x14ac:dyDescent="0.25">
      <c r="B41" s="87"/>
      <c r="C41" s="88"/>
    </row>
    <row r="42" spans="2:3" ht="27.6" x14ac:dyDescent="0.25">
      <c r="B42" s="87" t="s">
        <v>230</v>
      </c>
      <c r="C42" s="88" t="s">
        <v>753</v>
      </c>
    </row>
    <row r="43" spans="2:3" x14ac:dyDescent="0.25">
      <c r="B43" s="87" t="s">
        <v>754</v>
      </c>
      <c r="C43" s="88" t="s">
        <v>755</v>
      </c>
    </row>
    <row r="44" spans="2:3" x14ac:dyDescent="0.25">
      <c r="B44" s="87" t="s">
        <v>756</v>
      </c>
      <c r="C44" s="88" t="s">
        <v>757</v>
      </c>
    </row>
  </sheetData>
  <mergeCells count="2">
    <mergeCell ref="B27:C27"/>
    <mergeCell ref="B37:C3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12"/>
  <sheetViews>
    <sheetView windowProtection="1" workbookViewId="0">
      <selection activeCell="D31" sqref="D31"/>
    </sheetView>
  </sheetViews>
  <sheetFormatPr defaultRowHeight="14.4" x14ac:dyDescent="0.3"/>
  <cols>
    <col min="1" max="1" width="16.88671875" customWidth="1"/>
    <col min="2" max="2" width="15.33203125" customWidth="1"/>
    <col min="3" max="3" width="10.109375" bestFit="1" customWidth="1"/>
    <col min="5" max="5" width="12.44140625" customWidth="1"/>
  </cols>
  <sheetData>
    <row r="1" spans="1:5" x14ac:dyDescent="0.3">
      <c r="A1" t="s">
        <v>679</v>
      </c>
      <c r="B1" s="56">
        <v>42614</v>
      </c>
      <c r="C1" t="s">
        <v>680</v>
      </c>
    </row>
    <row r="2" spans="1:5" ht="15" thickBot="1" x14ac:dyDescent="0.35"/>
    <row r="3" spans="1:5" ht="40.200000000000003" thickBot="1" x14ac:dyDescent="0.35">
      <c r="B3" s="57" t="s">
        <v>681</v>
      </c>
      <c r="C3" s="58" t="s">
        <v>682</v>
      </c>
      <c r="D3" s="58" t="s">
        <v>683</v>
      </c>
      <c r="E3" s="58" t="s">
        <v>684</v>
      </c>
    </row>
    <row r="4" spans="1:5" ht="27" thickBot="1" x14ac:dyDescent="0.35">
      <c r="A4" s="59">
        <v>1</v>
      </c>
      <c r="B4" s="60" t="s">
        <v>685</v>
      </c>
      <c r="C4" s="61">
        <v>42130000</v>
      </c>
      <c r="D4" s="62">
        <v>0.39600000000000002</v>
      </c>
      <c r="E4" s="63">
        <v>0.52</v>
      </c>
    </row>
    <row r="5" spans="1:5" ht="15" thickBot="1" x14ac:dyDescent="0.35">
      <c r="A5" s="64">
        <v>2</v>
      </c>
      <c r="B5" s="65" t="s">
        <v>686</v>
      </c>
      <c r="C5" s="66">
        <v>22640000</v>
      </c>
      <c r="D5" s="67">
        <v>0.214</v>
      </c>
      <c r="E5" s="68">
        <v>0.17</v>
      </c>
    </row>
    <row r="6" spans="1:5" ht="15" thickBot="1" x14ac:dyDescent="0.35">
      <c r="A6" s="59">
        <v>3</v>
      </c>
      <c r="B6" s="60" t="s">
        <v>687</v>
      </c>
      <c r="C6" s="61">
        <v>13980000</v>
      </c>
      <c r="D6" s="62">
        <v>0.13200000000000001</v>
      </c>
      <c r="E6" s="63">
        <v>0.1</v>
      </c>
    </row>
    <row r="7" spans="1:5" ht="15" thickBot="1" x14ac:dyDescent="0.35">
      <c r="A7" s="64">
        <v>4</v>
      </c>
      <c r="B7" s="65" t="s">
        <v>688</v>
      </c>
      <c r="C7" s="66">
        <v>6880000</v>
      </c>
      <c r="D7" s="67">
        <v>6.5000000000000002E-2</v>
      </c>
      <c r="E7" s="68">
        <v>0.06</v>
      </c>
    </row>
    <row r="8" spans="1:5" ht="15" thickBot="1" x14ac:dyDescent="0.35">
      <c r="A8" s="59">
        <v>5</v>
      </c>
      <c r="B8" s="60" t="s">
        <v>689</v>
      </c>
      <c r="C8" s="61">
        <v>5360000</v>
      </c>
      <c r="D8" s="62">
        <v>5.0999999999999997E-2</v>
      </c>
      <c r="E8" s="63">
        <v>0.03</v>
      </c>
    </row>
    <row r="9" spans="1:5" ht="15" thickBot="1" x14ac:dyDescent="0.35">
      <c r="A9" s="64">
        <v>6</v>
      </c>
      <c r="B9" s="65" t="s">
        <v>690</v>
      </c>
      <c r="C9" s="66">
        <v>4820000</v>
      </c>
      <c r="D9" s="67">
        <v>4.2000000000000003E-2</v>
      </c>
      <c r="E9" s="69">
        <v>2.3E-2</v>
      </c>
    </row>
    <row r="10" spans="1:5" x14ac:dyDescent="0.3">
      <c r="A10" s="70">
        <v>7</v>
      </c>
      <c r="B10" s="71" t="s">
        <v>691</v>
      </c>
      <c r="C10" s="72">
        <v>10320000</v>
      </c>
      <c r="D10" s="73">
        <v>0.10100000000000001</v>
      </c>
      <c r="E10" s="74">
        <v>9.7000000000000003E-2</v>
      </c>
    </row>
    <row r="11" spans="1:5" x14ac:dyDescent="0.3">
      <c r="A11" t="s">
        <v>601</v>
      </c>
      <c r="E11" s="19">
        <f>SUMPRODUCT(C4:C10,E4:E10)</f>
        <v>28839900</v>
      </c>
    </row>
    <row r="12" spans="1:5" x14ac:dyDescent="0.3">
      <c r="A12" t="s">
        <v>692</v>
      </c>
      <c r="E12" s="75">
        <f>E11*0.12</f>
        <v>3460788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3:E15"/>
  <sheetViews>
    <sheetView windowProtection="1" workbookViewId="0">
      <selection activeCell="D31" sqref="D31"/>
    </sheetView>
  </sheetViews>
  <sheetFormatPr defaultRowHeight="14.4" x14ac:dyDescent="0.3"/>
  <cols>
    <col min="2" max="2" width="13.6640625" customWidth="1"/>
    <col min="3" max="3" width="26.88671875" customWidth="1"/>
    <col min="4" max="4" width="19.5546875" customWidth="1"/>
  </cols>
  <sheetData>
    <row r="3" spans="2:5" ht="15" thickBot="1" x14ac:dyDescent="0.35">
      <c r="B3" t="s">
        <v>693</v>
      </c>
    </row>
    <row r="4" spans="2:5" x14ac:dyDescent="0.3">
      <c r="B4" s="76" t="s">
        <v>694</v>
      </c>
      <c r="C4" s="187" t="s">
        <v>695</v>
      </c>
      <c r="D4" s="187" t="s">
        <v>696</v>
      </c>
      <c r="E4" t="s">
        <v>697</v>
      </c>
    </row>
    <row r="5" spans="2:5" ht="15" thickBot="1" x14ac:dyDescent="0.35">
      <c r="B5" s="77" t="s">
        <v>698</v>
      </c>
      <c r="C5" s="188"/>
      <c r="D5" s="188"/>
    </row>
    <row r="6" spans="2:5" ht="27.6" x14ac:dyDescent="0.3">
      <c r="B6" s="189" t="s">
        <v>699</v>
      </c>
      <c r="C6" s="78" t="s">
        <v>700</v>
      </c>
      <c r="D6" s="189">
        <v>21.4</v>
      </c>
    </row>
    <row r="7" spans="2:5" ht="15" thickBot="1" x14ac:dyDescent="0.35">
      <c r="B7" s="190"/>
      <c r="C7" s="79" t="s">
        <v>701</v>
      </c>
      <c r="D7" s="190"/>
    </row>
    <row r="8" spans="2:5" ht="27.6" x14ac:dyDescent="0.3">
      <c r="B8" s="189" t="s">
        <v>702</v>
      </c>
      <c r="C8" s="78" t="s">
        <v>703</v>
      </c>
      <c r="D8" s="189">
        <v>16.52</v>
      </c>
    </row>
    <row r="9" spans="2:5" ht="15" thickBot="1" x14ac:dyDescent="0.35">
      <c r="B9" s="190"/>
      <c r="C9" s="79" t="s">
        <v>704</v>
      </c>
      <c r="D9" s="190"/>
    </row>
    <row r="10" spans="2:5" ht="27.6" x14ac:dyDescent="0.3">
      <c r="B10" s="189" t="s">
        <v>705</v>
      </c>
      <c r="C10" s="78" t="s">
        <v>706</v>
      </c>
      <c r="D10" s="189">
        <v>11.87</v>
      </c>
    </row>
    <row r="11" spans="2:5" ht="15" thickBot="1" x14ac:dyDescent="0.35">
      <c r="B11" s="190"/>
      <c r="C11" s="79" t="s">
        <v>707</v>
      </c>
      <c r="D11" s="190"/>
    </row>
    <row r="12" spans="2:5" x14ac:dyDescent="0.3">
      <c r="B12" s="189" t="s">
        <v>708</v>
      </c>
      <c r="C12" s="78" t="s">
        <v>709</v>
      </c>
      <c r="D12" s="189">
        <v>22.16</v>
      </c>
    </row>
    <row r="13" spans="2:5" ht="15" thickBot="1" x14ac:dyDescent="0.35">
      <c r="B13" s="190"/>
      <c r="C13" s="79" t="s">
        <v>710</v>
      </c>
      <c r="D13" s="190"/>
    </row>
    <row r="14" spans="2:5" ht="27.6" x14ac:dyDescent="0.3">
      <c r="B14" s="189" t="s">
        <v>711</v>
      </c>
      <c r="C14" s="78" t="s">
        <v>712</v>
      </c>
      <c r="D14" s="189">
        <v>13.01</v>
      </c>
    </row>
    <row r="15" spans="2:5" ht="15" thickBot="1" x14ac:dyDescent="0.35">
      <c r="B15" s="190"/>
      <c r="C15" s="79" t="s">
        <v>713</v>
      </c>
      <c r="D15" s="190"/>
    </row>
  </sheetData>
  <mergeCells count="12">
    <mergeCell ref="B10:B11"/>
    <mergeCell ref="D10:D11"/>
    <mergeCell ref="B12:B13"/>
    <mergeCell ref="D12:D13"/>
    <mergeCell ref="B14:B15"/>
    <mergeCell ref="D14:D15"/>
    <mergeCell ref="C4:C5"/>
    <mergeCell ref="D4:D5"/>
    <mergeCell ref="B6:B7"/>
    <mergeCell ref="D6:D7"/>
    <mergeCell ref="B8:B9"/>
    <mergeCell ref="D8:D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3:E39"/>
  <sheetViews>
    <sheetView windowProtection="1" zoomScaleNormal="100" workbookViewId="0">
      <selection activeCell="D31" sqref="D31"/>
    </sheetView>
  </sheetViews>
  <sheetFormatPr defaultRowHeight="14.4" x14ac:dyDescent="0.3"/>
  <cols>
    <col min="1" max="1" width="13.6640625" bestFit="1" customWidth="1"/>
    <col min="2" max="2" width="31" customWidth="1"/>
    <col min="3" max="5" width="32.5546875" customWidth="1"/>
  </cols>
  <sheetData>
    <row r="3" spans="1:5" x14ac:dyDescent="0.3">
      <c r="B3">
        <f>COUNTA(B5:B39)</f>
        <v>35</v>
      </c>
    </row>
    <row r="4" spans="1:5" x14ac:dyDescent="0.3">
      <c r="C4" s="27" t="s">
        <v>179</v>
      </c>
      <c r="D4" s="27" t="s">
        <v>180</v>
      </c>
      <c r="E4" s="27" t="s">
        <v>181</v>
      </c>
    </row>
    <row r="5" spans="1:5" ht="27.6" x14ac:dyDescent="0.3">
      <c r="A5" t="str">
        <f>LEFT(C5,9)</f>
        <v>2005 T-20</v>
      </c>
      <c r="B5" s="29" t="str">
        <f>RIGHT(C5,LEN(C5)-11)</f>
        <v>Commercial Ice Maker Equipment</v>
      </c>
      <c r="C5" s="28" t="s">
        <v>182</v>
      </c>
      <c r="D5" s="28" t="s">
        <v>183</v>
      </c>
      <c r="E5" s="28" t="s">
        <v>184</v>
      </c>
    </row>
    <row r="6" spans="1:5" ht="28.8" x14ac:dyDescent="0.3">
      <c r="A6" t="str">
        <f t="shared" ref="A6:A31" si="0">LEFT(C6,9)</f>
        <v>2005 T-20</v>
      </c>
      <c r="B6" s="29" t="str">
        <f t="shared" ref="B6:B31" si="1">RIGHT(C6,LEN(C6)-11)</f>
        <v>Commercial Dishwasher Pre-Rinse Spray Valves</v>
      </c>
      <c r="C6" s="28" t="s">
        <v>185</v>
      </c>
      <c r="D6" s="28" t="s">
        <v>186</v>
      </c>
      <c r="E6" s="28" t="s">
        <v>184</v>
      </c>
    </row>
    <row r="7" spans="1:5" x14ac:dyDescent="0.3">
      <c r="A7" t="str">
        <f t="shared" si="0"/>
        <v>2005 T-20</v>
      </c>
      <c r="B7" s="29" t="str">
        <f t="shared" si="1"/>
        <v>Consumer Electronics - TVs</v>
      </c>
      <c r="C7" s="28" t="s">
        <v>187</v>
      </c>
      <c r="D7" s="28" t="s">
        <v>188</v>
      </c>
      <c r="E7" s="28" t="s">
        <v>189</v>
      </c>
    </row>
    <row r="8" spans="1:5" ht="28.8" x14ac:dyDescent="0.3">
      <c r="A8" t="str">
        <f t="shared" si="0"/>
        <v>2005 T-20</v>
      </c>
      <c r="B8" s="29" t="str">
        <f t="shared" si="1"/>
        <v>Commercial Refrigeration Equipment, Solid Door</v>
      </c>
      <c r="C8" s="28" t="s">
        <v>190</v>
      </c>
      <c r="D8" s="28" t="s">
        <v>191</v>
      </c>
      <c r="E8" s="28" t="s">
        <v>189</v>
      </c>
    </row>
    <row r="9" spans="1:5" ht="28.8" x14ac:dyDescent="0.3">
      <c r="A9" t="str">
        <f t="shared" si="0"/>
        <v>2005 T-20</v>
      </c>
      <c r="B9" s="29" t="str">
        <f t="shared" si="1"/>
        <v>Commercial Refrigeration Equipment, Transparent Door</v>
      </c>
      <c r="C9" s="28" t="s">
        <v>192</v>
      </c>
      <c r="D9" s="28" t="s">
        <v>191</v>
      </c>
      <c r="E9" s="28" t="s">
        <v>189</v>
      </c>
    </row>
    <row r="10" spans="1:5" ht="27.6" x14ac:dyDescent="0.3">
      <c r="A10" t="str">
        <f t="shared" si="0"/>
        <v>2005 T-20</v>
      </c>
      <c r="B10" s="29" t="str">
        <f t="shared" si="1"/>
        <v>Commercial Ice Maker Equipment</v>
      </c>
      <c r="C10" s="28" t="s">
        <v>182</v>
      </c>
      <c r="D10" s="28" t="s">
        <v>191</v>
      </c>
      <c r="E10" s="28" t="s">
        <v>189</v>
      </c>
    </row>
    <row r="11" spans="1:5" ht="28.8" x14ac:dyDescent="0.3">
      <c r="A11" t="str">
        <f t="shared" si="0"/>
        <v>2005 T-20</v>
      </c>
      <c r="B11" s="29" t="str">
        <f t="shared" si="1"/>
        <v>Refrigerated Beverage Vending Machines</v>
      </c>
      <c r="C11" s="28" t="s">
        <v>193</v>
      </c>
      <c r="D11" s="28" t="s">
        <v>194</v>
      </c>
      <c r="E11" s="28" t="s">
        <v>189</v>
      </c>
    </row>
    <row r="12" spans="1:5" ht="28.8" x14ac:dyDescent="0.3">
      <c r="A12" t="str">
        <f t="shared" si="0"/>
        <v>2006 T-20</v>
      </c>
      <c r="B12" s="29" t="str">
        <f t="shared" si="1"/>
        <v>BR, ER and R20 Incandescent Reflector Lamps: Residential</v>
      </c>
      <c r="C12" s="28" t="s">
        <v>195</v>
      </c>
      <c r="D12" s="28" t="s">
        <v>196</v>
      </c>
      <c r="E12" s="28" t="s">
        <v>189</v>
      </c>
    </row>
    <row r="13" spans="1:5" ht="28.8" x14ac:dyDescent="0.3">
      <c r="A13" t="str">
        <f t="shared" si="0"/>
        <v>2006 T-20</v>
      </c>
      <c r="B13" s="29" t="str">
        <f t="shared" si="1"/>
        <v>BR, ER and R20 Incandescent Reflector Lamps: Commercial</v>
      </c>
      <c r="C13" s="28" t="s">
        <v>197</v>
      </c>
      <c r="D13" s="28" t="s">
        <v>196</v>
      </c>
      <c r="E13" s="28" t="s">
        <v>189</v>
      </c>
    </row>
    <row r="14" spans="1:5" ht="28.8" x14ac:dyDescent="0.3">
      <c r="A14" t="str">
        <f t="shared" si="0"/>
        <v>2006 T-20</v>
      </c>
      <c r="B14" s="29" t="str">
        <f t="shared" si="1"/>
        <v>General Service Incandescent Lamps, Tier 2 #1</v>
      </c>
      <c r="C14" s="28" t="s">
        <v>198</v>
      </c>
      <c r="D14" s="28" t="s">
        <v>199</v>
      </c>
      <c r="E14" s="28" t="s">
        <v>189</v>
      </c>
    </row>
    <row r="15" spans="1:5" ht="28.8" x14ac:dyDescent="0.3">
      <c r="A15" t="str">
        <f t="shared" si="0"/>
        <v>2006 T-20</v>
      </c>
      <c r="B15" s="29" t="str">
        <f t="shared" si="1"/>
        <v>General Service Incandescent Lamps, Tier 2 #2</v>
      </c>
      <c r="C15" s="28" t="s">
        <v>200</v>
      </c>
      <c r="D15" s="28" t="s">
        <v>201</v>
      </c>
      <c r="E15" s="28" t="s">
        <v>189</v>
      </c>
    </row>
    <row r="16" spans="1:5" ht="28.8" x14ac:dyDescent="0.3">
      <c r="A16" t="str">
        <f t="shared" si="0"/>
        <v>2006 T-20</v>
      </c>
      <c r="B16" s="29" t="str">
        <f t="shared" si="1"/>
        <v>General Service Incandescent Lamps, Tier 2 #3</v>
      </c>
      <c r="C16" s="28" t="s">
        <v>202</v>
      </c>
      <c r="D16" s="28" t="s">
        <v>203</v>
      </c>
      <c r="E16" s="28" t="s">
        <v>189</v>
      </c>
    </row>
    <row r="17" spans="1:5" ht="28.8" x14ac:dyDescent="0.3">
      <c r="A17" t="str">
        <f t="shared" si="0"/>
        <v>2006 T-20</v>
      </c>
      <c r="B17" s="29" t="str">
        <f t="shared" si="1"/>
        <v>General Service Incandescent Lamps, Tier 2 #1</v>
      </c>
      <c r="C17" s="28" t="s">
        <v>198</v>
      </c>
      <c r="D17" s="28" t="s">
        <v>204</v>
      </c>
      <c r="E17" s="28" t="s">
        <v>189</v>
      </c>
    </row>
    <row r="18" spans="1:5" ht="28.8" x14ac:dyDescent="0.3">
      <c r="A18" t="str">
        <f t="shared" si="0"/>
        <v>2006 T-20</v>
      </c>
      <c r="B18" s="29" t="str">
        <f t="shared" si="1"/>
        <v>General Service Incandescent Lamps, Tier 2 #2</v>
      </c>
      <c r="C18" s="28" t="s">
        <v>200</v>
      </c>
      <c r="D18" s="28" t="s">
        <v>204</v>
      </c>
      <c r="E18" s="28" t="s">
        <v>189</v>
      </c>
    </row>
    <row r="19" spans="1:5" ht="28.8" x14ac:dyDescent="0.3">
      <c r="A19" t="str">
        <f t="shared" si="0"/>
        <v>2006 T-20</v>
      </c>
      <c r="B19" s="29" t="str">
        <f t="shared" si="1"/>
        <v>General Service Incandescent Lamps, Tier 2 #3</v>
      </c>
      <c r="C19" s="28" t="s">
        <v>202</v>
      </c>
      <c r="D19" s="28" t="s">
        <v>204</v>
      </c>
      <c r="E19" s="28" t="s">
        <v>189</v>
      </c>
    </row>
    <row r="20" spans="1:5" ht="27.6" x14ac:dyDescent="0.3">
      <c r="A20" t="str">
        <f t="shared" si="0"/>
        <v>2008 T-20</v>
      </c>
      <c r="B20" s="29" t="str">
        <f t="shared" si="1"/>
        <v>General Purpose Lighting -- 100 watt</v>
      </c>
      <c r="C20" s="28" t="s">
        <v>199</v>
      </c>
      <c r="D20" s="28" t="s">
        <v>204</v>
      </c>
      <c r="E20" s="28" t="s">
        <v>189</v>
      </c>
    </row>
    <row r="21" spans="1:5" ht="27.6" x14ac:dyDescent="0.3">
      <c r="A21" t="str">
        <f t="shared" si="0"/>
        <v>2008 T-20</v>
      </c>
      <c r="B21" s="29" t="str">
        <f t="shared" si="1"/>
        <v>General Purpose Lighting -- 75 watt</v>
      </c>
      <c r="C21" s="28" t="s">
        <v>201</v>
      </c>
      <c r="D21" s="28" t="s">
        <v>204</v>
      </c>
      <c r="E21" s="28" t="s">
        <v>189</v>
      </c>
    </row>
    <row r="22" spans="1:5" ht="28.8" x14ac:dyDescent="0.3">
      <c r="A22" t="str">
        <f t="shared" si="0"/>
        <v>2008 T-20</v>
      </c>
      <c r="B22" s="29" t="str">
        <f t="shared" si="1"/>
        <v>General Purpose Lighting -- 60 and 40 watt</v>
      </c>
      <c r="C22" s="28" t="s">
        <v>203</v>
      </c>
      <c r="D22" s="28" t="s">
        <v>204</v>
      </c>
      <c r="E22" s="28" t="s">
        <v>189</v>
      </c>
    </row>
    <row r="23" spans="1:5" ht="27.6" x14ac:dyDescent="0.3">
      <c r="A23" t="str">
        <f t="shared" si="0"/>
        <v>2008 T-20</v>
      </c>
      <c r="B23" s="29" t="str">
        <f t="shared" si="1"/>
        <v>General Purpose Lighting -- 100 watt</v>
      </c>
      <c r="C23" s="28" t="s">
        <v>199</v>
      </c>
      <c r="D23" s="28" t="s">
        <v>205</v>
      </c>
      <c r="E23" s="28" t="s">
        <v>184</v>
      </c>
    </row>
    <row r="24" spans="1:5" ht="27.6" x14ac:dyDescent="0.3">
      <c r="A24" t="str">
        <f t="shared" si="0"/>
        <v>2008 T-20</v>
      </c>
      <c r="B24" s="29" t="str">
        <f t="shared" si="1"/>
        <v>General Purpose Lighting -- 75 watt</v>
      </c>
      <c r="C24" s="28" t="s">
        <v>201</v>
      </c>
      <c r="D24" s="28" t="s">
        <v>205</v>
      </c>
      <c r="E24" s="28" t="s">
        <v>184</v>
      </c>
    </row>
    <row r="25" spans="1:5" ht="28.8" x14ac:dyDescent="0.3">
      <c r="A25" t="str">
        <f t="shared" si="0"/>
        <v>2008 T-20</v>
      </c>
      <c r="B25" s="29" t="str">
        <f t="shared" si="1"/>
        <v>General Purpose Lighting -- 60 and 40 watt</v>
      </c>
      <c r="C25" s="28" t="s">
        <v>203</v>
      </c>
      <c r="D25" s="28" t="s">
        <v>205</v>
      </c>
      <c r="E25" s="28" t="s">
        <v>184</v>
      </c>
    </row>
    <row r="26" spans="1:5" ht="43.2" x14ac:dyDescent="0.3">
      <c r="A26" t="str">
        <f t="shared" si="0"/>
        <v>2011 T-20</v>
      </c>
      <c r="B26" s="29" t="str">
        <f t="shared" si="1"/>
        <v>Small Battery Chargers – Tier 1 (consumer with no USB charger or USB charger &lt;20 watt-hours)</v>
      </c>
      <c r="C26" s="28" t="s">
        <v>206</v>
      </c>
      <c r="D26" s="28" t="s">
        <v>207</v>
      </c>
      <c r="E26" s="28" t="s">
        <v>184</v>
      </c>
    </row>
    <row r="27" spans="1:5" ht="43.2" x14ac:dyDescent="0.3">
      <c r="A27" t="str">
        <f t="shared" si="0"/>
        <v>2011 T-20</v>
      </c>
      <c r="B27" s="29" t="str">
        <f t="shared" si="1"/>
        <v>Small Battery Chargers – Tier 2 (consumer with USB charger ≥20 watt-hours)</v>
      </c>
      <c r="C27" s="28" t="s">
        <v>208</v>
      </c>
      <c r="D27" s="28" t="s">
        <v>207</v>
      </c>
      <c r="E27" s="28" t="s">
        <v>184</v>
      </c>
    </row>
    <row r="28" spans="1:5" ht="28.8" x14ac:dyDescent="0.3">
      <c r="A28" t="str">
        <f t="shared" si="0"/>
        <v>2011 T-20</v>
      </c>
      <c r="B28" s="29" t="str">
        <f t="shared" si="1"/>
        <v>Small Battery Chargers – Tier 3 (non-consumer)</v>
      </c>
      <c r="C28" s="28" t="s">
        <v>209</v>
      </c>
      <c r="D28" s="28" t="s">
        <v>207</v>
      </c>
      <c r="E28" s="28" t="s">
        <v>184</v>
      </c>
    </row>
    <row r="29" spans="1:5" ht="28.8" x14ac:dyDescent="0.3">
      <c r="A29" t="str">
        <f t="shared" si="0"/>
        <v>2011 T-20</v>
      </c>
      <c r="B29" s="29" t="str">
        <f t="shared" si="1"/>
        <v>Large Battery Chargers (≥2kW rated input)</v>
      </c>
      <c r="C29" s="28" t="s">
        <v>210</v>
      </c>
      <c r="D29" s="28" t="s">
        <v>207</v>
      </c>
      <c r="E29" s="28" t="s">
        <v>184</v>
      </c>
    </row>
    <row r="30" spans="1:5" ht="43.2" x14ac:dyDescent="0.3">
      <c r="A30" t="str">
        <f t="shared" si="0"/>
        <v>2015 T-20</v>
      </c>
      <c r="B30" s="29" t="str">
        <f t="shared" si="1"/>
        <v>Residential Faucets &amp; Aerators - Lavatory w/ Natural Gas Water Heating  - Tier 1  (2.2 –1.5 gpm)</v>
      </c>
      <c r="C30" s="28" t="s">
        <v>211</v>
      </c>
      <c r="D30" s="28" t="s">
        <v>212</v>
      </c>
      <c r="E30" s="28" t="s">
        <v>184</v>
      </c>
    </row>
    <row r="31" spans="1:5" ht="43.2" x14ac:dyDescent="0.3">
      <c r="A31" t="str">
        <f t="shared" si="0"/>
        <v>2015 T-20</v>
      </c>
      <c r="B31" s="29" t="str">
        <f t="shared" si="1"/>
        <v>Residential Faucets &amp; Aerators - Lavatory w/ Electric Water Heating   - Tier 1  (2.2 –1.5 gpm)</v>
      </c>
      <c r="C31" s="28" t="s">
        <v>213</v>
      </c>
      <c r="D31" s="28" t="s">
        <v>214</v>
      </c>
      <c r="E31" s="28" t="s">
        <v>184</v>
      </c>
    </row>
    <row r="32" spans="1:5" x14ac:dyDescent="0.3">
      <c r="A32" t="str">
        <f>LEFT(C32,13)</f>
        <v>Fed Appliance</v>
      </c>
      <c r="B32" s="29" t="str">
        <f>RIGHT(C32,LEN(C32)-15)</f>
        <v>Electric Motors 1-200HP</v>
      </c>
      <c r="C32" s="28" t="s">
        <v>215</v>
      </c>
      <c r="D32" s="28" t="s">
        <v>216</v>
      </c>
      <c r="E32" s="28" t="s">
        <v>184</v>
      </c>
    </row>
    <row r="33" spans="1:5" ht="28.8" x14ac:dyDescent="0.3">
      <c r="A33" t="str">
        <f t="shared" ref="A33:A39" si="2">LEFT(C33,13)</f>
        <v>Fed Appliance</v>
      </c>
      <c r="B33" s="29" t="str">
        <f t="shared" ref="B33:B39" si="3">RIGHT(C33,LEN(C33)-15)</f>
        <v>Refrigerated Beverage Vending Machines</v>
      </c>
      <c r="C33" s="28" t="s">
        <v>194</v>
      </c>
      <c r="D33" s="28" t="s">
        <v>217</v>
      </c>
      <c r="E33" s="28" t="s">
        <v>184</v>
      </c>
    </row>
    <row r="34" spans="1:5" ht="27.6" x14ac:dyDescent="0.3">
      <c r="A34" t="str">
        <f t="shared" si="2"/>
        <v>Fed Appliance</v>
      </c>
      <c r="B34" s="29" t="str">
        <f t="shared" si="3"/>
        <v>Commercial Refrigeration</v>
      </c>
      <c r="C34" s="28" t="s">
        <v>191</v>
      </c>
      <c r="D34" s="28" t="s">
        <v>218</v>
      </c>
      <c r="E34" s="28" t="s">
        <v>184</v>
      </c>
    </row>
    <row r="35" spans="1:5" ht="28.8" x14ac:dyDescent="0.3">
      <c r="A35" t="str">
        <f t="shared" si="2"/>
        <v>Fed Appliance</v>
      </c>
      <c r="B35" s="29" t="str">
        <f t="shared" si="3"/>
        <v>General Service Fluorescent Lamps #1</v>
      </c>
      <c r="C35" s="28" t="s">
        <v>219</v>
      </c>
      <c r="D35" s="28" t="s">
        <v>220</v>
      </c>
      <c r="E35" s="28" t="s">
        <v>184</v>
      </c>
    </row>
    <row r="36" spans="1:5" ht="27.6" x14ac:dyDescent="0.3">
      <c r="A36" t="str">
        <f t="shared" si="2"/>
        <v>Fed Appliance</v>
      </c>
      <c r="B36" s="29" t="str">
        <f t="shared" si="3"/>
        <v>Commercial Clothes Washers #1</v>
      </c>
      <c r="C36" s="28" t="s">
        <v>221</v>
      </c>
      <c r="D36" s="28" t="s">
        <v>222</v>
      </c>
      <c r="E36" s="28" t="s">
        <v>184</v>
      </c>
    </row>
    <row r="37" spans="1:5" ht="28.8" x14ac:dyDescent="0.3">
      <c r="A37" t="str">
        <f t="shared" si="2"/>
        <v>Fed Appliance</v>
      </c>
      <c r="B37" s="29" t="str">
        <f t="shared" si="3"/>
        <v>Small Commercial Package Air-Conditioners ≥65 and &lt;135 kBtu/h</v>
      </c>
      <c r="C37" s="28" t="s">
        <v>223</v>
      </c>
      <c r="D37" s="28" t="s">
        <v>224</v>
      </c>
      <c r="E37" s="28" t="s">
        <v>184</v>
      </c>
    </row>
    <row r="38" spans="1:5" ht="43.2" x14ac:dyDescent="0.3">
      <c r="A38" t="str">
        <f t="shared" si="2"/>
        <v>Fed Appliance</v>
      </c>
      <c r="B38" s="29" t="str">
        <f t="shared" si="3"/>
        <v>Large and Very Large Commercial Package Air-Conditioners ≥135 kBtu/h</v>
      </c>
      <c r="C38" s="28" t="s">
        <v>225</v>
      </c>
      <c r="D38" s="28" t="s">
        <v>224</v>
      </c>
      <c r="E38" s="28" t="s">
        <v>184</v>
      </c>
    </row>
    <row r="39" spans="1:5" ht="28.8" x14ac:dyDescent="0.3">
      <c r="A39" t="str">
        <f t="shared" si="2"/>
        <v>Fed Appliance</v>
      </c>
      <c r="B39" s="29" t="str">
        <f t="shared" si="3"/>
        <v xml:space="preserve">Residential Clothes Washers (Top Loading) Tier I </v>
      </c>
      <c r="C39" s="28" t="s">
        <v>226</v>
      </c>
      <c r="D39" s="28" t="s">
        <v>227</v>
      </c>
      <c r="E39" s="28" t="s">
        <v>184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54"/>
  <sheetViews>
    <sheetView windowProtection="1" topLeftCell="A16" workbookViewId="0">
      <selection activeCell="D31" sqref="D31"/>
    </sheetView>
  </sheetViews>
  <sheetFormatPr defaultRowHeight="14.4" x14ac:dyDescent="0.3"/>
  <cols>
    <col min="1" max="1" width="45.33203125" customWidth="1"/>
    <col min="11" max="11" width="53.109375" customWidth="1"/>
  </cols>
  <sheetData>
    <row r="1" spans="1:14" x14ac:dyDescent="0.3">
      <c r="A1" s="21" t="s">
        <v>316</v>
      </c>
    </row>
    <row r="2" spans="1:14" x14ac:dyDescent="0.3">
      <c r="A2" s="21" t="s">
        <v>317</v>
      </c>
    </row>
    <row r="4" spans="1:14" x14ac:dyDescent="0.3">
      <c r="A4" t="s">
        <v>310</v>
      </c>
      <c r="B4" s="21" t="s">
        <v>375</v>
      </c>
    </row>
    <row r="5" spans="1:14" x14ac:dyDescent="0.3">
      <c r="A5" t="s">
        <v>311</v>
      </c>
      <c r="B5" t="s">
        <v>312</v>
      </c>
    </row>
    <row r="6" spans="1:14" x14ac:dyDescent="0.3">
      <c r="A6" t="s">
        <v>313</v>
      </c>
      <c r="B6" s="21" t="s">
        <v>419</v>
      </c>
    </row>
    <row r="7" spans="1:14" x14ac:dyDescent="0.3">
      <c r="A7" t="s">
        <v>314</v>
      </c>
      <c r="B7" t="s">
        <v>315</v>
      </c>
    </row>
    <row r="10" spans="1:14" x14ac:dyDescent="0.3">
      <c r="A10" t="s">
        <v>318</v>
      </c>
      <c r="B10" s="35">
        <v>1</v>
      </c>
      <c r="C10">
        <v>6296</v>
      </c>
      <c r="D10" t="s">
        <v>158</v>
      </c>
      <c r="K10" t="s">
        <v>357</v>
      </c>
      <c r="L10" s="35">
        <v>1</v>
      </c>
      <c r="M10">
        <v>354</v>
      </c>
      <c r="N10" t="s">
        <v>356</v>
      </c>
    </row>
    <row r="12" spans="1:14" x14ac:dyDescent="0.3">
      <c r="A12" s="34" t="s">
        <v>161</v>
      </c>
      <c r="B12" s="36">
        <v>0.22</v>
      </c>
      <c r="C12" s="37">
        <f>$C$10*B12</f>
        <v>1385.1200000000001</v>
      </c>
      <c r="D12" s="34" t="s">
        <v>158</v>
      </c>
      <c r="K12" t="s">
        <v>164</v>
      </c>
      <c r="L12" s="35">
        <v>0.49</v>
      </c>
    </row>
    <row r="13" spans="1:14" x14ac:dyDescent="0.3">
      <c r="A13" s="34" t="s">
        <v>319</v>
      </c>
      <c r="B13" s="36">
        <v>0.2</v>
      </c>
      <c r="C13" s="37">
        <f t="shared" ref="C13:C21" si="0">$C$10*B13</f>
        <v>1259.2</v>
      </c>
      <c r="D13" s="34" t="s">
        <v>158</v>
      </c>
      <c r="K13" t="s">
        <v>165</v>
      </c>
      <c r="L13" s="35">
        <v>0.37</v>
      </c>
    </row>
    <row r="14" spans="1:14" x14ac:dyDescent="0.3">
      <c r="A14" s="34" t="s">
        <v>163</v>
      </c>
      <c r="B14" s="36">
        <v>0.2</v>
      </c>
      <c r="C14" s="37">
        <f t="shared" si="0"/>
        <v>1259.2</v>
      </c>
      <c r="D14" s="34" t="s">
        <v>158</v>
      </c>
      <c r="K14" t="s">
        <v>358</v>
      </c>
      <c r="L14" s="35">
        <v>7.0000000000000007E-2</v>
      </c>
    </row>
    <row r="15" spans="1:14" x14ac:dyDescent="0.3">
      <c r="A15" s="34" t="s">
        <v>320</v>
      </c>
      <c r="B15" s="36">
        <v>7.0000000000000007E-2</v>
      </c>
      <c r="C15" s="37">
        <f t="shared" si="0"/>
        <v>440.72</v>
      </c>
      <c r="D15" s="34" t="s">
        <v>158</v>
      </c>
      <c r="K15" t="s">
        <v>359</v>
      </c>
      <c r="L15" s="35">
        <v>0.04</v>
      </c>
    </row>
    <row r="16" spans="1:14" x14ac:dyDescent="0.3">
      <c r="A16" s="34" t="s">
        <v>168</v>
      </c>
      <c r="B16" s="36">
        <v>7.0000000000000007E-2</v>
      </c>
      <c r="C16" s="37">
        <f t="shared" si="0"/>
        <v>440.72</v>
      </c>
      <c r="D16" s="34" t="s">
        <v>158</v>
      </c>
      <c r="K16" t="s">
        <v>360</v>
      </c>
      <c r="L16" s="35">
        <v>0.03</v>
      </c>
    </row>
    <row r="17" spans="1:19" x14ac:dyDescent="0.3">
      <c r="A17" t="s">
        <v>321</v>
      </c>
      <c r="B17" s="35">
        <v>0.04</v>
      </c>
      <c r="C17" s="13">
        <f t="shared" si="0"/>
        <v>251.84</v>
      </c>
      <c r="D17" t="s">
        <v>158</v>
      </c>
    </row>
    <row r="18" spans="1:19" x14ac:dyDescent="0.3">
      <c r="A18" t="s">
        <v>166</v>
      </c>
      <c r="B18" s="35">
        <v>0.04</v>
      </c>
      <c r="C18" s="13">
        <f t="shared" si="0"/>
        <v>251.84</v>
      </c>
      <c r="D18" t="s">
        <v>158</v>
      </c>
    </row>
    <row r="19" spans="1:19" x14ac:dyDescent="0.3">
      <c r="A19" t="s">
        <v>322</v>
      </c>
      <c r="B19" s="35">
        <v>0.02</v>
      </c>
      <c r="C19" s="13">
        <f t="shared" si="0"/>
        <v>125.92</v>
      </c>
      <c r="D19" t="s">
        <v>158</v>
      </c>
    </row>
    <row r="20" spans="1:19" x14ac:dyDescent="0.3">
      <c r="A20" t="s">
        <v>323</v>
      </c>
      <c r="B20" s="35">
        <v>0.03</v>
      </c>
      <c r="C20" s="13">
        <f t="shared" si="0"/>
        <v>188.88</v>
      </c>
      <c r="D20" t="s">
        <v>158</v>
      </c>
    </row>
    <row r="21" spans="1:19" x14ac:dyDescent="0.3">
      <c r="A21" s="34" t="s">
        <v>324</v>
      </c>
      <c r="B21" s="36">
        <v>0.11</v>
      </c>
      <c r="C21" s="37">
        <f t="shared" si="0"/>
        <v>692.56000000000006</v>
      </c>
      <c r="D21" s="34" t="s">
        <v>158</v>
      </c>
    </row>
    <row r="22" spans="1:19" x14ac:dyDescent="0.3">
      <c r="B22" t="s">
        <v>354</v>
      </c>
      <c r="C22" s="13"/>
    </row>
    <row r="23" spans="1:19" x14ac:dyDescent="0.3">
      <c r="B23" t="s">
        <v>348</v>
      </c>
      <c r="D23" t="s">
        <v>349</v>
      </c>
      <c r="F23" t="s">
        <v>350</v>
      </c>
      <c r="H23" t="s">
        <v>351</v>
      </c>
      <c r="L23" t="s">
        <v>348</v>
      </c>
      <c r="N23" t="s">
        <v>349</v>
      </c>
      <c r="P23" t="s">
        <v>350</v>
      </c>
      <c r="R23" t="s">
        <v>351</v>
      </c>
    </row>
    <row r="24" spans="1:19" x14ac:dyDescent="0.3">
      <c r="B24" t="s">
        <v>352</v>
      </c>
      <c r="C24" s="18" t="s">
        <v>353</v>
      </c>
      <c r="D24" t="s">
        <v>352</v>
      </c>
      <c r="E24" t="s">
        <v>353</v>
      </c>
      <c r="F24" t="s">
        <v>352</v>
      </c>
      <c r="G24" t="s">
        <v>353</v>
      </c>
      <c r="H24" t="s">
        <v>352</v>
      </c>
      <c r="I24" t="s">
        <v>353</v>
      </c>
      <c r="L24" t="s">
        <v>352</v>
      </c>
      <c r="M24" s="18" t="s">
        <v>364</v>
      </c>
      <c r="N24" t="s">
        <v>352</v>
      </c>
      <c r="O24" s="18" t="s">
        <v>364</v>
      </c>
      <c r="P24" t="s">
        <v>352</v>
      </c>
      <c r="Q24" s="18" t="s">
        <v>364</v>
      </c>
      <c r="R24" t="s">
        <v>352</v>
      </c>
      <c r="S24" s="18" t="s">
        <v>364</v>
      </c>
    </row>
    <row r="25" spans="1:19" x14ac:dyDescent="0.3">
      <c r="A25" t="s">
        <v>325</v>
      </c>
      <c r="B25">
        <v>6458</v>
      </c>
      <c r="C25" s="18"/>
      <c r="D25">
        <v>5970</v>
      </c>
      <c r="E25" s="18"/>
      <c r="F25">
        <v>6444</v>
      </c>
      <c r="G25" s="18"/>
      <c r="H25">
        <v>5538</v>
      </c>
      <c r="I25" s="18"/>
      <c r="K25" t="s">
        <v>325</v>
      </c>
      <c r="L25">
        <v>354</v>
      </c>
      <c r="M25" s="18"/>
      <c r="N25">
        <v>405</v>
      </c>
      <c r="O25" s="18"/>
      <c r="P25">
        <v>298</v>
      </c>
      <c r="Q25" s="18"/>
      <c r="R25">
        <v>328</v>
      </c>
      <c r="S25" s="18"/>
    </row>
    <row r="26" spans="1:19" x14ac:dyDescent="0.3">
      <c r="A26" s="40" t="s">
        <v>326</v>
      </c>
      <c r="B26">
        <v>1032</v>
      </c>
      <c r="C26" s="18">
        <v>0.05</v>
      </c>
      <c r="D26">
        <v>353</v>
      </c>
      <c r="E26" s="18">
        <v>0.03</v>
      </c>
      <c r="F26">
        <v>371</v>
      </c>
      <c r="G26" s="18">
        <v>0.03</v>
      </c>
      <c r="H26">
        <v>169</v>
      </c>
      <c r="I26" s="18">
        <v>0.02</v>
      </c>
      <c r="K26" s="40" t="s">
        <v>165</v>
      </c>
      <c r="L26">
        <v>144</v>
      </c>
      <c r="M26" s="38">
        <v>0.93</v>
      </c>
      <c r="N26">
        <v>213</v>
      </c>
      <c r="O26" s="38">
        <v>0.95</v>
      </c>
      <c r="P26">
        <v>100</v>
      </c>
      <c r="Q26" s="38">
        <v>0.93</v>
      </c>
      <c r="R26">
        <v>102</v>
      </c>
      <c r="S26" s="38">
        <v>0.91</v>
      </c>
    </row>
    <row r="27" spans="1:19" x14ac:dyDescent="0.3">
      <c r="A27" s="40" t="s">
        <v>327</v>
      </c>
      <c r="B27">
        <v>818</v>
      </c>
      <c r="C27" s="18">
        <v>0.01</v>
      </c>
      <c r="D27">
        <v>483</v>
      </c>
      <c r="E27" s="18">
        <v>0.02</v>
      </c>
      <c r="F27">
        <v>508</v>
      </c>
      <c r="G27" s="18">
        <v>0.01</v>
      </c>
      <c r="H27">
        <v>228</v>
      </c>
      <c r="I27" s="18">
        <v>0</v>
      </c>
      <c r="K27" s="40" t="s">
        <v>282</v>
      </c>
      <c r="L27">
        <v>193</v>
      </c>
      <c r="M27" s="38">
        <v>0.87</v>
      </c>
      <c r="N27">
        <v>188</v>
      </c>
      <c r="O27" s="38">
        <v>0.88</v>
      </c>
      <c r="P27">
        <v>175</v>
      </c>
      <c r="Q27" s="38">
        <v>0.88</v>
      </c>
      <c r="R27">
        <v>200</v>
      </c>
      <c r="S27" s="38">
        <v>0.86</v>
      </c>
    </row>
    <row r="28" spans="1:19" x14ac:dyDescent="0.3">
      <c r="A28" t="s">
        <v>328</v>
      </c>
      <c r="B28">
        <v>267</v>
      </c>
      <c r="C28" s="18">
        <v>0.02</v>
      </c>
      <c r="D28">
        <v>98</v>
      </c>
      <c r="E28" s="18">
        <v>0.01</v>
      </c>
      <c r="F28">
        <v>141</v>
      </c>
      <c r="G28" s="18">
        <v>0.01</v>
      </c>
      <c r="H28">
        <v>66</v>
      </c>
      <c r="I28" s="18">
        <v>0</v>
      </c>
      <c r="K28" t="s">
        <v>360</v>
      </c>
      <c r="L28">
        <v>25</v>
      </c>
      <c r="M28" s="18">
        <v>0.46</v>
      </c>
      <c r="N28">
        <v>22</v>
      </c>
      <c r="O28" s="18">
        <v>0.31</v>
      </c>
      <c r="P28">
        <v>25</v>
      </c>
      <c r="Q28" s="18">
        <v>0.52</v>
      </c>
      <c r="R28">
        <v>27</v>
      </c>
      <c r="S28" s="18">
        <v>0.55000000000000004</v>
      </c>
    </row>
    <row r="29" spans="1:19" x14ac:dyDescent="0.3">
      <c r="A29" t="s">
        <v>366</v>
      </c>
      <c r="B29">
        <v>245</v>
      </c>
      <c r="C29" s="38">
        <v>0.65</v>
      </c>
      <c r="D29">
        <v>133</v>
      </c>
      <c r="E29" s="38">
        <v>0.62</v>
      </c>
      <c r="F29">
        <v>143</v>
      </c>
      <c r="G29" s="38">
        <v>0.66</v>
      </c>
      <c r="H29">
        <v>99</v>
      </c>
      <c r="I29" s="38">
        <v>0.48</v>
      </c>
      <c r="K29" t="s">
        <v>361</v>
      </c>
      <c r="L29">
        <v>34</v>
      </c>
      <c r="M29" s="38">
        <v>0.73</v>
      </c>
      <c r="N29">
        <v>31</v>
      </c>
      <c r="O29" s="38">
        <v>0.57999999999999996</v>
      </c>
      <c r="P29">
        <v>32</v>
      </c>
      <c r="Q29" s="38">
        <v>0.74</v>
      </c>
      <c r="R29">
        <v>36</v>
      </c>
      <c r="S29" s="38">
        <v>0.83</v>
      </c>
    </row>
    <row r="30" spans="1:19" x14ac:dyDescent="0.3">
      <c r="A30" t="s">
        <v>329</v>
      </c>
      <c r="B30">
        <v>104</v>
      </c>
      <c r="C30" s="18">
        <v>0.15</v>
      </c>
      <c r="D30">
        <v>118</v>
      </c>
      <c r="E30" s="18">
        <v>0.13</v>
      </c>
      <c r="F30">
        <v>156</v>
      </c>
      <c r="G30" s="18">
        <v>0.15</v>
      </c>
      <c r="H30">
        <v>139</v>
      </c>
      <c r="I30" s="18">
        <v>0.1</v>
      </c>
      <c r="K30" s="40" t="s">
        <v>362</v>
      </c>
      <c r="L30">
        <v>208</v>
      </c>
      <c r="M30" s="18">
        <v>0.05</v>
      </c>
      <c r="N30">
        <v>183</v>
      </c>
      <c r="O30" s="18">
        <v>0.03</v>
      </c>
      <c r="P30">
        <v>179</v>
      </c>
      <c r="Q30" s="18">
        <v>0.04</v>
      </c>
      <c r="R30">
        <v>222</v>
      </c>
      <c r="S30" s="18">
        <v>0.06</v>
      </c>
    </row>
    <row r="31" spans="1:19" x14ac:dyDescent="0.3">
      <c r="A31" t="s">
        <v>260</v>
      </c>
      <c r="B31">
        <v>709</v>
      </c>
      <c r="C31" s="18">
        <v>0.44</v>
      </c>
      <c r="D31">
        <v>493</v>
      </c>
      <c r="E31" s="18">
        <v>0.43</v>
      </c>
      <c r="F31">
        <v>883</v>
      </c>
      <c r="G31" s="18">
        <v>0.57999999999999996</v>
      </c>
      <c r="H31">
        <v>699</v>
      </c>
      <c r="I31" s="18">
        <v>0.41</v>
      </c>
      <c r="K31" t="s">
        <v>363</v>
      </c>
      <c r="L31">
        <v>52</v>
      </c>
      <c r="M31" s="18">
        <v>0.06</v>
      </c>
      <c r="N31">
        <v>52</v>
      </c>
      <c r="O31" s="18">
        <v>0.04</v>
      </c>
      <c r="P31">
        <v>53</v>
      </c>
      <c r="Q31" s="18">
        <v>7.0000000000000007E-2</v>
      </c>
      <c r="R31">
        <v>52</v>
      </c>
      <c r="S31" s="18">
        <v>7.0000000000000007E-2</v>
      </c>
    </row>
    <row r="32" spans="1:19" x14ac:dyDescent="0.3">
      <c r="A32" t="s">
        <v>262</v>
      </c>
      <c r="B32">
        <v>221</v>
      </c>
      <c r="C32" s="18">
        <v>0.11</v>
      </c>
      <c r="D32">
        <v>107</v>
      </c>
      <c r="E32" s="18">
        <v>0.13</v>
      </c>
      <c r="F32">
        <v>238</v>
      </c>
      <c r="G32" s="18">
        <v>0.18</v>
      </c>
      <c r="H32">
        <v>152</v>
      </c>
      <c r="I32" s="18">
        <v>0.24</v>
      </c>
      <c r="K32" t="s">
        <v>324</v>
      </c>
      <c r="L32">
        <v>24</v>
      </c>
      <c r="M32" s="18">
        <v>0.12</v>
      </c>
      <c r="N32">
        <v>23</v>
      </c>
      <c r="O32" s="18">
        <v>0.08</v>
      </c>
      <c r="P32">
        <v>21</v>
      </c>
      <c r="Q32" s="18">
        <v>0.16</v>
      </c>
      <c r="R32">
        <v>25</v>
      </c>
      <c r="S32" s="18">
        <v>0.13</v>
      </c>
    </row>
    <row r="33" spans="1:9" x14ac:dyDescent="0.3">
      <c r="A33" t="s">
        <v>330</v>
      </c>
      <c r="B33">
        <v>458</v>
      </c>
      <c r="C33" s="18">
        <v>0.06</v>
      </c>
      <c r="D33">
        <v>494</v>
      </c>
      <c r="E33" s="18">
        <v>0.02</v>
      </c>
      <c r="F33">
        <v>716</v>
      </c>
      <c r="G33" s="18">
        <v>7.0000000000000007E-2</v>
      </c>
      <c r="H33">
        <v>345</v>
      </c>
      <c r="I33" s="18">
        <v>0.03</v>
      </c>
    </row>
    <row r="34" spans="1:9" x14ac:dyDescent="0.3">
      <c r="A34" s="40" t="s">
        <v>323</v>
      </c>
      <c r="B34">
        <v>2680</v>
      </c>
      <c r="C34" s="18">
        <v>0.09</v>
      </c>
      <c r="D34">
        <v>2149</v>
      </c>
      <c r="E34" s="18">
        <v>7.0000000000000007E-2</v>
      </c>
      <c r="F34">
        <v>2143</v>
      </c>
      <c r="G34" s="18">
        <v>0.05</v>
      </c>
      <c r="H34">
        <v>1737</v>
      </c>
      <c r="I34" s="18">
        <v>0.05</v>
      </c>
    </row>
    <row r="35" spans="1:9" x14ac:dyDescent="0.3">
      <c r="A35" s="40" t="s">
        <v>331</v>
      </c>
      <c r="B35">
        <v>1897</v>
      </c>
      <c r="C35" s="18">
        <v>0</v>
      </c>
      <c r="D35">
        <v>2231</v>
      </c>
      <c r="E35" s="18">
        <v>0</v>
      </c>
      <c r="F35">
        <v>1838</v>
      </c>
      <c r="G35" s="18">
        <v>0</v>
      </c>
      <c r="I35" s="18">
        <v>0</v>
      </c>
    </row>
    <row r="36" spans="1:9" x14ac:dyDescent="0.3">
      <c r="A36" t="s">
        <v>332</v>
      </c>
      <c r="B36">
        <v>648</v>
      </c>
      <c r="C36" s="18">
        <v>0.46</v>
      </c>
      <c r="D36">
        <v>587</v>
      </c>
      <c r="E36" s="18">
        <v>0.28000000000000003</v>
      </c>
      <c r="F36">
        <v>693</v>
      </c>
      <c r="G36" s="18">
        <v>0.19</v>
      </c>
      <c r="H36">
        <v>639</v>
      </c>
      <c r="I36" s="18">
        <v>0.15</v>
      </c>
    </row>
    <row r="37" spans="1:9" x14ac:dyDescent="0.3">
      <c r="A37" t="s">
        <v>333</v>
      </c>
      <c r="B37">
        <v>88</v>
      </c>
      <c r="C37" s="38">
        <v>0.83</v>
      </c>
      <c r="D37">
        <v>110</v>
      </c>
      <c r="E37" s="38">
        <v>0.78</v>
      </c>
      <c r="F37">
        <v>119</v>
      </c>
      <c r="G37" s="38">
        <v>0.82</v>
      </c>
      <c r="H37">
        <v>107</v>
      </c>
      <c r="I37" s="38">
        <v>0.59</v>
      </c>
    </row>
    <row r="38" spans="1:9" x14ac:dyDescent="0.3">
      <c r="A38" t="s">
        <v>334</v>
      </c>
      <c r="B38">
        <v>71</v>
      </c>
      <c r="C38" s="38">
        <v>0.73</v>
      </c>
      <c r="D38">
        <v>76</v>
      </c>
      <c r="E38" s="38">
        <v>0.71</v>
      </c>
      <c r="F38">
        <v>77</v>
      </c>
      <c r="G38" s="38">
        <v>0.68</v>
      </c>
      <c r="H38">
        <v>73</v>
      </c>
      <c r="I38" s="38">
        <v>0.49</v>
      </c>
    </row>
    <row r="39" spans="1:9" x14ac:dyDescent="0.3">
      <c r="A39" s="40" t="s">
        <v>335</v>
      </c>
      <c r="B39">
        <v>774</v>
      </c>
      <c r="C39" s="38">
        <v>1</v>
      </c>
      <c r="D39">
        <v>725</v>
      </c>
      <c r="E39" s="38">
        <v>1</v>
      </c>
      <c r="F39">
        <v>784</v>
      </c>
      <c r="G39" s="38">
        <v>1</v>
      </c>
      <c r="H39">
        <v>766</v>
      </c>
      <c r="I39" s="38">
        <v>1</v>
      </c>
    </row>
    <row r="40" spans="1:9" x14ac:dyDescent="0.3">
      <c r="A40" t="s">
        <v>336</v>
      </c>
      <c r="B40">
        <v>1226</v>
      </c>
      <c r="C40" s="18">
        <v>0.25</v>
      </c>
      <c r="D40">
        <v>1188</v>
      </c>
      <c r="E40" s="18">
        <v>0.2</v>
      </c>
      <c r="F40">
        <v>1174</v>
      </c>
      <c r="G40" s="18">
        <v>0.26</v>
      </c>
      <c r="H40">
        <v>1344</v>
      </c>
      <c r="I40" s="18">
        <v>0.18</v>
      </c>
    </row>
    <row r="41" spans="1:9" x14ac:dyDescent="0.3">
      <c r="A41" s="40" t="s">
        <v>337</v>
      </c>
      <c r="B41">
        <v>959</v>
      </c>
      <c r="C41" s="18">
        <v>0.22</v>
      </c>
      <c r="D41">
        <v>898</v>
      </c>
      <c r="E41" s="18">
        <v>0.15</v>
      </c>
      <c r="F41">
        <v>914</v>
      </c>
      <c r="G41" s="18">
        <v>0.16</v>
      </c>
      <c r="H41">
        <v>964</v>
      </c>
      <c r="I41" s="18">
        <v>0.12</v>
      </c>
    </row>
    <row r="42" spans="1:9" x14ac:dyDescent="0.3">
      <c r="A42" s="40" t="s">
        <v>338</v>
      </c>
      <c r="B42">
        <v>3250</v>
      </c>
      <c r="C42" s="18">
        <v>0.09</v>
      </c>
      <c r="D42">
        <v>3794</v>
      </c>
      <c r="E42" s="18">
        <v>0.12</v>
      </c>
      <c r="F42">
        <v>3442</v>
      </c>
      <c r="G42" s="18">
        <v>0.11</v>
      </c>
      <c r="H42">
        <v>4360</v>
      </c>
      <c r="I42" s="18">
        <v>0.08</v>
      </c>
    </row>
    <row r="43" spans="1:9" x14ac:dyDescent="0.3">
      <c r="A43" t="s">
        <v>339</v>
      </c>
      <c r="B43">
        <v>274</v>
      </c>
      <c r="C43" s="18">
        <v>0.08</v>
      </c>
      <c r="D43">
        <v>283</v>
      </c>
      <c r="E43" s="18">
        <v>0.13</v>
      </c>
      <c r="F43">
        <v>294</v>
      </c>
      <c r="G43" s="18">
        <v>0.1</v>
      </c>
      <c r="H43">
        <v>381</v>
      </c>
      <c r="I43" s="18">
        <v>0.04</v>
      </c>
    </row>
    <row r="44" spans="1:9" x14ac:dyDescent="0.3">
      <c r="A44" t="s">
        <v>340</v>
      </c>
      <c r="B44">
        <v>319</v>
      </c>
      <c r="C44" s="38">
        <v>0.67</v>
      </c>
      <c r="D44">
        <v>345</v>
      </c>
      <c r="E44" s="38">
        <v>0.67</v>
      </c>
      <c r="F44">
        <v>348</v>
      </c>
      <c r="G44" s="38">
        <v>0.66</v>
      </c>
      <c r="H44">
        <v>423</v>
      </c>
      <c r="I44" s="38">
        <v>0.5</v>
      </c>
    </row>
    <row r="45" spans="1:9" x14ac:dyDescent="0.3">
      <c r="A45" t="s">
        <v>341</v>
      </c>
      <c r="B45">
        <v>251</v>
      </c>
      <c r="C45" s="38">
        <v>0.57999999999999996</v>
      </c>
      <c r="D45">
        <v>271</v>
      </c>
      <c r="E45" s="39">
        <v>0.51</v>
      </c>
      <c r="F45" s="23">
        <v>282</v>
      </c>
      <c r="G45" s="39">
        <v>0.32</v>
      </c>
      <c r="H45">
        <v>255</v>
      </c>
      <c r="I45" s="18">
        <v>0.27</v>
      </c>
    </row>
    <row r="46" spans="1:9" x14ac:dyDescent="0.3">
      <c r="A46" s="40" t="s">
        <v>342</v>
      </c>
      <c r="B46">
        <v>672</v>
      </c>
      <c r="C46" s="38">
        <v>1</v>
      </c>
      <c r="D46">
        <v>620</v>
      </c>
      <c r="E46" s="38">
        <v>1</v>
      </c>
      <c r="F46">
        <v>735</v>
      </c>
      <c r="G46" s="38">
        <v>1</v>
      </c>
      <c r="H46">
        <v>696</v>
      </c>
      <c r="I46" s="38">
        <v>1</v>
      </c>
    </row>
    <row r="47" spans="1:9" x14ac:dyDescent="0.3">
      <c r="A47" s="22" t="s">
        <v>343</v>
      </c>
      <c r="B47">
        <v>1056</v>
      </c>
      <c r="C47" s="18">
        <v>0.06</v>
      </c>
      <c r="D47">
        <v>956</v>
      </c>
      <c r="E47" s="18">
        <v>0.06</v>
      </c>
      <c r="F47">
        <v>951</v>
      </c>
      <c r="G47" s="18">
        <v>0.04</v>
      </c>
      <c r="H47">
        <v>1003</v>
      </c>
      <c r="I47" s="18">
        <v>0.01</v>
      </c>
    </row>
    <row r="48" spans="1:9" x14ac:dyDescent="0.3">
      <c r="A48" s="40" t="s">
        <v>344</v>
      </c>
      <c r="B48">
        <v>119</v>
      </c>
      <c r="C48" s="38">
        <v>0.93</v>
      </c>
      <c r="D48">
        <v>117</v>
      </c>
      <c r="E48" s="38">
        <v>0.94</v>
      </c>
      <c r="F48">
        <v>128</v>
      </c>
      <c r="G48" s="38">
        <v>0.93</v>
      </c>
      <c r="H48">
        <v>123</v>
      </c>
      <c r="I48" s="38">
        <v>0.88</v>
      </c>
    </row>
    <row r="49" spans="1:9" x14ac:dyDescent="0.3">
      <c r="A49" t="s">
        <v>345</v>
      </c>
      <c r="B49">
        <v>82</v>
      </c>
      <c r="C49" s="18">
        <v>0.19</v>
      </c>
      <c r="D49">
        <v>83</v>
      </c>
      <c r="E49" s="18">
        <v>0.25</v>
      </c>
      <c r="F49">
        <v>80</v>
      </c>
      <c r="G49" s="18">
        <v>0.21</v>
      </c>
      <c r="H49">
        <v>85</v>
      </c>
      <c r="I49" s="18">
        <v>0.2</v>
      </c>
    </row>
    <row r="50" spans="1:9" x14ac:dyDescent="0.3">
      <c r="A50" s="40" t="s">
        <v>346</v>
      </c>
      <c r="B50">
        <v>593</v>
      </c>
      <c r="C50" s="38">
        <v>0.86</v>
      </c>
      <c r="D50">
        <v>638</v>
      </c>
      <c r="E50" s="38">
        <v>0.87</v>
      </c>
      <c r="F50">
        <v>618</v>
      </c>
      <c r="G50" s="38">
        <v>0.85</v>
      </c>
      <c r="H50">
        <v>625</v>
      </c>
      <c r="I50" s="38">
        <v>0.8</v>
      </c>
    </row>
    <row r="51" spans="1:9" x14ac:dyDescent="0.3">
      <c r="A51" t="s">
        <v>347</v>
      </c>
      <c r="B51">
        <v>547</v>
      </c>
      <c r="C51" s="18">
        <v>0.08</v>
      </c>
      <c r="D51">
        <v>513</v>
      </c>
      <c r="E51" s="18">
        <v>0.01</v>
      </c>
      <c r="F51">
        <v>594</v>
      </c>
      <c r="G51" s="18">
        <v>0.02</v>
      </c>
      <c r="H51">
        <v>428</v>
      </c>
      <c r="I51" s="18">
        <v>0.01</v>
      </c>
    </row>
    <row r="52" spans="1:9" x14ac:dyDescent="0.3">
      <c r="A52" s="40" t="s">
        <v>170</v>
      </c>
      <c r="B52">
        <v>1798</v>
      </c>
      <c r="C52" s="18"/>
      <c r="D52">
        <v>1835</v>
      </c>
      <c r="E52" s="18"/>
      <c r="F52">
        <v>1909</v>
      </c>
      <c r="H52">
        <v>1740</v>
      </c>
    </row>
    <row r="54" spans="1:9" x14ac:dyDescent="0.3">
      <c r="A54" t="s">
        <v>355</v>
      </c>
      <c r="B54">
        <v>1584</v>
      </c>
      <c r="D54">
        <v>1637</v>
      </c>
      <c r="F54">
        <v>1618</v>
      </c>
      <c r="H54">
        <v>1384</v>
      </c>
    </row>
  </sheetData>
  <conditionalFormatting sqref="B26:B52">
    <cfRule type="colorScale" priority="8">
      <colorScale>
        <cfvo type="min"/>
        <cfvo type="max"/>
        <color rgb="FFFCFCFF"/>
        <color rgb="FFF8696B"/>
      </colorScale>
    </cfRule>
  </conditionalFormatting>
  <conditionalFormatting sqref="D26:D52">
    <cfRule type="colorScale" priority="7">
      <colorScale>
        <cfvo type="min"/>
        <cfvo type="max"/>
        <color rgb="FFFCFCFF"/>
        <color rgb="FFF8696B"/>
      </colorScale>
    </cfRule>
  </conditionalFormatting>
  <conditionalFormatting sqref="F26:F52">
    <cfRule type="colorScale" priority="6">
      <colorScale>
        <cfvo type="min"/>
        <cfvo type="max"/>
        <color rgb="FFFCFCFF"/>
        <color rgb="FFF8696B"/>
      </colorScale>
    </cfRule>
  </conditionalFormatting>
  <conditionalFormatting sqref="H26:H52">
    <cfRule type="colorScale" priority="5">
      <colorScale>
        <cfvo type="min"/>
        <cfvo type="max"/>
        <color rgb="FFFCFCFF"/>
        <color rgb="FFF8696B"/>
      </colorScale>
    </cfRule>
  </conditionalFormatting>
  <conditionalFormatting sqref="L26:L32">
    <cfRule type="colorScale" priority="4">
      <colorScale>
        <cfvo type="min"/>
        <cfvo type="max"/>
        <color rgb="FFFCFCFF"/>
        <color rgb="FFF8696B"/>
      </colorScale>
    </cfRule>
  </conditionalFormatting>
  <conditionalFormatting sqref="N26:N32">
    <cfRule type="colorScale" priority="3">
      <colorScale>
        <cfvo type="min"/>
        <cfvo type="max"/>
        <color rgb="FFFCFCFF"/>
        <color rgb="FFF8696B"/>
      </colorScale>
    </cfRule>
  </conditionalFormatting>
  <conditionalFormatting sqref="P26:P32">
    <cfRule type="colorScale" priority="2">
      <colorScale>
        <cfvo type="min"/>
        <cfvo type="max"/>
        <color rgb="FFFCFCFF"/>
        <color rgb="FFF8696B"/>
      </colorScale>
    </cfRule>
  </conditionalFormatting>
  <conditionalFormatting sqref="R26:R32">
    <cfRule type="colorScale" priority="1">
      <colorScale>
        <cfvo type="min"/>
        <cfvo type="max"/>
        <color rgb="FFFCFCFF"/>
        <color rgb="FFF8696B"/>
      </colorScale>
    </cfRule>
  </conditionalFormatting>
  <hyperlinks>
    <hyperlink ref="A1" r:id="rId1"/>
    <hyperlink ref="A2" r:id="rId2"/>
    <hyperlink ref="B4" r:id="rId3"/>
    <hyperlink ref="B6" r:id="rId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36"/>
  <sheetViews>
    <sheetView windowProtection="1" workbookViewId="0">
      <selection activeCell="D31" sqref="D31"/>
    </sheetView>
  </sheetViews>
  <sheetFormatPr defaultRowHeight="14.4" x14ac:dyDescent="0.3"/>
  <cols>
    <col min="1" max="1" width="10.88671875" customWidth="1"/>
    <col min="2" max="2" width="26" bestFit="1" customWidth="1"/>
    <col min="11" max="11" width="11.88671875" bestFit="1" customWidth="1"/>
  </cols>
  <sheetData>
    <row r="1" spans="1:10" x14ac:dyDescent="0.3">
      <c r="A1" t="s">
        <v>376</v>
      </c>
    </row>
    <row r="4" spans="1:10" x14ac:dyDescent="0.3">
      <c r="A4" t="s">
        <v>377</v>
      </c>
      <c r="B4" t="s">
        <v>378</v>
      </c>
      <c r="H4" t="s">
        <v>389</v>
      </c>
      <c r="I4" t="s">
        <v>390</v>
      </c>
    </row>
    <row r="6" spans="1:10" x14ac:dyDescent="0.3">
      <c r="B6" t="s">
        <v>379</v>
      </c>
      <c r="C6" s="42">
        <v>0.28699999999999998</v>
      </c>
      <c r="I6" t="s">
        <v>164</v>
      </c>
      <c r="J6">
        <v>31.8</v>
      </c>
    </row>
    <row r="7" spans="1:10" x14ac:dyDescent="0.3">
      <c r="B7" t="s">
        <v>380</v>
      </c>
      <c r="C7" s="42">
        <v>5.8000000000000003E-2</v>
      </c>
      <c r="I7" t="s">
        <v>358</v>
      </c>
      <c r="J7">
        <v>22.6</v>
      </c>
    </row>
    <row r="8" spans="1:10" x14ac:dyDescent="0.3">
      <c r="B8" t="s">
        <v>381</v>
      </c>
      <c r="C8" s="42">
        <v>7.0999999999999994E-2</v>
      </c>
      <c r="I8" t="s">
        <v>170</v>
      </c>
      <c r="J8">
        <v>1.8</v>
      </c>
    </row>
    <row r="9" spans="1:10" x14ac:dyDescent="0.3">
      <c r="B9" t="s">
        <v>170</v>
      </c>
      <c r="C9" s="42">
        <v>5.8000000000000003E-2</v>
      </c>
      <c r="I9" t="s">
        <v>382</v>
      </c>
      <c r="J9">
        <v>5.9</v>
      </c>
    </row>
    <row r="10" spans="1:10" x14ac:dyDescent="0.3">
      <c r="B10" t="s">
        <v>382</v>
      </c>
      <c r="C10" s="42">
        <v>3.0000000000000001E-3</v>
      </c>
      <c r="I10" t="s">
        <v>385</v>
      </c>
      <c r="J10">
        <v>36.4</v>
      </c>
    </row>
    <row r="11" spans="1:10" x14ac:dyDescent="0.3">
      <c r="B11" t="s">
        <v>383</v>
      </c>
      <c r="C11" s="42">
        <v>4.2000000000000003E-2</v>
      </c>
      <c r="I11" t="s">
        <v>386</v>
      </c>
      <c r="J11">
        <v>1.5</v>
      </c>
    </row>
    <row r="12" spans="1:10" x14ac:dyDescent="0.3">
      <c r="B12" t="s">
        <v>384</v>
      </c>
      <c r="C12" s="42">
        <v>0.01</v>
      </c>
    </row>
    <row r="13" spans="1:10" x14ac:dyDescent="0.3">
      <c r="B13" t="s">
        <v>385</v>
      </c>
      <c r="C13" s="42">
        <v>1.6E-2</v>
      </c>
    </row>
    <row r="14" spans="1:10" x14ac:dyDescent="0.3">
      <c r="B14" t="s">
        <v>386</v>
      </c>
      <c r="C14" s="42">
        <v>0.14899999999999999</v>
      </c>
    </row>
    <row r="15" spans="1:10" x14ac:dyDescent="0.3">
      <c r="B15" t="s">
        <v>387</v>
      </c>
      <c r="C15" s="42">
        <v>0.11899999999999999</v>
      </c>
    </row>
    <row r="16" spans="1:10" x14ac:dyDescent="0.3">
      <c r="B16" t="s">
        <v>388</v>
      </c>
      <c r="C16" s="42">
        <v>0.13400000000000001</v>
      </c>
    </row>
    <row r="17" spans="1:16" x14ac:dyDescent="0.3">
      <c r="B17" t="s">
        <v>164</v>
      </c>
      <c r="C17" s="42">
        <v>8.9999999999999993E-3</v>
      </c>
    </row>
    <row r="18" spans="1:16" x14ac:dyDescent="0.3">
      <c r="B18" t="s">
        <v>358</v>
      </c>
      <c r="C18" s="42">
        <v>4.2000000000000003E-2</v>
      </c>
    </row>
    <row r="19" spans="1:16" x14ac:dyDescent="0.3">
      <c r="C19" s="42"/>
    </row>
    <row r="20" spans="1:16" x14ac:dyDescent="0.3">
      <c r="A20" t="s">
        <v>391</v>
      </c>
    </row>
    <row r="21" spans="1:16" x14ac:dyDescent="0.3">
      <c r="B21" t="s">
        <v>392</v>
      </c>
      <c r="C21" t="s">
        <v>407</v>
      </c>
      <c r="D21" s="34" t="s">
        <v>408</v>
      </c>
      <c r="E21" s="34" t="s">
        <v>409</v>
      </c>
      <c r="F21" s="34" t="s">
        <v>410</v>
      </c>
      <c r="G21" t="s">
        <v>411</v>
      </c>
      <c r="H21" t="s">
        <v>412</v>
      </c>
      <c r="I21" s="34" t="s">
        <v>413</v>
      </c>
      <c r="J21" t="s">
        <v>414</v>
      </c>
      <c r="K21" s="34" t="s">
        <v>415</v>
      </c>
      <c r="L21" t="s">
        <v>170</v>
      </c>
      <c r="M21" t="s">
        <v>416</v>
      </c>
      <c r="N21" t="s">
        <v>383</v>
      </c>
      <c r="O21" t="s">
        <v>417</v>
      </c>
      <c r="P21" t="s">
        <v>418</v>
      </c>
    </row>
    <row r="22" spans="1:16" x14ac:dyDescent="0.3">
      <c r="B22" t="s">
        <v>393</v>
      </c>
      <c r="C22">
        <v>1087</v>
      </c>
      <c r="D22">
        <v>10017</v>
      </c>
      <c r="E22">
        <v>8000</v>
      </c>
      <c r="F22">
        <v>9014</v>
      </c>
      <c r="G22">
        <v>611</v>
      </c>
      <c r="H22">
        <v>2805</v>
      </c>
      <c r="I22">
        <v>19265</v>
      </c>
      <c r="J22">
        <v>3916</v>
      </c>
      <c r="K22">
        <v>4782</v>
      </c>
      <c r="L22">
        <v>3924</v>
      </c>
      <c r="M22">
        <v>204</v>
      </c>
      <c r="N22">
        <v>2811</v>
      </c>
      <c r="O22">
        <v>642</v>
      </c>
      <c r="P22">
        <f>SUM(C22:O22)</f>
        <v>67078</v>
      </c>
    </row>
    <row r="23" spans="1:16" x14ac:dyDescent="0.3">
      <c r="B23" t="s">
        <v>394</v>
      </c>
      <c r="C23">
        <v>72</v>
      </c>
      <c r="D23">
        <v>943</v>
      </c>
      <c r="E23">
        <v>467</v>
      </c>
      <c r="F23">
        <v>208</v>
      </c>
      <c r="G23">
        <v>90</v>
      </c>
      <c r="H23">
        <v>35</v>
      </c>
      <c r="I23">
        <v>1386</v>
      </c>
      <c r="J23">
        <v>343</v>
      </c>
      <c r="K23">
        <v>793</v>
      </c>
      <c r="L23">
        <v>283</v>
      </c>
      <c r="M23">
        <v>1</v>
      </c>
      <c r="N23">
        <v>79</v>
      </c>
      <c r="O23">
        <v>36</v>
      </c>
      <c r="P23">
        <f>SUM(C23:O23)</f>
        <v>4736</v>
      </c>
    </row>
    <row r="24" spans="1:16" x14ac:dyDescent="0.3">
      <c r="B24" t="s">
        <v>395</v>
      </c>
      <c r="C24">
        <v>322</v>
      </c>
      <c r="D24">
        <v>2358</v>
      </c>
      <c r="E24">
        <v>2019</v>
      </c>
      <c r="F24">
        <v>268</v>
      </c>
      <c r="G24">
        <v>80</v>
      </c>
      <c r="H24">
        <v>77</v>
      </c>
      <c r="I24">
        <v>2945</v>
      </c>
      <c r="J24">
        <v>324</v>
      </c>
      <c r="K24">
        <v>2365</v>
      </c>
      <c r="L24">
        <v>383</v>
      </c>
      <c r="M24">
        <v>18</v>
      </c>
      <c r="N24">
        <v>474</v>
      </c>
      <c r="O24">
        <v>60</v>
      </c>
      <c r="P24">
        <f t="shared" ref="P24:P36" si="0">SUM(C24:O24)</f>
        <v>11693</v>
      </c>
    </row>
    <row r="25" spans="1:16" x14ac:dyDescent="0.3">
      <c r="B25" t="s">
        <v>396</v>
      </c>
      <c r="C25">
        <v>7</v>
      </c>
      <c r="D25">
        <v>858</v>
      </c>
      <c r="E25">
        <v>482</v>
      </c>
      <c r="F25">
        <v>1469</v>
      </c>
      <c r="G25">
        <v>56</v>
      </c>
      <c r="H25">
        <v>1546</v>
      </c>
      <c r="I25">
        <v>961</v>
      </c>
      <c r="J25">
        <v>300</v>
      </c>
      <c r="K25">
        <v>94</v>
      </c>
      <c r="L25">
        <v>168</v>
      </c>
      <c r="M25">
        <v>1</v>
      </c>
      <c r="N25">
        <v>41</v>
      </c>
      <c r="O25">
        <v>3</v>
      </c>
      <c r="P25">
        <f t="shared" si="0"/>
        <v>5986</v>
      </c>
    </row>
    <row r="26" spans="1:16" x14ac:dyDescent="0.3">
      <c r="B26" t="s">
        <v>397</v>
      </c>
      <c r="C26">
        <v>55</v>
      </c>
      <c r="D26">
        <v>1553</v>
      </c>
      <c r="E26">
        <v>1267</v>
      </c>
      <c r="F26">
        <v>726</v>
      </c>
      <c r="G26">
        <v>96</v>
      </c>
      <c r="H26">
        <v>157</v>
      </c>
      <c r="I26">
        <v>4246</v>
      </c>
      <c r="J26">
        <v>644</v>
      </c>
      <c r="K26">
        <v>343</v>
      </c>
      <c r="L26">
        <v>483</v>
      </c>
      <c r="M26">
        <v>37</v>
      </c>
      <c r="N26">
        <v>201</v>
      </c>
      <c r="O26">
        <v>64</v>
      </c>
      <c r="P26">
        <f t="shared" si="0"/>
        <v>9872</v>
      </c>
    </row>
    <row r="27" spans="1:16" x14ac:dyDescent="0.3">
      <c r="B27" t="s">
        <v>398</v>
      </c>
      <c r="C27">
        <v>12</v>
      </c>
      <c r="D27">
        <v>415</v>
      </c>
      <c r="E27">
        <v>372</v>
      </c>
      <c r="F27">
        <v>3233</v>
      </c>
      <c r="G27">
        <v>20</v>
      </c>
      <c r="H27">
        <v>266</v>
      </c>
      <c r="I27">
        <v>1233</v>
      </c>
      <c r="J27">
        <v>137</v>
      </c>
      <c r="K27">
        <v>54</v>
      </c>
      <c r="L27">
        <v>138</v>
      </c>
      <c r="M27">
        <v>1</v>
      </c>
      <c r="N27">
        <v>26</v>
      </c>
      <c r="O27">
        <v>6</v>
      </c>
      <c r="P27">
        <f t="shared" si="0"/>
        <v>5913</v>
      </c>
    </row>
    <row r="28" spans="1:16" x14ac:dyDescent="0.3">
      <c r="B28" t="s">
        <v>399</v>
      </c>
      <c r="C28">
        <v>2</v>
      </c>
      <c r="D28">
        <v>31</v>
      </c>
      <c r="E28">
        <v>23</v>
      </c>
      <c r="F28">
        <v>1284</v>
      </c>
      <c r="G28">
        <v>3</v>
      </c>
      <c r="H28">
        <v>3</v>
      </c>
      <c r="I28">
        <v>262</v>
      </c>
      <c r="J28">
        <v>33</v>
      </c>
      <c r="K28">
        <v>17</v>
      </c>
      <c r="L28">
        <v>55</v>
      </c>
      <c r="M28">
        <v>4</v>
      </c>
      <c r="N28">
        <v>174</v>
      </c>
      <c r="O28">
        <v>22</v>
      </c>
      <c r="P28">
        <f t="shared" si="0"/>
        <v>1913</v>
      </c>
    </row>
    <row r="29" spans="1:16" x14ac:dyDescent="0.3">
      <c r="B29" t="s">
        <v>406</v>
      </c>
      <c r="C29">
        <v>20</v>
      </c>
      <c r="D29">
        <v>183</v>
      </c>
      <c r="E29">
        <v>156</v>
      </c>
      <c r="F29">
        <v>154</v>
      </c>
      <c r="G29">
        <v>26</v>
      </c>
      <c r="H29">
        <v>12</v>
      </c>
      <c r="I29">
        <v>1223</v>
      </c>
      <c r="J29">
        <v>145</v>
      </c>
      <c r="K29">
        <v>131</v>
      </c>
      <c r="L29">
        <v>215</v>
      </c>
      <c r="M29">
        <v>9</v>
      </c>
      <c r="N29">
        <v>162</v>
      </c>
      <c r="O29">
        <v>32</v>
      </c>
      <c r="P29">
        <f t="shared" si="0"/>
        <v>2468</v>
      </c>
    </row>
    <row r="30" spans="1:16" x14ac:dyDescent="0.3">
      <c r="B30" t="s">
        <v>400</v>
      </c>
      <c r="C30">
        <v>56</v>
      </c>
      <c r="D30">
        <v>520</v>
      </c>
      <c r="E30">
        <v>429</v>
      </c>
      <c r="F30">
        <v>225</v>
      </c>
      <c r="G30">
        <v>43</v>
      </c>
      <c r="H30">
        <v>78</v>
      </c>
      <c r="I30">
        <v>1281</v>
      </c>
      <c r="J30">
        <v>330</v>
      </c>
      <c r="K30">
        <v>206</v>
      </c>
      <c r="L30">
        <v>110</v>
      </c>
      <c r="M30">
        <v>1</v>
      </c>
      <c r="N30">
        <v>37</v>
      </c>
      <c r="O30">
        <v>7</v>
      </c>
      <c r="P30">
        <f t="shared" si="0"/>
        <v>3323</v>
      </c>
    </row>
    <row r="31" spans="1:16" x14ac:dyDescent="0.3">
      <c r="B31" t="s">
        <v>401</v>
      </c>
      <c r="C31">
        <v>159</v>
      </c>
      <c r="D31">
        <v>393</v>
      </c>
      <c r="E31">
        <v>423</v>
      </c>
      <c r="F31">
        <v>95</v>
      </c>
      <c r="G31">
        <v>25</v>
      </c>
      <c r="H31">
        <v>55</v>
      </c>
      <c r="I31">
        <v>790</v>
      </c>
      <c r="J31">
        <v>188</v>
      </c>
      <c r="K31">
        <v>148</v>
      </c>
      <c r="L31">
        <v>100</v>
      </c>
      <c r="M31">
        <v>2</v>
      </c>
      <c r="N31">
        <v>119</v>
      </c>
      <c r="O31">
        <v>28</v>
      </c>
      <c r="P31">
        <f t="shared" si="0"/>
        <v>2525</v>
      </c>
    </row>
    <row r="32" spans="1:16" x14ac:dyDescent="0.3">
      <c r="B32" t="s">
        <v>402</v>
      </c>
      <c r="C32">
        <v>166</v>
      </c>
      <c r="D32">
        <v>901</v>
      </c>
      <c r="E32">
        <v>940</v>
      </c>
      <c r="F32">
        <v>166</v>
      </c>
      <c r="G32">
        <v>18</v>
      </c>
      <c r="H32">
        <v>101</v>
      </c>
      <c r="I32">
        <v>1119</v>
      </c>
      <c r="J32">
        <v>132</v>
      </c>
      <c r="K32">
        <v>200</v>
      </c>
      <c r="L32">
        <v>586</v>
      </c>
      <c r="M32">
        <v>1</v>
      </c>
      <c r="N32">
        <v>181</v>
      </c>
      <c r="O32">
        <v>50</v>
      </c>
      <c r="P32">
        <f t="shared" si="0"/>
        <v>4561</v>
      </c>
    </row>
    <row r="33" spans="2:16" x14ac:dyDescent="0.3">
      <c r="B33" t="s">
        <v>403</v>
      </c>
      <c r="C33">
        <v>114</v>
      </c>
      <c r="D33">
        <v>650</v>
      </c>
      <c r="E33">
        <v>483</v>
      </c>
      <c r="F33">
        <v>244</v>
      </c>
      <c r="G33">
        <v>9</v>
      </c>
      <c r="H33">
        <v>185</v>
      </c>
      <c r="I33">
        <v>945</v>
      </c>
      <c r="J33">
        <v>165</v>
      </c>
      <c r="K33">
        <v>46</v>
      </c>
      <c r="L33">
        <v>301</v>
      </c>
      <c r="M33">
        <v>0</v>
      </c>
      <c r="N33">
        <v>128</v>
      </c>
      <c r="O33">
        <v>6</v>
      </c>
      <c r="P33">
        <f t="shared" si="0"/>
        <v>3276</v>
      </c>
    </row>
    <row r="34" spans="2:16" x14ac:dyDescent="0.3">
      <c r="B34" t="s">
        <v>170</v>
      </c>
      <c r="C34">
        <v>104</v>
      </c>
      <c r="D34">
        <v>1212</v>
      </c>
      <c r="E34">
        <v>941</v>
      </c>
      <c r="F34">
        <v>942</v>
      </c>
      <c r="G34">
        <v>145</v>
      </c>
      <c r="H34">
        <v>287</v>
      </c>
      <c r="I34">
        <v>2874</v>
      </c>
      <c r="J34">
        <v>1175</v>
      </c>
      <c r="K34">
        <v>386</v>
      </c>
      <c r="L34">
        <v>1103</v>
      </c>
      <c r="M34">
        <v>129</v>
      </c>
      <c r="N34">
        <v>1190</v>
      </c>
      <c r="O34">
        <v>330</v>
      </c>
      <c r="P34">
        <f t="shared" si="0"/>
        <v>10818</v>
      </c>
    </row>
    <row r="35" spans="2:16" x14ac:dyDescent="0.3">
      <c r="B35" t="s">
        <v>404</v>
      </c>
      <c r="C35">
        <v>393</v>
      </c>
      <c r="D35">
        <v>3301</v>
      </c>
      <c r="E35">
        <v>2485</v>
      </c>
      <c r="F35">
        <v>476</v>
      </c>
      <c r="G35">
        <v>171</v>
      </c>
      <c r="H35">
        <v>115</v>
      </c>
      <c r="I35">
        <v>4331</v>
      </c>
      <c r="J35">
        <v>666</v>
      </c>
      <c r="K35">
        <v>3157</v>
      </c>
      <c r="L35">
        <v>666</v>
      </c>
      <c r="M35">
        <v>19</v>
      </c>
      <c r="N35">
        <v>553</v>
      </c>
      <c r="O35">
        <v>95</v>
      </c>
      <c r="P35">
        <f t="shared" si="0"/>
        <v>16428</v>
      </c>
    </row>
    <row r="36" spans="2:16" x14ac:dyDescent="0.3">
      <c r="B36" t="s">
        <v>405</v>
      </c>
      <c r="C36">
        <v>22</v>
      </c>
      <c r="D36">
        <v>214</v>
      </c>
      <c r="E36">
        <v>179</v>
      </c>
      <c r="F36">
        <v>1438</v>
      </c>
      <c r="G36">
        <v>28</v>
      </c>
      <c r="H36">
        <v>15</v>
      </c>
      <c r="I36">
        <v>1485</v>
      </c>
      <c r="J36">
        <v>178</v>
      </c>
      <c r="K36">
        <v>148</v>
      </c>
      <c r="L36">
        <v>270</v>
      </c>
      <c r="M36">
        <v>13</v>
      </c>
      <c r="N36">
        <v>336</v>
      </c>
      <c r="O36">
        <v>54</v>
      </c>
      <c r="P36">
        <f t="shared" si="0"/>
        <v>4380</v>
      </c>
    </row>
  </sheetData>
  <conditionalFormatting sqref="P23:P34">
    <cfRule type="colorScale" priority="3">
      <colorScale>
        <cfvo type="min"/>
        <cfvo type="max"/>
        <color rgb="FFFCFCFF"/>
        <color rgb="FFF8696B"/>
      </colorScale>
    </cfRule>
  </conditionalFormatting>
  <conditionalFormatting sqref="C23:O34">
    <cfRule type="colorScale" priority="2">
      <colorScale>
        <cfvo type="min"/>
        <cfvo type="max"/>
        <color rgb="FFFCFCFF"/>
        <color rgb="FF63BE7B"/>
      </colorScale>
    </cfRule>
  </conditionalFormatting>
  <conditionalFormatting sqref="C22:O22">
    <cfRule type="colorScale" priority="1">
      <colorScale>
        <cfvo type="min"/>
        <cfvo type="max"/>
        <color rgb="FFFCFCFF"/>
        <color rgb="FFF8696B"/>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D67"/>
  <sheetViews>
    <sheetView windowProtection="1" workbookViewId="0">
      <selection activeCell="D31" sqref="D31"/>
    </sheetView>
  </sheetViews>
  <sheetFormatPr defaultRowHeight="14.4" x14ac:dyDescent="0.3"/>
  <cols>
    <col min="1" max="1" width="51" bestFit="1" customWidth="1"/>
    <col min="2" max="2" width="9.5546875" bestFit="1" customWidth="1"/>
    <col min="3" max="3" width="9.109375" style="18"/>
  </cols>
  <sheetData>
    <row r="1" spans="1:4" x14ac:dyDescent="0.3">
      <c r="B1" t="s">
        <v>158</v>
      </c>
      <c r="C1" s="18" t="s">
        <v>160</v>
      </c>
    </row>
    <row r="2" spans="1:4" x14ac:dyDescent="0.3">
      <c r="A2" t="s">
        <v>159</v>
      </c>
      <c r="B2" s="19">
        <v>5914</v>
      </c>
      <c r="C2" s="18">
        <v>1</v>
      </c>
    </row>
    <row r="3" spans="1:4" x14ac:dyDescent="0.3">
      <c r="A3" t="s">
        <v>161</v>
      </c>
      <c r="B3" s="19">
        <f>$B$2*C3</f>
        <v>1301.08</v>
      </c>
      <c r="C3" s="18">
        <v>0.22</v>
      </c>
      <c r="D3" s="20"/>
    </row>
    <row r="4" spans="1:4" x14ac:dyDescent="0.3">
      <c r="A4" t="s">
        <v>162</v>
      </c>
      <c r="B4" s="19">
        <f t="shared" ref="B4:B12" si="0">$B$2*C4</f>
        <v>1123.6600000000001</v>
      </c>
      <c r="C4" s="18">
        <v>0.19</v>
      </c>
      <c r="D4" s="20"/>
    </row>
    <row r="5" spans="1:4" x14ac:dyDescent="0.3">
      <c r="A5" t="s">
        <v>163</v>
      </c>
      <c r="B5" s="19">
        <f t="shared" si="0"/>
        <v>887.1</v>
      </c>
      <c r="C5" s="18">
        <v>0.15</v>
      </c>
      <c r="D5" s="20"/>
    </row>
    <row r="6" spans="1:4" x14ac:dyDescent="0.3">
      <c r="A6" t="s">
        <v>164</v>
      </c>
      <c r="B6" s="19">
        <f t="shared" si="0"/>
        <v>177.42</v>
      </c>
      <c r="C6" s="18">
        <v>0.03</v>
      </c>
    </row>
    <row r="7" spans="1:4" x14ac:dyDescent="0.3">
      <c r="A7" t="s">
        <v>165</v>
      </c>
      <c r="B7" s="19">
        <f t="shared" si="0"/>
        <v>236.56</v>
      </c>
      <c r="C7" s="18">
        <v>0.04</v>
      </c>
    </row>
    <row r="8" spans="1:4" x14ac:dyDescent="0.3">
      <c r="A8" t="s">
        <v>166</v>
      </c>
      <c r="B8" s="19">
        <f t="shared" si="0"/>
        <v>295.7</v>
      </c>
      <c r="C8" s="18">
        <v>0.05</v>
      </c>
    </row>
    <row r="9" spans="1:4" x14ac:dyDescent="0.3">
      <c r="A9" t="s">
        <v>167</v>
      </c>
      <c r="B9" s="19">
        <f t="shared" si="0"/>
        <v>295.7</v>
      </c>
      <c r="C9" s="18">
        <v>0.05</v>
      </c>
    </row>
    <row r="10" spans="1:4" x14ac:dyDescent="0.3">
      <c r="A10" t="s">
        <v>168</v>
      </c>
      <c r="B10" s="19">
        <f t="shared" si="0"/>
        <v>354.84</v>
      </c>
      <c r="C10" s="18">
        <v>0.06</v>
      </c>
    </row>
    <row r="11" spans="1:4" x14ac:dyDescent="0.3">
      <c r="A11" t="s">
        <v>169</v>
      </c>
      <c r="B11" s="19">
        <f t="shared" si="0"/>
        <v>591.4</v>
      </c>
      <c r="C11" s="18">
        <v>0.1</v>
      </c>
      <c r="D11" s="20"/>
    </row>
    <row r="12" spans="1:4" x14ac:dyDescent="0.3">
      <c r="A12" t="s">
        <v>170</v>
      </c>
      <c r="B12" s="19">
        <f t="shared" si="0"/>
        <v>650.54</v>
      </c>
      <c r="C12" s="18">
        <v>0.11</v>
      </c>
    </row>
    <row r="15" spans="1:4" x14ac:dyDescent="0.3">
      <c r="A15" s="21" t="s">
        <v>290</v>
      </c>
    </row>
    <row r="16" spans="1:4" x14ac:dyDescent="0.3">
      <c r="A16" t="s">
        <v>275</v>
      </c>
      <c r="B16" s="5"/>
    </row>
    <row r="17" spans="1:3" x14ac:dyDescent="0.3">
      <c r="A17" t="s">
        <v>276</v>
      </c>
      <c r="B17" s="5"/>
    </row>
    <row r="18" spans="1:3" x14ac:dyDescent="0.3">
      <c r="A18" t="s">
        <v>277</v>
      </c>
      <c r="B18" s="5" t="s">
        <v>280</v>
      </c>
    </row>
    <row r="19" spans="1:3" x14ac:dyDescent="0.3">
      <c r="A19" t="s">
        <v>278</v>
      </c>
      <c r="B19" s="32">
        <f>0.25*1000</f>
        <v>250</v>
      </c>
    </row>
    <row r="20" spans="1:3" x14ac:dyDescent="0.3">
      <c r="A20" t="s">
        <v>279</v>
      </c>
      <c r="B20" s="32">
        <f>0.6*1000</f>
        <v>600</v>
      </c>
      <c r="C20" s="18" t="s">
        <v>288</v>
      </c>
    </row>
    <row r="21" spans="1:3" x14ac:dyDescent="0.3">
      <c r="A21" t="s">
        <v>281</v>
      </c>
      <c r="B21">
        <f>0.1*1000</f>
        <v>100</v>
      </c>
    </row>
    <row r="22" spans="1:3" x14ac:dyDescent="0.3">
      <c r="A22" t="s">
        <v>282</v>
      </c>
      <c r="B22">
        <f>0.1*1000</f>
        <v>100</v>
      </c>
    </row>
    <row r="23" spans="1:3" x14ac:dyDescent="0.3">
      <c r="A23" t="s">
        <v>283</v>
      </c>
      <c r="B23">
        <f>0.1*1000</f>
        <v>100</v>
      </c>
    </row>
    <row r="24" spans="1:3" x14ac:dyDescent="0.3">
      <c r="A24" t="s">
        <v>284</v>
      </c>
      <c r="B24">
        <v>0</v>
      </c>
    </row>
    <row r="25" spans="1:3" x14ac:dyDescent="0.3">
      <c r="A25" t="s">
        <v>285</v>
      </c>
      <c r="B25">
        <v>0</v>
      </c>
    </row>
    <row r="26" spans="1:3" x14ac:dyDescent="0.3">
      <c r="A26" t="s">
        <v>286</v>
      </c>
      <c r="B26">
        <f>0.15*1000</f>
        <v>150</v>
      </c>
    </row>
    <row r="27" spans="1:3" x14ac:dyDescent="0.3">
      <c r="A27" t="s">
        <v>287</v>
      </c>
      <c r="B27">
        <v>0</v>
      </c>
    </row>
    <row r="28" spans="1:3" x14ac:dyDescent="0.3">
      <c r="A28" t="s">
        <v>289</v>
      </c>
    </row>
    <row r="30" spans="1:3" x14ac:dyDescent="0.3">
      <c r="A30" s="34" t="s">
        <v>291</v>
      </c>
      <c r="C30" s="33" t="s">
        <v>297</v>
      </c>
    </row>
    <row r="31" spans="1:3" x14ac:dyDescent="0.3">
      <c r="A31" s="34" t="s">
        <v>292</v>
      </c>
    </row>
    <row r="32" spans="1:3" x14ac:dyDescent="0.3">
      <c r="A32" s="34" t="s">
        <v>293</v>
      </c>
    </row>
    <row r="33" spans="1:1" x14ac:dyDescent="0.3">
      <c r="A33" s="34" t="s">
        <v>294</v>
      </c>
    </row>
    <row r="34" spans="1:1" x14ac:dyDescent="0.3">
      <c r="A34" t="s">
        <v>295</v>
      </c>
    </row>
    <row r="36" spans="1:1" x14ac:dyDescent="0.3">
      <c r="A36" t="s">
        <v>296</v>
      </c>
    </row>
    <row r="56" spans="1:1" x14ac:dyDescent="0.3">
      <c r="A56" s="21" t="s">
        <v>306</v>
      </c>
    </row>
    <row r="57" spans="1:1" x14ac:dyDescent="0.3">
      <c r="A57" t="s">
        <v>298</v>
      </c>
    </row>
    <row r="58" spans="1:1" x14ac:dyDescent="0.3">
      <c r="A58" t="s">
        <v>299</v>
      </c>
    </row>
    <row r="59" spans="1:1" x14ac:dyDescent="0.3">
      <c r="A59" t="s">
        <v>300</v>
      </c>
    </row>
    <row r="60" spans="1:1" x14ac:dyDescent="0.3">
      <c r="A60" t="s">
        <v>308</v>
      </c>
    </row>
    <row r="61" spans="1:1" x14ac:dyDescent="0.3">
      <c r="A61" t="s">
        <v>309</v>
      </c>
    </row>
    <row r="62" spans="1:1" x14ac:dyDescent="0.3">
      <c r="A62" t="s">
        <v>307</v>
      </c>
    </row>
    <row r="63" spans="1:1" x14ac:dyDescent="0.3">
      <c r="A63" t="s">
        <v>305</v>
      </c>
    </row>
    <row r="64" spans="1:1" x14ac:dyDescent="0.3">
      <c r="A64" t="s">
        <v>301</v>
      </c>
    </row>
    <row r="65" spans="1:1" x14ac:dyDescent="0.3">
      <c r="A65" t="s">
        <v>302</v>
      </c>
    </row>
    <row r="66" spans="1:1" x14ac:dyDescent="0.3">
      <c r="A66" s="34" t="s">
        <v>303</v>
      </c>
    </row>
    <row r="67" spans="1:1" x14ac:dyDescent="0.3">
      <c r="A67" s="34" t="s">
        <v>304</v>
      </c>
    </row>
  </sheetData>
  <conditionalFormatting sqref="A16:B20 A21:A34 A36">
    <cfRule type="expression" dxfId="0" priority="1">
      <formula>$G16="Yes"</formula>
    </cfRule>
  </conditionalFormatting>
  <hyperlinks>
    <hyperlink ref="A15" r:id="rId1"/>
    <hyperlink ref="C30" r:id="rId2"/>
    <hyperlink ref="A56" r:id="rId3"/>
  </hyperlinks>
  <pageMargins left="0.7" right="0.7" top="0.75" bottom="0.75" header="0.3" footer="0.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windowProtection="1" zoomScaleNormal="100" workbookViewId="0">
      <selection activeCell="D31" sqref="D31"/>
    </sheetView>
  </sheetViews>
  <sheetFormatPr defaultColWidth="8.88671875" defaultRowHeight="14.4" x14ac:dyDescent="0.3"/>
  <cols>
    <col min="1" max="1" width="27.33203125" style="22" bestFit="1" customWidth="1"/>
    <col min="2" max="2" width="22.6640625" style="22" bestFit="1" customWidth="1"/>
    <col min="3" max="3" width="14.33203125" style="22" customWidth="1"/>
    <col min="4" max="4" width="11.33203125" style="22" customWidth="1"/>
    <col min="5" max="16384" width="8.88671875" style="22"/>
  </cols>
  <sheetData>
    <row r="1" spans="1:7" ht="18" x14ac:dyDescent="0.35">
      <c r="A1" s="153" t="s">
        <v>790</v>
      </c>
      <c r="B1" s="110"/>
      <c r="C1" s="110"/>
      <c r="D1" s="110"/>
    </row>
    <row r="2" spans="1:7" ht="18" x14ac:dyDescent="0.35">
      <c r="A2" s="154"/>
      <c r="B2" s="110"/>
      <c r="C2" s="110"/>
      <c r="D2" s="110"/>
    </row>
    <row r="3" spans="1:7" ht="15" thickBot="1" x14ac:dyDescent="0.35">
      <c r="A3" s="155" t="s">
        <v>759</v>
      </c>
      <c r="B3" s="155" t="s">
        <v>777</v>
      </c>
      <c r="C3" s="155" t="s">
        <v>791</v>
      </c>
      <c r="D3" s="155" t="s">
        <v>776</v>
      </c>
    </row>
    <row r="4" spans="1:7" x14ac:dyDescent="0.3">
      <c r="A4" s="156" t="s">
        <v>752</v>
      </c>
      <c r="B4" s="157" t="s">
        <v>792</v>
      </c>
      <c r="C4" s="156" t="s">
        <v>793</v>
      </c>
      <c r="D4" s="157" t="s">
        <v>569</v>
      </c>
      <c r="F4" s="158"/>
    </row>
    <row r="5" spans="1:7" x14ac:dyDescent="0.3">
      <c r="A5" s="156" t="s">
        <v>789</v>
      </c>
      <c r="B5" s="157" t="s">
        <v>792</v>
      </c>
      <c r="C5" s="156" t="s">
        <v>793</v>
      </c>
      <c r="D5" s="157" t="s">
        <v>794</v>
      </c>
      <c r="F5" s="158"/>
    </row>
    <row r="6" spans="1:7" x14ac:dyDescent="0.3">
      <c r="A6" s="156" t="s">
        <v>834</v>
      </c>
      <c r="B6" s="157" t="s">
        <v>792</v>
      </c>
      <c r="C6" s="156" t="s">
        <v>793</v>
      </c>
      <c r="D6" s="157" t="s">
        <v>794</v>
      </c>
      <c r="F6" s="158"/>
    </row>
    <row r="7" spans="1:7" x14ac:dyDescent="0.3">
      <c r="A7" s="156" t="s">
        <v>795</v>
      </c>
      <c r="B7" s="157" t="s">
        <v>792</v>
      </c>
      <c r="C7" s="156" t="s">
        <v>793</v>
      </c>
      <c r="D7" s="156" t="s">
        <v>796</v>
      </c>
      <c r="F7" s="158"/>
      <c r="G7" s="158"/>
    </row>
    <row r="8" spans="1:7" x14ac:dyDescent="0.3">
      <c r="A8" s="156" t="s">
        <v>797</v>
      </c>
      <c r="B8" s="156" t="s">
        <v>798</v>
      </c>
      <c r="C8" s="156" t="s">
        <v>793</v>
      </c>
      <c r="D8" s="156" t="s">
        <v>796</v>
      </c>
      <c r="F8" s="158"/>
      <c r="G8" s="158"/>
    </row>
    <row r="9" spans="1:7" x14ac:dyDescent="0.3">
      <c r="A9" s="159" t="s">
        <v>799</v>
      </c>
      <c r="B9" s="159" t="s">
        <v>798</v>
      </c>
      <c r="C9" s="159" t="s">
        <v>793</v>
      </c>
      <c r="D9" s="159" t="s">
        <v>569</v>
      </c>
      <c r="F9" s="158"/>
      <c r="G9" s="158"/>
    </row>
    <row r="10" spans="1:7" x14ac:dyDescent="0.3">
      <c r="A10" s="156" t="s">
        <v>800</v>
      </c>
      <c r="B10" s="156" t="s">
        <v>798</v>
      </c>
      <c r="C10" s="156" t="s">
        <v>801</v>
      </c>
      <c r="D10" s="156" t="s">
        <v>802</v>
      </c>
      <c r="F10" s="158"/>
      <c r="G10" s="158"/>
    </row>
    <row r="11" spans="1:7" x14ac:dyDescent="0.3">
      <c r="A11" s="156" t="s">
        <v>803</v>
      </c>
      <c r="B11" s="156" t="s">
        <v>798</v>
      </c>
      <c r="C11" s="156" t="s">
        <v>804</v>
      </c>
      <c r="D11" s="156" t="s">
        <v>805</v>
      </c>
      <c r="F11" s="158"/>
      <c r="G11" s="158"/>
    </row>
    <row r="12" spans="1:7" x14ac:dyDescent="0.3">
      <c r="A12" s="156" t="s">
        <v>806</v>
      </c>
      <c r="B12" s="156" t="s">
        <v>798</v>
      </c>
      <c r="C12" s="156" t="s">
        <v>793</v>
      </c>
      <c r="D12" s="156" t="s">
        <v>807</v>
      </c>
      <c r="F12" s="158"/>
      <c r="G12" s="158"/>
    </row>
    <row r="13" spans="1:7" x14ac:dyDescent="0.3">
      <c r="A13" s="156" t="s">
        <v>808</v>
      </c>
      <c r="B13" s="156" t="s">
        <v>798</v>
      </c>
      <c r="C13" s="156" t="s">
        <v>801</v>
      </c>
      <c r="D13" s="156" t="s">
        <v>809</v>
      </c>
      <c r="F13" s="158"/>
      <c r="G13" s="158"/>
    </row>
    <row r="14" spans="1:7" x14ac:dyDescent="0.3">
      <c r="A14" s="156" t="s">
        <v>810</v>
      </c>
      <c r="B14" s="156" t="s">
        <v>798</v>
      </c>
      <c r="C14" s="156" t="s">
        <v>793</v>
      </c>
      <c r="D14" s="156" t="s">
        <v>569</v>
      </c>
      <c r="F14" s="158"/>
      <c r="G14" s="158"/>
    </row>
    <row r="15" spans="1:7" x14ac:dyDescent="0.3">
      <c r="A15" s="156" t="s">
        <v>811</v>
      </c>
      <c r="B15" s="156" t="s">
        <v>798</v>
      </c>
      <c r="C15" s="156" t="s">
        <v>793</v>
      </c>
      <c r="D15" s="156" t="s">
        <v>796</v>
      </c>
      <c r="F15" s="158"/>
      <c r="G15" s="158"/>
    </row>
    <row r="16" spans="1:7" x14ac:dyDescent="0.3">
      <c r="A16" s="156" t="s">
        <v>812</v>
      </c>
      <c r="B16" s="156" t="s">
        <v>813</v>
      </c>
      <c r="C16" s="156" t="s">
        <v>793</v>
      </c>
      <c r="D16" s="156" t="s">
        <v>805</v>
      </c>
      <c r="F16" s="158"/>
      <c r="G16" s="158"/>
    </row>
    <row r="17" spans="1:7" x14ac:dyDescent="0.3">
      <c r="A17" s="156" t="s">
        <v>814</v>
      </c>
      <c r="B17" s="156" t="s">
        <v>813</v>
      </c>
      <c r="C17" s="156" t="s">
        <v>793</v>
      </c>
      <c r="D17" s="156" t="s">
        <v>805</v>
      </c>
      <c r="F17" s="158"/>
      <c r="G17" s="158"/>
    </row>
    <row r="18" spans="1:7" x14ac:dyDescent="0.3">
      <c r="A18" s="156" t="s">
        <v>815</v>
      </c>
      <c r="B18" s="156" t="s">
        <v>813</v>
      </c>
      <c r="C18" s="156" t="s">
        <v>793</v>
      </c>
      <c r="D18" s="156" t="s">
        <v>805</v>
      </c>
      <c r="F18" s="158"/>
      <c r="G18" s="158"/>
    </row>
    <row r="19" spans="1:7" x14ac:dyDescent="0.3">
      <c r="A19" s="156" t="s">
        <v>816</v>
      </c>
      <c r="B19" s="156" t="s">
        <v>813</v>
      </c>
      <c r="C19" s="156" t="s">
        <v>793</v>
      </c>
      <c r="D19" s="156" t="s">
        <v>805</v>
      </c>
      <c r="F19" s="158"/>
      <c r="G19" s="158"/>
    </row>
    <row r="20" spans="1:7" x14ac:dyDescent="0.3">
      <c r="A20" s="156" t="s">
        <v>817</v>
      </c>
      <c r="B20" s="156" t="s">
        <v>813</v>
      </c>
      <c r="C20" s="156" t="s">
        <v>793</v>
      </c>
      <c r="D20" s="156" t="s">
        <v>805</v>
      </c>
    </row>
    <row r="21" spans="1:7" x14ac:dyDescent="0.3">
      <c r="A21" s="156"/>
      <c r="B21" s="156"/>
      <c r="C21" s="156"/>
      <c r="D21" s="156"/>
    </row>
    <row r="22" spans="1:7" x14ac:dyDescent="0.3">
      <c r="A22" s="156"/>
      <c r="B22" s="156"/>
      <c r="C22" s="156"/>
      <c r="D22" s="156"/>
    </row>
    <row r="23" spans="1:7" ht="15" thickBot="1" x14ac:dyDescent="0.35">
      <c r="A23" s="155" t="s">
        <v>761</v>
      </c>
      <c r="B23" s="155" t="s">
        <v>818</v>
      </c>
      <c r="C23" s="155" t="s">
        <v>754</v>
      </c>
      <c r="D23" s="156"/>
    </row>
    <row r="24" spans="1:7" x14ac:dyDescent="0.3">
      <c r="A24" s="160" t="s">
        <v>818</v>
      </c>
      <c r="B24" s="161" t="s">
        <v>401</v>
      </c>
      <c r="C24" s="161" t="s">
        <v>819</v>
      </c>
      <c r="D24" s="156"/>
    </row>
    <row r="25" spans="1:7" x14ac:dyDescent="0.3">
      <c r="A25" s="162" t="s">
        <v>754</v>
      </c>
      <c r="B25" s="161" t="s">
        <v>820</v>
      </c>
      <c r="C25" s="161" t="s">
        <v>821</v>
      </c>
      <c r="D25" s="156"/>
    </row>
    <row r="26" spans="1:7" x14ac:dyDescent="0.3">
      <c r="A26" s="162"/>
      <c r="B26" s="161" t="s">
        <v>822</v>
      </c>
      <c r="C26" s="161" t="s">
        <v>823</v>
      </c>
      <c r="D26" s="156"/>
    </row>
    <row r="27" spans="1:7" x14ac:dyDescent="0.3">
      <c r="A27" s="162"/>
      <c r="B27" s="161" t="s">
        <v>824</v>
      </c>
      <c r="C27" s="161"/>
      <c r="D27" s="156"/>
    </row>
    <row r="28" spans="1:7" x14ac:dyDescent="0.3">
      <c r="A28" s="162"/>
      <c r="B28" s="161" t="s">
        <v>825</v>
      </c>
      <c r="C28" s="161"/>
      <c r="D28" s="156"/>
    </row>
    <row r="29" spans="1:7" x14ac:dyDescent="0.3">
      <c r="A29" s="162"/>
      <c r="B29" s="161" t="s">
        <v>826</v>
      </c>
      <c r="C29" s="161"/>
      <c r="D29" s="156"/>
    </row>
    <row r="30" spans="1:7" x14ac:dyDescent="0.3">
      <c r="A30" s="162"/>
      <c r="B30" s="161" t="s">
        <v>399</v>
      </c>
      <c r="C30" s="161"/>
      <c r="D30" s="156"/>
    </row>
    <row r="31" spans="1:7" x14ac:dyDescent="0.3">
      <c r="A31" s="162"/>
      <c r="B31" s="161" t="s">
        <v>396</v>
      </c>
      <c r="C31" s="161"/>
      <c r="D31" s="156"/>
    </row>
    <row r="32" spans="1:7" x14ac:dyDescent="0.3">
      <c r="A32" s="162"/>
      <c r="B32" s="161" t="s">
        <v>397</v>
      </c>
      <c r="C32" s="161"/>
      <c r="D32" s="156"/>
    </row>
    <row r="33" spans="1:4" x14ac:dyDescent="0.3">
      <c r="A33" s="162"/>
      <c r="B33" s="161" t="s">
        <v>400</v>
      </c>
      <c r="C33" s="161"/>
      <c r="D33" s="156"/>
    </row>
    <row r="34" spans="1:4" x14ac:dyDescent="0.3">
      <c r="A34" s="162"/>
      <c r="B34" s="161" t="s">
        <v>827</v>
      </c>
      <c r="C34" s="161"/>
      <c r="D34" s="156"/>
    </row>
    <row r="35" spans="1:4" x14ac:dyDescent="0.3">
      <c r="A35" s="162"/>
      <c r="B35" s="161" t="s">
        <v>828</v>
      </c>
      <c r="C35" s="161"/>
      <c r="D35" s="156"/>
    </row>
    <row r="36" spans="1:4" x14ac:dyDescent="0.3">
      <c r="A36" s="10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B2:E46"/>
  <sheetViews>
    <sheetView windowProtection="1" zoomScale="85" zoomScaleNormal="85" workbookViewId="0">
      <selection activeCell="D31" sqref="D31"/>
    </sheetView>
  </sheetViews>
  <sheetFormatPr defaultColWidth="8.88671875" defaultRowHeight="14.4" x14ac:dyDescent="0.3"/>
  <cols>
    <col min="1" max="1" width="8.88671875" style="91"/>
    <col min="2" max="2" width="27.33203125" style="99" customWidth="1"/>
    <col min="3" max="3" width="111.109375" style="100" customWidth="1"/>
    <col min="4" max="5" width="13.6640625" style="91" customWidth="1"/>
    <col min="6" max="16384" width="8.88671875" style="91"/>
  </cols>
  <sheetData>
    <row r="2" spans="2:5" ht="13.95" customHeight="1" x14ac:dyDescent="0.3">
      <c r="B2" s="169" t="s">
        <v>758</v>
      </c>
      <c r="C2" s="170"/>
    </row>
    <row r="3" spans="2:5" x14ac:dyDescent="0.3">
      <c r="B3" s="92" t="s">
        <v>759</v>
      </c>
      <c r="C3" s="92" t="s">
        <v>834</v>
      </c>
    </row>
    <row r="4" spans="2:5" x14ac:dyDescent="0.3">
      <c r="B4" s="92" t="s">
        <v>760</v>
      </c>
      <c r="C4" s="92" t="str">
        <f>VLOOKUP($C$3, 'Look-up'!$A$4:$D$20, 2, FALSE)</f>
        <v>Codes &amp; Standards</v>
      </c>
    </row>
    <row r="5" spans="2:5" x14ac:dyDescent="0.3">
      <c r="B5" s="92" t="s">
        <v>761</v>
      </c>
      <c r="C5" s="92" t="str">
        <f>VLOOKUP($C$3, 'Look-up'!$A$4:$D$20, 3, FALSE)</f>
        <v>RES, NR</v>
      </c>
    </row>
    <row r="8" spans="2:5" x14ac:dyDescent="0.3">
      <c r="B8" s="169" t="s">
        <v>873</v>
      </c>
      <c r="C8" s="170"/>
    </row>
    <row r="9" spans="2:5" x14ac:dyDescent="0.3">
      <c r="B9" s="92" t="s">
        <v>762</v>
      </c>
      <c r="C9" s="93" t="s">
        <v>872</v>
      </c>
    </row>
    <row r="10" spans="2:5" x14ac:dyDescent="0.3">
      <c r="B10" s="92"/>
      <c r="C10" s="94" t="s">
        <v>874</v>
      </c>
    </row>
    <row r="11" spans="2:5" x14ac:dyDescent="0.3">
      <c r="B11" s="95"/>
      <c r="C11" s="96"/>
      <c r="D11" s="96"/>
      <c r="E11" s="95"/>
    </row>
    <row r="13" spans="2:5" ht="13.95" customHeight="1" x14ac:dyDescent="0.3">
      <c r="B13" s="167" t="s">
        <v>763</v>
      </c>
      <c r="C13" s="168"/>
    </row>
    <row r="14" spans="2:5" x14ac:dyDescent="0.3">
      <c r="B14" s="97" t="s">
        <v>837</v>
      </c>
      <c r="C14" s="97" t="s">
        <v>838</v>
      </c>
    </row>
    <row r="15" spans="2:5" x14ac:dyDescent="0.3">
      <c r="B15" s="97" t="s">
        <v>839</v>
      </c>
      <c r="C15" s="97" t="s">
        <v>840</v>
      </c>
    </row>
    <row r="16" spans="2:5" x14ac:dyDescent="0.3">
      <c r="B16" s="97" t="s">
        <v>842</v>
      </c>
      <c r="C16" s="97" t="s">
        <v>841</v>
      </c>
    </row>
    <row r="17" spans="2:3" x14ac:dyDescent="0.3">
      <c r="B17" s="97" t="s">
        <v>844</v>
      </c>
      <c r="C17" s="97" t="s">
        <v>843</v>
      </c>
    </row>
    <row r="18" spans="2:3" x14ac:dyDescent="0.3">
      <c r="B18" s="97" t="s">
        <v>846</v>
      </c>
      <c r="C18" s="97" t="s">
        <v>845</v>
      </c>
    </row>
    <row r="19" spans="2:3" x14ac:dyDescent="0.3">
      <c r="B19" s="97" t="s">
        <v>854</v>
      </c>
      <c r="C19" s="97" t="s">
        <v>847</v>
      </c>
    </row>
    <row r="20" spans="2:3" x14ac:dyDescent="0.3">
      <c r="B20" s="97" t="s">
        <v>855</v>
      </c>
      <c r="C20" s="97" t="s">
        <v>856</v>
      </c>
    </row>
    <row r="21" spans="2:3" x14ac:dyDescent="0.3">
      <c r="B21" s="97" t="s">
        <v>857</v>
      </c>
      <c r="C21" s="97" t="s">
        <v>848</v>
      </c>
    </row>
    <row r="22" spans="2:3" ht="28.8" x14ac:dyDescent="0.3">
      <c r="B22" s="97" t="s">
        <v>858</v>
      </c>
      <c r="C22" s="97" t="s">
        <v>849</v>
      </c>
    </row>
    <row r="23" spans="2:3" x14ac:dyDescent="0.3">
      <c r="B23" s="97" t="s">
        <v>859</v>
      </c>
      <c r="C23" s="97" t="s">
        <v>850</v>
      </c>
    </row>
    <row r="24" spans="2:3" x14ac:dyDescent="0.3">
      <c r="B24" s="97" t="s">
        <v>860</v>
      </c>
      <c r="C24" s="97" t="s">
        <v>851</v>
      </c>
    </row>
    <row r="25" spans="2:3" x14ac:dyDescent="0.3">
      <c r="B25" s="97" t="s">
        <v>862</v>
      </c>
      <c r="C25" s="97" t="s">
        <v>861</v>
      </c>
    </row>
    <row r="26" spans="2:3" x14ac:dyDescent="0.3">
      <c r="B26" s="97" t="s">
        <v>863</v>
      </c>
      <c r="C26" s="97" t="s">
        <v>852</v>
      </c>
    </row>
    <row r="27" spans="2:3" x14ac:dyDescent="0.3">
      <c r="B27" s="97" t="s">
        <v>864</v>
      </c>
      <c r="C27" s="97" t="s">
        <v>853</v>
      </c>
    </row>
    <row r="30" spans="2:3" x14ac:dyDescent="0.3">
      <c r="B30" s="167" t="s">
        <v>764</v>
      </c>
      <c r="C30" s="168"/>
    </row>
    <row r="31" spans="2:3" x14ac:dyDescent="0.3">
      <c r="B31" s="92" t="s">
        <v>754</v>
      </c>
      <c r="C31" s="97" t="s">
        <v>765</v>
      </c>
    </row>
    <row r="32" spans="2:3" x14ac:dyDescent="0.3">
      <c r="B32" s="92" t="s">
        <v>756</v>
      </c>
      <c r="C32" s="97" t="s">
        <v>765</v>
      </c>
    </row>
    <row r="35" spans="2:3" x14ac:dyDescent="0.3">
      <c r="B35" s="167" t="s">
        <v>766</v>
      </c>
      <c r="C35" s="168"/>
    </row>
    <row r="36" spans="2:3" ht="28.8" x14ac:dyDescent="0.3">
      <c r="B36" s="98" t="s">
        <v>767</v>
      </c>
      <c r="C36" s="97" t="s">
        <v>868</v>
      </c>
    </row>
    <row r="37" spans="2:3" x14ac:dyDescent="0.3">
      <c r="B37" s="98" t="s">
        <v>768</v>
      </c>
      <c r="C37" s="97" t="s">
        <v>871</v>
      </c>
    </row>
    <row r="38" spans="2:3" x14ac:dyDescent="0.3">
      <c r="B38" s="98" t="s">
        <v>769</v>
      </c>
      <c r="C38" s="97" t="s">
        <v>871</v>
      </c>
    </row>
    <row r="39" spans="2:3" ht="28.8" x14ac:dyDescent="0.3">
      <c r="B39" s="98" t="s">
        <v>752</v>
      </c>
      <c r="C39" s="97" t="s">
        <v>869</v>
      </c>
    </row>
    <row r="40" spans="2:3" ht="28.8" x14ac:dyDescent="0.3">
      <c r="B40" s="98" t="s">
        <v>789</v>
      </c>
      <c r="C40" s="97" t="s">
        <v>870</v>
      </c>
    </row>
    <row r="43" spans="2:3" x14ac:dyDescent="0.3">
      <c r="B43" s="167" t="s">
        <v>770</v>
      </c>
      <c r="C43" s="168"/>
    </row>
    <row r="44" spans="2:3" ht="43.2" x14ac:dyDescent="0.3">
      <c r="B44" s="98" t="s">
        <v>771</v>
      </c>
      <c r="C44" s="97" t="s">
        <v>865</v>
      </c>
    </row>
    <row r="45" spans="2:3" ht="43.2" x14ac:dyDescent="0.3">
      <c r="B45" s="98" t="s">
        <v>772</v>
      </c>
      <c r="C45" s="97" t="s">
        <v>866</v>
      </c>
    </row>
    <row r="46" spans="2:3" ht="28.8" x14ac:dyDescent="0.3">
      <c r="B46" s="98" t="s">
        <v>773</v>
      </c>
      <c r="C46" s="97" t="s">
        <v>867</v>
      </c>
    </row>
  </sheetData>
  <mergeCells count="6">
    <mergeCell ref="B43:C43"/>
    <mergeCell ref="B2:C2"/>
    <mergeCell ref="B8:C8"/>
    <mergeCell ref="B13:C13"/>
    <mergeCell ref="B30:C30"/>
    <mergeCell ref="B35:C35"/>
  </mergeCells>
  <dataValidations count="1">
    <dataValidation type="list" allowBlank="1" showInputMessage="1" showErrorMessage="1" sqref="C3">
      <formula1>Programs</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windowProtection="1" zoomScale="55" zoomScaleNormal="55" workbookViewId="0">
      <selection activeCell="D31" sqref="D31"/>
    </sheetView>
  </sheetViews>
  <sheetFormatPr defaultColWidth="8.88671875" defaultRowHeight="14.4" x14ac:dyDescent="0.3"/>
  <cols>
    <col min="2" max="2" width="18.44140625" customWidth="1"/>
    <col min="3" max="3" width="26.5546875" customWidth="1"/>
    <col min="4" max="4" width="31" customWidth="1"/>
    <col min="5" max="5" width="19.5546875" customWidth="1"/>
    <col min="6" max="6" width="22.33203125" bestFit="1" customWidth="1"/>
    <col min="7" max="11" width="13.44140625" bestFit="1" customWidth="1"/>
    <col min="12" max="21" width="14.6640625" customWidth="1"/>
    <col min="23" max="23" width="14" customWidth="1"/>
    <col min="24" max="24" width="39.109375" customWidth="1"/>
    <col min="25" max="25" width="12.33203125" customWidth="1"/>
  </cols>
  <sheetData>
    <row r="1" spans="2:28" ht="23.4" x14ac:dyDescent="0.45">
      <c r="B1" s="101" t="s">
        <v>774</v>
      </c>
      <c r="C1" s="101" t="str">
        <f>'Program Analysis'!C3</f>
        <v>Federal Appliance Standards</v>
      </c>
      <c r="D1" s="102"/>
    </row>
    <row r="2" spans="2:28" ht="23.4" x14ac:dyDescent="0.45">
      <c r="B2" s="101" t="s">
        <v>775</v>
      </c>
      <c r="C2" s="101" t="s">
        <v>393</v>
      </c>
      <c r="D2" s="102"/>
    </row>
    <row r="4" spans="2:28" s="22" customFormat="1" ht="15.6" x14ac:dyDescent="0.3">
      <c r="B4" s="103"/>
      <c r="G4" s="104"/>
      <c r="H4" s="104"/>
      <c r="I4" s="104"/>
      <c r="J4" s="104"/>
      <c r="K4" s="104"/>
      <c r="L4" s="104"/>
      <c r="M4" s="104"/>
      <c r="N4" s="104"/>
      <c r="O4" s="104"/>
      <c r="P4" s="104"/>
      <c r="Q4" s="104"/>
      <c r="R4" s="104"/>
      <c r="S4" s="104"/>
      <c r="T4" s="104"/>
      <c r="U4" s="104"/>
    </row>
    <row r="5" spans="2:28" s="22" customFormat="1" ht="15" thickBot="1" x14ac:dyDescent="0.35">
      <c r="G5" s="104"/>
      <c r="H5" s="104"/>
      <c r="I5" s="104"/>
      <c r="J5" s="104"/>
      <c r="K5" s="104"/>
      <c r="L5" s="104"/>
      <c r="M5" s="104"/>
      <c r="N5" s="104"/>
      <c r="O5" s="104"/>
      <c r="P5" s="104"/>
      <c r="Q5" s="104"/>
      <c r="R5" s="104"/>
      <c r="S5" s="104"/>
      <c r="T5" s="104"/>
      <c r="U5" s="104"/>
    </row>
    <row r="6" spans="2:28" ht="24" thickBot="1" x14ac:dyDescent="0.5">
      <c r="B6" s="178" t="s">
        <v>756</v>
      </c>
      <c r="C6" s="179"/>
      <c r="D6" s="179"/>
      <c r="E6" s="179"/>
      <c r="F6" s="179"/>
      <c r="G6" s="179"/>
      <c r="H6" s="179"/>
      <c r="I6" s="179"/>
      <c r="J6" s="179"/>
      <c r="K6" s="179"/>
      <c r="L6" s="179"/>
      <c r="M6" s="179"/>
      <c r="N6" s="179"/>
      <c r="O6" s="179"/>
      <c r="P6" s="179"/>
      <c r="Q6" s="179"/>
      <c r="R6" s="179"/>
      <c r="S6" s="179"/>
      <c r="T6" s="179"/>
      <c r="U6" s="180"/>
      <c r="V6" s="102"/>
      <c r="W6" s="102"/>
    </row>
    <row r="7" spans="2:28" s="110" customFormat="1" ht="18.600000000000001" thickBot="1" x14ac:dyDescent="0.4">
      <c r="B7" s="105" t="s">
        <v>776</v>
      </c>
      <c r="C7" s="106" t="s">
        <v>777</v>
      </c>
      <c r="D7" s="106" t="s">
        <v>778</v>
      </c>
      <c r="E7" s="106" t="s">
        <v>779</v>
      </c>
      <c r="F7" s="107" t="s">
        <v>780</v>
      </c>
      <c r="G7" s="106">
        <v>2015</v>
      </c>
      <c r="H7" s="106">
        <v>2016</v>
      </c>
      <c r="I7" s="106">
        <v>2017</v>
      </c>
      <c r="J7" s="106">
        <v>2018</v>
      </c>
      <c r="K7" s="106">
        <v>2019</v>
      </c>
      <c r="L7" s="106">
        <v>2020</v>
      </c>
      <c r="M7" s="106">
        <v>2021</v>
      </c>
      <c r="N7" s="106">
        <v>2022</v>
      </c>
      <c r="O7" s="106">
        <v>2023</v>
      </c>
      <c r="P7" s="106">
        <v>2024</v>
      </c>
      <c r="Q7" s="106">
        <v>2025</v>
      </c>
      <c r="R7" s="106">
        <v>2026</v>
      </c>
      <c r="S7" s="106">
        <v>2027</v>
      </c>
      <c r="T7" s="106">
        <v>2028</v>
      </c>
      <c r="U7" s="108">
        <v>2029</v>
      </c>
      <c r="V7" s="109"/>
      <c r="W7" s="109"/>
      <c r="Y7"/>
      <c r="AA7" s="111"/>
      <c r="AB7" s="111"/>
    </row>
    <row r="8" spans="2:28" s="110" customFormat="1" ht="18" x14ac:dyDescent="0.35">
      <c r="B8" s="112" t="s">
        <v>781</v>
      </c>
      <c r="C8" s="113"/>
      <c r="D8" s="113"/>
      <c r="E8" s="113"/>
      <c r="F8" s="113"/>
      <c r="G8" s="174" t="s">
        <v>782</v>
      </c>
      <c r="H8" s="174"/>
      <c r="I8" s="174"/>
      <c r="J8" s="174"/>
      <c r="K8" s="174"/>
      <c r="L8" s="174"/>
      <c r="M8" s="174"/>
      <c r="N8" s="174"/>
      <c r="O8" s="174"/>
      <c r="P8" s="174"/>
      <c r="Q8" s="174"/>
      <c r="R8" s="174"/>
      <c r="S8" s="174"/>
      <c r="T8" s="174"/>
      <c r="U8" s="175"/>
      <c r="V8" s="109"/>
      <c r="W8" s="109"/>
      <c r="AA8" s="111"/>
      <c r="AB8" s="111"/>
    </row>
    <row r="9" spans="2:28" ht="14.4" customHeight="1" x14ac:dyDescent="0.3">
      <c r="B9" s="114" t="str">
        <f>VLOOKUP($C$1, 'Look-up'!$A$4:$D$20, 4, FALSE)</f>
        <v>Fed/CEC</v>
      </c>
      <c r="C9" s="115" t="str">
        <f>VLOOKUP($C$1, 'Look-up'!$A$4:$D$20, 2, FALSE)</f>
        <v>Codes &amp; Standards</v>
      </c>
      <c r="D9" s="115" t="str">
        <f>VLOOKUP($C$1, 'Look-up'!$A$4:$D$20, 1, FALSE)</f>
        <v>Federal Appliance Standards</v>
      </c>
      <c r="E9" s="115" t="s">
        <v>738</v>
      </c>
      <c r="F9" s="116" t="s">
        <v>422</v>
      </c>
      <c r="G9" s="204">
        <f>Conservative!D$48</f>
        <v>0</v>
      </c>
      <c r="H9" s="204">
        <f>Conservative!E$48</f>
        <v>0</v>
      </c>
      <c r="I9" s="204">
        <f>Conservative!F$48</f>
        <v>0</v>
      </c>
      <c r="J9" s="204">
        <f>Conservative!G$48</f>
        <v>0</v>
      </c>
      <c r="K9" s="204">
        <f>Conservative!H$48</f>
        <v>0</v>
      </c>
      <c r="L9" s="204">
        <f>Conservative!I$48</f>
        <v>0</v>
      </c>
      <c r="M9" s="204">
        <f>Conservative!J$48</f>
        <v>0</v>
      </c>
      <c r="N9" s="204">
        <f>Conservative!K$48</f>
        <v>0</v>
      </c>
      <c r="O9" s="204">
        <f>Conservative!L$48</f>
        <v>0</v>
      </c>
      <c r="P9" s="204">
        <f>Conservative!M$48</f>
        <v>0</v>
      </c>
      <c r="Q9" s="204">
        <f>Conservative!N$48</f>
        <v>23.962859999999999</v>
      </c>
      <c r="R9" s="204">
        <f>Conservative!O$48</f>
        <v>47.925719999999998</v>
      </c>
      <c r="S9" s="204">
        <f>Conservative!P$48</f>
        <v>229.16339999999997</v>
      </c>
      <c r="T9" s="204">
        <f>Conservative!Q$48</f>
        <v>429.03647999999998</v>
      </c>
      <c r="U9" s="205">
        <f>Conservative!R$48</f>
        <v>663.20298000000003</v>
      </c>
      <c r="V9" s="119"/>
      <c r="W9" s="102"/>
      <c r="AA9" s="120"/>
      <c r="AB9" s="120"/>
    </row>
    <row r="10" spans="2:28" x14ac:dyDescent="0.3">
      <c r="B10" s="121" t="str">
        <f t="shared" ref="B10:D11" si="0">B$9</f>
        <v>Fed/CEC</v>
      </c>
      <c r="C10" s="122" t="str">
        <f t="shared" si="0"/>
        <v>Codes &amp; Standards</v>
      </c>
      <c r="D10" s="122" t="str">
        <f t="shared" si="0"/>
        <v>Federal Appliance Standards</v>
      </c>
      <c r="E10" s="122" t="s">
        <v>736</v>
      </c>
      <c r="F10" s="116" t="str">
        <f>F9</f>
        <v>GWh</v>
      </c>
      <c r="G10" s="204">
        <f>Reference!D$48</f>
        <v>0</v>
      </c>
      <c r="H10" s="204">
        <f>Reference!E$48</f>
        <v>0</v>
      </c>
      <c r="I10" s="204">
        <f>Reference!F$48</f>
        <v>0</v>
      </c>
      <c r="J10" s="204">
        <f>Reference!G$48</f>
        <v>0</v>
      </c>
      <c r="K10" s="204">
        <f>Reference!H$48</f>
        <v>0</v>
      </c>
      <c r="L10" s="204">
        <f>Reference!I$48</f>
        <v>0</v>
      </c>
      <c r="M10" s="204">
        <f>Reference!J$48</f>
        <v>0</v>
      </c>
      <c r="N10" s="204">
        <f>Reference!K$48</f>
        <v>0</v>
      </c>
      <c r="O10" s="204">
        <f>Reference!L$48</f>
        <v>0</v>
      </c>
      <c r="P10" s="204">
        <f>Reference!M$48</f>
        <v>0</v>
      </c>
      <c r="Q10" s="204">
        <f>Reference!N$48</f>
        <v>23.962859999999999</v>
      </c>
      <c r="R10" s="204">
        <f>Reference!O$48</f>
        <v>157.25952000000001</v>
      </c>
      <c r="S10" s="204">
        <f>Reference!P$48</f>
        <v>447.83099999999996</v>
      </c>
      <c r="T10" s="204">
        <f>Reference!Q$48</f>
        <v>786.24863999999991</v>
      </c>
      <c r="U10" s="205">
        <f>Reference!R$48</f>
        <v>1158.9596999999999</v>
      </c>
      <c r="V10" s="102"/>
      <c r="W10" s="102"/>
    </row>
    <row r="11" spans="2:28" x14ac:dyDescent="0.3">
      <c r="B11" s="121" t="str">
        <f t="shared" si="0"/>
        <v>Fed/CEC</v>
      </c>
      <c r="C11" s="122" t="str">
        <f t="shared" si="0"/>
        <v>Codes &amp; Standards</v>
      </c>
      <c r="D11" s="122" t="str">
        <f t="shared" si="0"/>
        <v>Federal Appliance Standards</v>
      </c>
      <c r="E11" s="122" t="s">
        <v>783</v>
      </c>
      <c r="F11" s="116" t="str">
        <f>F10</f>
        <v>GWh</v>
      </c>
      <c r="G11" s="204">
        <f>Aggressive!D$48</f>
        <v>0</v>
      </c>
      <c r="H11" s="204">
        <f>Aggressive!E$48</f>
        <v>0</v>
      </c>
      <c r="I11" s="204">
        <f>Aggressive!F$48</f>
        <v>0</v>
      </c>
      <c r="J11" s="204">
        <f>Aggressive!G$48</f>
        <v>0</v>
      </c>
      <c r="K11" s="204">
        <f>Aggressive!H$48</f>
        <v>0</v>
      </c>
      <c r="L11" s="204">
        <f>Aggressive!I$48</f>
        <v>0</v>
      </c>
      <c r="M11" s="204">
        <f>Aggressive!J$48</f>
        <v>0</v>
      </c>
      <c r="N11" s="204">
        <f>Aggressive!K$48</f>
        <v>0</v>
      </c>
      <c r="O11" s="204">
        <f>Aggressive!L$48</f>
        <v>0</v>
      </c>
      <c r="P11" s="204">
        <f>Aggressive!M$48</f>
        <v>0</v>
      </c>
      <c r="Q11" s="204">
        <f>Aggressive!N$48</f>
        <v>28.191600000000001</v>
      </c>
      <c r="R11" s="204">
        <f>Aggressive!O$48</f>
        <v>185.0112</v>
      </c>
      <c r="S11" s="204">
        <f>Aggressive!P$48</f>
        <v>526.86</v>
      </c>
      <c r="T11" s="204">
        <f>Aggressive!Q$48</f>
        <v>924.99839999999995</v>
      </c>
      <c r="U11" s="205">
        <f>Aggressive!R$48</f>
        <v>1363.482</v>
      </c>
      <c r="V11" s="102"/>
      <c r="W11" s="102"/>
    </row>
    <row r="12" spans="2:28" x14ac:dyDescent="0.3">
      <c r="B12" s="123"/>
      <c r="C12" s="117"/>
      <c r="D12" s="117"/>
      <c r="E12" s="117"/>
      <c r="F12" s="124"/>
      <c r="G12" s="117"/>
      <c r="H12" s="117"/>
      <c r="I12" s="117"/>
      <c r="J12" s="117"/>
      <c r="K12" s="117"/>
      <c r="L12" s="117"/>
      <c r="M12" s="117"/>
      <c r="N12" s="117"/>
      <c r="O12" s="117"/>
      <c r="P12" s="117"/>
      <c r="Q12" s="117"/>
      <c r="R12" s="117"/>
      <c r="S12" s="117"/>
      <c r="T12" s="117"/>
      <c r="U12" s="118"/>
      <c r="V12" s="102"/>
      <c r="W12" s="102"/>
    </row>
    <row r="13" spans="2:28" s="110" customFormat="1" ht="18" x14ac:dyDescent="0.35">
      <c r="B13" s="125" t="s">
        <v>784</v>
      </c>
      <c r="C13" s="126"/>
      <c r="D13" s="126"/>
      <c r="E13" s="126"/>
      <c r="F13" s="164"/>
      <c r="G13" s="176" t="s">
        <v>785</v>
      </c>
      <c r="H13" s="176"/>
      <c r="I13" s="176"/>
      <c r="J13" s="176"/>
      <c r="K13" s="176"/>
      <c r="L13" s="176"/>
      <c r="M13" s="176"/>
      <c r="N13" s="176"/>
      <c r="O13" s="176"/>
      <c r="P13" s="176"/>
      <c r="Q13" s="176"/>
      <c r="R13" s="176"/>
      <c r="S13" s="176"/>
      <c r="T13" s="176"/>
      <c r="U13" s="177"/>
      <c r="V13" s="109"/>
      <c r="W13" s="109"/>
      <c r="AA13" s="111"/>
      <c r="AB13" s="111"/>
    </row>
    <row r="14" spans="2:28" ht="14.4" customHeight="1" x14ac:dyDescent="0.3">
      <c r="B14" s="121" t="str">
        <f>'SB 350 Potential'!B$9</f>
        <v>Fed/CEC</v>
      </c>
      <c r="C14" s="122" t="str">
        <f>'SB 350 Potential'!C$9</f>
        <v>Codes &amp; Standards</v>
      </c>
      <c r="D14" s="122" t="str">
        <f>'SB 350 Potential'!D$9</f>
        <v>Federal Appliance Standards</v>
      </c>
      <c r="E14" s="115" t="s">
        <v>738</v>
      </c>
      <c r="F14" s="124" t="s">
        <v>748</v>
      </c>
      <c r="G14" s="117">
        <f>Conservative!D$51</f>
        <v>0</v>
      </c>
      <c r="H14" s="117">
        <f>Conservative!E$51</f>
        <v>0</v>
      </c>
      <c r="I14" s="117">
        <f>Conservative!F$51</f>
        <v>0</v>
      </c>
      <c r="J14" s="117">
        <f>Conservative!G$51</f>
        <v>0</v>
      </c>
      <c r="K14" s="117">
        <f>Conservative!H$51</f>
        <v>0</v>
      </c>
      <c r="L14" s="117">
        <f>Conservative!I$51</f>
        <v>0</v>
      </c>
      <c r="M14" s="117">
        <f>Conservative!J$51</f>
        <v>0</v>
      </c>
      <c r="N14" s="117">
        <f>Conservative!K$51</f>
        <v>0</v>
      </c>
      <c r="O14" s="117">
        <f>Conservative!L$51</f>
        <v>0</v>
      </c>
      <c r="P14" s="117">
        <f>Conservative!M$51</f>
        <v>0</v>
      </c>
      <c r="Q14" s="117">
        <f>Conservative!N$51</f>
        <v>0</v>
      </c>
      <c r="R14" s="117">
        <f>Conservative!O$51</f>
        <v>0</v>
      </c>
      <c r="S14" s="117">
        <f>Conservative!P$51</f>
        <v>0</v>
      </c>
      <c r="T14" s="117">
        <f>Conservative!Q$51</f>
        <v>1.5300000000000001E-2</v>
      </c>
      <c r="U14" s="118">
        <f>Conservative!R$51</f>
        <v>1.7442</v>
      </c>
      <c r="V14" s="119"/>
      <c r="W14" s="102"/>
      <c r="AA14" s="120"/>
      <c r="AB14" s="120"/>
    </row>
    <row r="15" spans="2:28" x14ac:dyDescent="0.3">
      <c r="B15" s="121" t="str">
        <f>'SB 350 Potential'!B$9</f>
        <v>Fed/CEC</v>
      </c>
      <c r="C15" s="122" t="str">
        <f>'SB 350 Potential'!C$9</f>
        <v>Codes &amp; Standards</v>
      </c>
      <c r="D15" s="122" t="str">
        <f>'SB 350 Potential'!D$9</f>
        <v>Federal Appliance Standards</v>
      </c>
      <c r="E15" s="122" t="s">
        <v>736</v>
      </c>
      <c r="F15" s="124" t="str">
        <f t="shared" ref="F15:F16" si="1">F14</f>
        <v>MM Therms</v>
      </c>
      <c r="G15" s="117">
        <f>Reference!D$51</f>
        <v>0</v>
      </c>
      <c r="H15" s="117">
        <f>Reference!E$51</f>
        <v>0</v>
      </c>
      <c r="I15" s="117">
        <f>Reference!F$51</f>
        <v>0</v>
      </c>
      <c r="J15" s="117">
        <f>Reference!G$51</f>
        <v>0</v>
      </c>
      <c r="K15" s="117">
        <f>Reference!H$51</f>
        <v>0</v>
      </c>
      <c r="L15" s="117">
        <f>Reference!I$51</f>
        <v>0</v>
      </c>
      <c r="M15" s="117">
        <f>Reference!J$51</f>
        <v>0</v>
      </c>
      <c r="N15" s="117">
        <f>Reference!K$51</f>
        <v>0</v>
      </c>
      <c r="O15" s="117">
        <f>Reference!L$51</f>
        <v>0</v>
      </c>
      <c r="P15" s="117">
        <f>Reference!M$51</f>
        <v>0</v>
      </c>
      <c r="Q15" s="117">
        <f>Reference!N$51</f>
        <v>0</v>
      </c>
      <c r="R15" s="117">
        <f>Reference!O$51</f>
        <v>0</v>
      </c>
      <c r="S15" s="117">
        <f>Reference!P$51</f>
        <v>0</v>
      </c>
      <c r="T15" s="117">
        <f>Reference!Q$51</f>
        <v>1.5300000000000001E-2</v>
      </c>
      <c r="U15" s="118">
        <f>Reference!R$51</f>
        <v>2.6621999999999995</v>
      </c>
      <c r="V15" s="102"/>
      <c r="W15" s="102"/>
    </row>
    <row r="16" spans="2:28" ht="15" thickBot="1" x14ac:dyDescent="0.35">
      <c r="B16" s="127" t="str">
        <f>'SB 350 Potential'!B$9</f>
        <v>Fed/CEC</v>
      </c>
      <c r="C16" s="128" t="str">
        <f>'SB 350 Potential'!C$9</f>
        <v>Codes &amp; Standards</v>
      </c>
      <c r="D16" s="128" t="str">
        <f>'SB 350 Potential'!D$9</f>
        <v>Federal Appliance Standards</v>
      </c>
      <c r="E16" s="128" t="s">
        <v>783</v>
      </c>
      <c r="F16" s="129" t="str">
        <f t="shared" si="1"/>
        <v>MM Therms</v>
      </c>
      <c r="G16" s="130">
        <f>Aggressive!D$51</f>
        <v>0</v>
      </c>
      <c r="H16" s="130">
        <f>Aggressive!E$51</f>
        <v>0</v>
      </c>
      <c r="I16" s="130">
        <f>Aggressive!F$51</f>
        <v>0</v>
      </c>
      <c r="J16" s="130">
        <f>Aggressive!G$51</f>
        <v>0</v>
      </c>
      <c r="K16" s="130">
        <f>Aggressive!H$51</f>
        <v>0</v>
      </c>
      <c r="L16" s="130">
        <f>Aggressive!I$51</f>
        <v>0</v>
      </c>
      <c r="M16" s="130">
        <f>Aggressive!J$51</f>
        <v>0</v>
      </c>
      <c r="N16" s="130">
        <f>Aggressive!K$51</f>
        <v>0</v>
      </c>
      <c r="O16" s="130">
        <f>Aggressive!L$51</f>
        <v>0</v>
      </c>
      <c r="P16" s="130">
        <f>Aggressive!M$51</f>
        <v>0</v>
      </c>
      <c r="Q16" s="130">
        <f>Aggressive!N$51</f>
        <v>0</v>
      </c>
      <c r="R16" s="130">
        <f>Aggressive!O$51</f>
        <v>0</v>
      </c>
      <c r="S16" s="130">
        <f>Aggressive!P$51</f>
        <v>0</v>
      </c>
      <c r="T16" s="130">
        <f>Aggressive!Q$51</f>
        <v>1.8000000000000002E-2</v>
      </c>
      <c r="U16" s="131">
        <f>Aggressive!R$51</f>
        <v>3.1319999999999997</v>
      </c>
      <c r="V16" s="102"/>
      <c r="W16" s="102"/>
    </row>
    <row r="17" spans="2:28" x14ac:dyDescent="0.3">
      <c r="B17" s="132"/>
      <c r="C17" s="132"/>
      <c r="D17" s="132"/>
      <c r="E17" s="132"/>
      <c r="F17" s="132"/>
      <c r="G17" s="132"/>
      <c r="H17" s="132"/>
      <c r="I17" s="132"/>
      <c r="J17" s="132"/>
      <c r="K17" s="132"/>
      <c r="L17" s="132"/>
      <c r="M17" s="132"/>
      <c r="N17" s="132"/>
      <c r="O17" s="132"/>
      <c r="P17" s="132"/>
      <c r="Q17" s="132"/>
      <c r="R17" s="132"/>
      <c r="S17" s="132"/>
      <c r="T17" s="132"/>
      <c r="U17" s="132"/>
      <c r="V17" s="102"/>
      <c r="W17" s="102"/>
    </row>
    <row r="18" spans="2:28" x14ac:dyDescent="0.3">
      <c r="B18" s="132"/>
      <c r="C18" s="132"/>
      <c r="D18" s="132"/>
      <c r="E18" s="132"/>
      <c r="F18" s="132"/>
      <c r="G18" s="132"/>
      <c r="H18" s="132"/>
      <c r="I18" s="132"/>
      <c r="J18" s="132"/>
      <c r="K18" s="132"/>
      <c r="L18" s="132"/>
      <c r="M18" s="132"/>
      <c r="N18" s="132"/>
      <c r="O18" s="132"/>
      <c r="P18" s="132"/>
      <c r="Q18" s="132"/>
      <c r="R18" s="132"/>
      <c r="S18" s="132"/>
      <c r="T18" s="132"/>
      <c r="U18" s="132"/>
      <c r="V18" s="102"/>
      <c r="W18" s="102"/>
    </row>
    <row r="19" spans="2:28" ht="15" thickBot="1" x14ac:dyDescent="0.35">
      <c r="B19" s="132"/>
      <c r="C19" s="132"/>
      <c r="D19" s="132"/>
      <c r="E19" s="132"/>
      <c r="F19" s="132"/>
      <c r="G19" s="132"/>
      <c r="H19" s="132"/>
      <c r="I19" s="132"/>
      <c r="J19" s="132"/>
      <c r="K19" s="132"/>
      <c r="L19" s="132"/>
      <c r="M19" s="132"/>
      <c r="N19" s="132"/>
      <c r="O19" s="132"/>
      <c r="P19" s="132"/>
      <c r="Q19" s="132"/>
      <c r="R19" s="132"/>
      <c r="S19" s="132"/>
      <c r="T19" s="132"/>
      <c r="U19" s="132"/>
      <c r="V19" s="102"/>
      <c r="W19" s="102"/>
    </row>
    <row r="20" spans="2:28" ht="24" thickBot="1" x14ac:dyDescent="0.5">
      <c r="B20" s="181" t="s">
        <v>786</v>
      </c>
      <c r="C20" s="182"/>
      <c r="D20" s="182"/>
      <c r="E20" s="182"/>
      <c r="F20" s="182"/>
      <c r="G20" s="182"/>
      <c r="H20" s="182"/>
      <c r="I20" s="182"/>
      <c r="J20" s="182"/>
      <c r="K20" s="182"/>
      <c r="L20" s="182"/>
      <c r="M20" s="182"/>
      <c r="N20" s="182"/>
      <c r="O20" s="182"/>
      <c r="P20" s="182"/>
      <c r="Q20" s="182"/>
      <c r="R20" s="182"/>
      <c r="S20" s="182"/>
      <c r="T20" s="182"/>
      <c r="U20" s="183"/>
      <c r="V20" s="102"/>
      <c r="W20" s="102"/>
    </row>
    <row r="21" spans="2:28" s="110" customFormat="1" ht="18.600000000000001" thickBot="1" x14ac:dyDescent="0.4">
      <c r="B21" s="133" t="s">
        <v>776</v>
      </c>
      <c r="C21" s="134" t="s">
        <v>777</v>
      </c>
      <c r="D21" s="134" t="s">
        <v>778</v>
      </c>
      <c r="E21" s="134" t="s">
        <v>779</v>
      </c>
      <c r="F21" s="135" t="s">
        <v>780</v>
      </c>
      <c r="G21" s="136">
        <v>2015</v>
      </c>
      <c r="H21" s="136">
        <v>2016</v>
      </c>
      <c r="I21" s="136">
        <v>2017</v>
      </c>
      <c r="J21" s="136">
        <v>2018</v>
      </c>
      <c r="K21" s="136">
        <v>2019</v>
      </c>
      <c r="L21" s="136">
        <v>2020</v>
      </c>
      <c r="M21" s="136">
        <v>2021</v>
      </c>
      <c r="N21" s="136">
        <v>2022</v>
      </c>
      <c r="O21" s="136">
        <v>2023</v>
      </c>
      <c r="P21" s="136">
        <v>2024</v>
      </c>
      <c r="Q21" s="136">
        <v>2025</v>
      </c>
      <c r="R21" s="136">
        <v>2026</v>
      </c>
      <c r="S21" s="136">
        <v>2027</v>
      </c>
      <c r="T21" s="136">
        <v>2028</v>
      </c>
      <c r="U21" s="137">
        <v>2029</v>
      </c>
      <c r="V21" s="109"/>
      <c r="W21" s="109"/>
      <c r="Y21"/>
      <c r="AA21" s="111"/>
      <c r="AB21" s="111"/>
    </row>
    <row r="22" spans="2:28" s="110" customFormat="1" ht="18" x14ac:dyDescent="0.35">
      <c r="B22" s="138" t="s">
        <v>781</v>
      </c>
      <c r="C22" s="139"/>
      <c r="D22" s="139"/>
      <c r="E22" s="139"/>
      <c r="F22" s="139"/>
      <c r="G22" s="174" t="s">
        <v>782</v>
      </c>
      <c r="H22" s="174"/>
      <c r="I22" s="174"/>
      <c r="J22" s="174"/>
      <c r="K22" s="174"/>
      <c r="L22" s="174"/>
      <c r="M22" s="174"/>
      <c r="N22" s="174"/>
      <c r="O22" s="174"/>
      <c r="P22" s="174"/>
      <c r="Q22" s="174"/>
      <c r="R22" s="174"/>
      <c r="S22" s="174"/>
      <c r="T22" s="174"/>
      <c r="U22" s="175"/>
      <c r="V22" s="109"/>
      <c r="W22" s="109"/>
      <c r="AA22" s="111"/>
      <c r="AB22" s="111"/>
    </row>
    <row r="23" spans="2:28" ht="14.4" customHeight="1" x14ac:dyDescent="0.3">
      <c r="B23" s="121" t="str">
        <f>'SB 350 Potential'!B$9</f>
        <v>Fed/CEC</v>
      </c>
      <c r="C23" s="122" t="str">
        <f>'SB 350 Potential'!C$9</f>
        <v>Codes &amp; Standards</v>
      </c>
      <c r="D23" s="122" t="str">
        <f>'SB 350 Potential'!D$9</f>
        <v>Federal Appliance Standards</v>
      </c>
      <c r="E23" s="115" t="s">
        <v>738</v>
      </c>
      <c r="F23" s="116" t="s">
        <v>422</v>
      </c>
      <c r="G23" s="204">
        <f>Conservative!D$47</f>
        <v>0</v>
      </c>
      <c r="H23" s="204">
        <f>Conservative!E$47</f>
        <v>0</v>
      </c>
      <c r="I23" s="204">
        <f>Conservative!F$47</f>
        <v>0</v>
      </c>
      <c r="J23" s="204">
        <f>Conservative!G$47</f>
        <v>0</v>
      </c>
      <c r="K23" s="204">
        <f>Conservative!H$47</f>
        <v>0</v>
      </c>
      <c r="L23" s="204">
        <f>Conservative!I$47</f>
        <v>0</v>
      </c>
      <c r="M23" s="204">
        <f>Conservative!J$47</f>
        <v>0</v>
      </c>
      <c r="N23" s="204">
        <f>Conservative!K$47</f>
        <v>0</v>
      </c>
      <c r="O23" s="204">
        <f>Conservative!L$47</f>
        <v>0</v>
      </c>
      <c r="P23" s="204">
        <f>Conservative!M$47</f>
        <v>22.888800000000003</v>
      </c>
      <c r="Q23" s="204">
        <f>Conservative!N$47</f>
        <v>526.99779000000012</v>
      </c>
      <c r="R23" s="204">
        <f>Conservative!O$47</f>
        <v>1195.8877800000002</v>
      </c>
      <c r="S23" s="204">
        <f>Conservative!P$47</f>
        <v>1873.8047700000004</v>
      </c>
      <c r="T23" s="204">
        <f>Conservative!Q$47</f>
        <v>2551.7217600000004</v>
      </c>
      <c r="U23" s="205">
        <f>Conservative!R$47</f>
        <v>3242.4295500000007</v>
      </c>
      <c r="V23" s="119"/>
      <c r="W23" s="102"/>
      <c r="AA23" s="120"/>
      <c r="AB23" s="120"/>
    </row>
    <row r="24" spans="2:28" x14ac:dyDescent="0.3">
      <c r="B24" s="121" t="str">
        <f>'SB 350 Potential'!B$9</f>
        <v>Fed/CEC</v>
      </c>
      <c r="C24" s="122" t="str">
        <f>'SB 350 Potential'!C$9</f>
        <v>Codes &amp; Standards</v>
      </c>
      <c r="D24" s="122" t="str">
        <f>'SB 350 Potential'!D$9</f>
        <v>Federal Appliance Standards</v>
      </c>
      <c r="E24" s="122" t="s">
        <v>736</v>
      </c>
      <c r="F24" s="116" t="str">
        <f t="shared" ref="F24:F25" si="2">F23</f>
        <v>GWh</v>
      </c>
      <c r="G24" s="204">
        <f>Reference!D$47</f>
        <v>0</v>
      </c>
      <c r="H24" s="204">
        <f>Reference!E$47</f>
        <v>0</v>
      </c>
      <c r="I24" s="204">
        <f>Reference!F$47</f>
        <v>0</v>
      </c>
      <c r="J24" s="204">
        <f>Reference!G$47</f>
        <v>0</v>
      </c>
      <c r="K24" s="204">
        <f>Reference!H$47</f>
        <v>0</v>
      </c>
      <c r="L24" s="204">
        <f>Reference!I$47</f>
        <v>0</v>
      </c>
      <c r="M24" s="204">
        <f>Reference!J$47</f>
        <v>0</v>
      </c>
      <c r="N24" s="204">
        <f>Reference!K$47</f>
        <v>0</v>
      </c>
      <c r="O24" s="204">
        <f>Reference!L$47</f>
        <v>0</v>
      </c>
      <c r="P24" s="204">
        <f>Reference!M$47</f>
        <v>22.888800000000003</v>
      </c>
      <c r="Q24" s="204">
        <f>Reference!N$47</f>
        <v>526.99779000000012</v>
      </c>
      <c r="R24" s="204">
        <f>Reference!O$47</f>
        <v>1195.8877800000002</v>
      </c>
      <c r="S24" s="204">
        <f>Reference!P$47</f>
        <v>1873.8047700000004</v>
      </c>
      <c r="T24" s="204">
        <f>Reference!Q$47</f>
        <v>2551.7217600000004</v>
      </c>
      <c r="U24" s="205">
        <f>Reference!R$47</f>
        <v>3257.8794900000003</v>
      </c>
      <c r="V24" s="102"/>
      <c r="W24" s="102"/>
    </row>
    <row r="25" spans="2:28" x14ac:dyDescent="0.3">
      <c r="B25" s="121" t="str">
        <f>'SB 350 Potential'!B$9</f>
        <v>Fed/CEC</v>
      </c>
      <c r="C25" s="122" t="str">
        <f>'SB 350 Potential'!C$9</f>
        <v>Codes &amp; Standards</v>
      </c>
      <c r="D25" s="122" t="str">
        <f>'SB 350 Potential'!D$9</f>
        <v>Federal Appliance Standards</v>
      </c>
      <c r="E25" s="122" t="s">
        <v>783</v>
      </c>
      <c r="F25" s="116" t="str">
        <f t="shared" si="2"/>
        <v>GWh</v>
      </c>
      <c r="G25" s="204">
        <f>Aggressive!D$47</f>
        <v>0</v>
      </c>
      <c r="H25" s="204">
        <f>Aggressive!E$47</f>
        <v>0</v>
      </c>
      <c r="I25" s="204">
        <f>Aggressive!F$47</f>
        <v>0</v>
      </c>
      <c r="J25" s="204">
        <f>Aggressive!G$47</f>
        <v>0</v>
      </c>
      <c r="K25" s="204">
        <f>Aggressive!H$47</f>
        <v>0</v>
      </c>
      <c r="L25" s="204">
        <f>Aggressive!I$47</f>
        <v>0</v>
      </c>
      <c r="M25" s="204">
        <f>Aggressive!J$47</f>
        <v>0</v>
      </c>
      <c r="N25" s="204">
        <f>Aggressive!K$47</f>
        <v>0</v>
      </c>
      <c r="O25" s="204">
        <f>Aggressive!L$47</f>
        <v>0</v>
      </c>
      <c r="P25" s="204">
        <f>Aggressive!M$47</f>
        <v>26.928000000000004</v>
      </c>
      <c r="Q25" s="204">
        <f>Aggressive!N$47</f>
        <v>619.99739999999997</v>
      </c>
      <c r="R25" s="204">
        <f>Aggressive!O$47</f>
        <v>1406.9268</v>
      </c>
      <c r="S25" s="204">
        <f>Aggressive!P$47</f>
        <v>2204.4762000000001</v>
      </c>
      <c r="T25" s="204">
        <f>Aggressive!Q$47</f>
        <v>3002.0255999999999</v>
      </c>
      <c r="U25" s="205">
        <f>Aggressive!R$47</f>
        <v>3832.7993999999999</v>
      </c>
      <c r="V25" s="102"/>
      <c r="W25" s="102"/>
    </row>
    <row r="26" spans="2:28" x14ac:dyDescent="0.3">
      <c r="B26" s="121"/>
      <c r="C26" s="122"/>
      <c r="D26" s="122"/>
      <c r="E26" s="122"/>
      <c r="F26" s="140"/>
      <c r="G26" s="117"/>
      <c r="H26" s="117"/>
      <c r="I26" s="117"/>
      <c r="J26" s="117"/>
      <c r="K26" s="117"/>
      <c r="L26" s="117"/>
      <c r="M26" s="117"/>
      <c r="N26" s="117"/>
      <c r="O26" s="117"/>
      <c r="P26" s="117"/>
      <c r="Q26" s="117"/>
      <c r="R26" s="117"/>
      <c r="S26" s="117"/>
      <c r="T26" s="117"/>
      <c r="U26" s="118"/>
      <c r="V26" s="102"/>
      <c r="W26" s="102"/>
    </row>
    <row r="27" spans="2:28" s="110" customFormat="1" ht="18" x14ac:dyDescent="0.35">
      <c r="B27" s="141" t="s">
        <v>784</v>
      </c>
      <c r="C27" s="142"/>
      <c r="D27" s="142"/>
      <c r="E27" s="142"/>
      <c r="F27" s="143"/>
      <c r="G27" s="176" t="s">
        <v>785</v>
      </c>
      <c r="H27" s="176"/>
      <c r="I27" s="176"/>
      <c r="J27" s="176"/>
      <c r="K27" s="176"/>
      <c r="L27" s="176"/>
      <c r="M27" s="176"/>
      <c r="N27" s="176"/>
      <c r="O27" s="176"/>
      <c r="P27" s="176"/>
      <c r="Q27" s="176"/>
      <c r="R27" s="176"/>
      <c r="S27" s="176"/>
      <c r="T27" s="176"/>
      <c r="U27" s="177"/>
      <c r="V27" s="109"/>
      <c r="W27" s="109"/>
      <c r="AA27" s="111"/>
      <c r="AB27" s="111"/>
    </row>
    <row r="28" spans="2:28" ht="14.4" customHeight="1" x14ac:dyDescent="0.3">
      <c r="B28" s="121" t="str">
        <f>'SB 350 Potential'!B$9</f>
        <v>Fed/CEC</v>
      </c>
      <c r="C28" s="122" t="str">
        <f>'SB 350 Potential'!C$9</f>
        <v>Codes &amp; Standards</v>
      </c>
      <c r="D28" s="122" t="str">
        <f>'SB 350 Potential'!D$9</f>
        <v>Federal Appliance Standards</v>
      </c>
      <c r="E28" s="115" t="str">
        <f t="shared" ref="E28:E30" si="3">E23</f>
        <v>Conservative</v>
      </c>
      <c r="F28" s="116" t="s">
        <v>748</v>
      </c>
      <c r="G28" s="117">
        <f>Conservative!D$50</f>
        <v>0</v>
      </c>
      <c r="H28" s="117">
        <f>Conservative!E$50</f>
        <v>0</v>
      </c>
      <c r="I28" s="117">
        <f>Conservative!F$50</f>
        <v>0</v>
      </c>
      <c r="J28" s="117">
        <f>Conservative!G$50</f>
        <v>0</v>
      </c>
      <c r="K28" s="117">
        <f>Conservative!H$50</f>
        <v>0</v>
      </c>
      <c r="L28" s="117">
        <f>Conservative!I$50</f>
        <v>0</v>
      </c>
      <c r="M28" s="117">
        <f>Conservative!J$50</f>
        <v>0</v>
      </c>
      <c r="N28" s="117">
        <f>Conservative!K$50</f>
        <v>0</v>
      </c>
      <c r="O28" s="117">
        <f>Conservative!L$50</f>
        <v>0</v>
      </c>
      <c r="P28" s="117">
        <f>Conservative!M$50</f>
        <v>1.2392999999999998</v>
      </c>
      <c r="Q28" s="117">
        <f>Conservative!N$50</f>
        <v>16.317449999999997</v>
      </c>
      <c r="R28" s="117">
        <f>Conservative!O$50</f>
        <v>33.002099999999999</v>
      </c>
      <c r="S28" s="117">
        <f>Conservative!P$50</f>
        <v>49.686749999999996</v>
      </c>
      <c r="T28" s="117">
        <f>Conservative!Q$50</f>
        <v>66.371399999999994</v>
      </c>
      <c r="U28" s="118">
        <f>Conservative!R$50</f>
        <v>83.056049999999999</v>
      </c>
      <c r="V28" s="119"/>
      <c r="W28" s="102"/>
      <c r="AA28" s="120"/>
      <c r="AB28" s="120"/>
    </row>
    <row r="29" spans="2:28" x14ac:dyDescent="0.3">
      <c r="B29" s="121" t="str">
        <f>'SB 350 Potential'!B$9</f>
        <v>Fed/CEC</v>
      </c>
      <c r="C29" s="122" t="str">
        <f>'SB 350 Potential'!C$9</f>
        <v>Codes &amp; Standards</v>
      </c>
      <c r="D29" s="122" t="str">
        <f>'SB 350 Potential'!D$9</f>
        <v>Federal Appliance Standards</v>
      </c>
      <c r="E29" s="122" t="str">
        <f t="shared" si="3"/>
        <v>Reference</v>
      </c>
      <c r="F29" s="140" t="str">
        <f t="shared" ref="F29:F30" si="4">F28</f>
        <v>MM Therms</v>
      </c>
      <c r="G29" s="117">
        <f>Reference!D$50</f>
        <v>0</v>
      </c>
      <c r="H29" s="117">
        <f>Reference!E$50</f>
        <v>0</v>
      </c>
      <c r="I29" s="117">
        <f>Reference!F$50</f>
        <v>0</v>
      </c>
      <c r="J29" s="117">
        <f>Reference!G$50</f>
        <v>0</v>
      </c>
      <c r="K29" s="117">
        <f>Reference!H$50</f>
        <v>0</v>
      </c>
      <c r="L29" s="117">
        <f>Reference!I$50</f>
        <v>0</v>
      </c>
      <c r="M29" s="117">
        <f>Reference!J$50</f>
        <v>0</v>
      </c>
      <c r="N29" s="117">
        <f>Reference!K$50</f>
        <v>0</v>
      </c>
      <c r="O29" s="117">
        <f>Reference!L$50</f>
        <v>0</v>
      </c>
      <c r="P29" s="117">
        <f>Reference!M$50</f>
        <v>1.2392999999999998</v>
      </c>
      <c r="Q29" s="117">
        <f>Reference!N$50</f>
        <v>16.317449999999997</v>
      </c>
      <c r="R29" s="117">
        <f>Reference!O$50</f>
        <v>33.002099999999999</v>
      </c>
      <c r="S29" s="117">
        <f>Reference!P$50</f>
        <v>49.686749999999996</v>
      </c>
      <c r="T29" s="117">
        <f>Reference!Q$50</f>
        <v>66.371399999999994</v>
      </c>
      <c r="U29" s="118">
        <f>Reference!R$50</f>
        <v>83.056049999999999</v>
      </c>
      <c r="V29" s="102"/>
      <c r="W29" s="102"/>
    </row>
    <row r="30" spans="2:28" ht="15" thickBot="1" x14ac:dyDescent="0.35">
      <c r="B30" s="127" t="str">
        <f>'SB 350 Potential'!B$9</f>
        <v>Fed/CEC</v>
      </c>
      <c r="C30" s="128" t="str">
        <f>'SB 350 Potential'!C$9</f>
        <v>Codes &amp; Standards</v>
      </c>
      <c r="D30" s="128" t="str">
        <f>'SB 350 Potential'!D$9</f>
        <v>Federal Appliance Standards</v>
      </c>
      <c r="E30" s="128" t="str">
        <f t="shared" si="3"/>
        <v>Aggressive</v>
      </c>
      <c r="F30" s="144" t="str">
        <f t="shared" si="4"/>
        <v>MM Therms</v>
      </c>
      <c r="G30" s="130">
        <f>Aggressive!D$50</f>
        <v>0</v>
      </c>
      <c r="H30" s="130">
        <f>Aggressive!E$50</f>
        <v>0</v>
      </c>
      <c r="I30" s="130">
        <f>Aggressive!F$50</f>
        <v>0</v>
      </c>
      <c r="J30" s="130">
        <f>Aggressive!G$50</f>
        <v>0</v>
      </c>
      <c r="K30" s="130">
        <f>Aggressive!H$50</f>
        <v>0</v>
      </c>
      <c r="L30" s="130">
        <f>Aggressive!I$50</f>
        <v>0</v>
      </c>
      <c r="M30" s="130">
        <f>Aggressive!J$50</f>
        <v>0</v>
      </c>
      <c r="N30" s="130">
        <f>Aggressive!K$50</f>
        <v>0</v>
      </c>
      <c r="O30" s="130">
        <f>Aggressive!L$50</f>
        <v>0</v>
      </c>
      <c r="P30" s="130">
        <f>Aggressive!M$50</f>
        <v>1.458</v>
      </c>
      <c r="Q30" s="130">
        <f>Aggressive!N$50</f>
        <v>19.196999999999999</v>
      </c>
      <c r="R30" s="130">
        <f>Aggressive!O$50</f>
        <v>38.826000000000001</v>
      </c>
      <c r="S30" s="130">
        <f>Aggressive!P$50</f>
        <v>58.454999999999998</v>
      </c>
      <c r="T30" s="130">
        <f>Aggressive!Q$50</f>
        <v>78.084000000000003</v>
      </c>
      <c r="U30" s="131">
        <f>Aggressive!R$50</f>
        <v>97.713000000000008</v>
      </c>
      <c r="V30" s="102"/>
      <c r="W30" s="102"/>
    </row>
    <row r="31" spans="2:28" x14ac:dyDescent="0.3">
      <c r="B31" s="132"/>
      <c r="C31" s="132"/>
      <c r="D31" s="132"/>
      <c r="E31" s="132"/>
      <c r="F31" s="132"/>
      <c r="G31" s="132"/>
      <c r="H31" s="132"/>
      <c r="I31" s="132"/>
      <c r="J31" s="132"/>
      <c r="K31" s="132"/>
      <c r="L31" s="132"/>
      <c r="M31" s="132"/>
      <c r="N31" s="132"/>
      <c r="O31" s="132"/>
      <c r="P31" s="132"/>
      <c r="Q31" s="132"/>
      <c r="R31" s="132"/>
      <c r="S31" s="132"/>
      <c r="T31" s="132"/>
      <c r="U31" s="132"/>
      <c r="V31" s="102"/>
      <c r="W31" s="102"/>
    </row>
    <row r="32" spans="2:28" x14ac:dyDescent="0.3">
      <c r="B32" s="132"/>
      <c r="C32" s="132"/>
      <c r="D32" s="132"/>
      <c r="E32" s="132"/>
      <c r="F32" s="132"/>
      <c r="G32" s="132"/>
      <c r="H32" s="132"/>
      <c r="I32" s="132"/>
      <c r="J32" s="132"/>
      <c r="K32" s="132"/>
      <c r="L32" s="132"/>
      <c r="M32" s="132"/>
      <c r="N32" s="132"/>
      <c r="O32" s="132"/>
      <c r="P32" s="132"/>
      <c r="Q32" s="132"/>
      <c r="R32" s="132"/>
      <c r="S32" s="132"/>
      <c r="T32" s="132"/>
      <c r="U32" s="132"/>
      <c r="V32" s="102"/>
      <c r="W32" s="102"/>
    </row>
    <row r="33" spans="2:28" ht="15" thickBot="1" x14ac:dyDescent="0.35">
      <c r="B33" s="132"/>
      <c r="C33" s="132"/>
      <c r="D33" s="132"/>
      <c r="E33" s="132"/>
      <c r="F33" s="132"/>
      <c r="G33" s="132"/>
      <c r="H33" s="132"/>
      <c r="I33" s="132"/>
      <c r="J33" s="132"/>
      <c r="K33" s="132"/>
      <c r="L33" s="132"/>
      <c r="M33" s="132"/>
      <c r="N33" s="132"/>
      <c r="O33" s="132"/>
      <c r="P33" s="132"/>
      <c r="Q33" s="132"/>
      <c r="R33" s="132"/>
      <c r="S33" s="132"/>
      <c r="T33" s="132"/>
      <c r="U33" s="132"/>
      <c r="V33" s="102"/>
      <c r="W33" s="102"/>
    </row>
    <row r="34" spans="2:28" ht="24" thickBot="1" x14ac:dyDescent="0.5">
      <c r="B34" s="171" t="s">
        <v>787</v>
      </c>
      <c r="C34" s="172"/>
      <c r="D34" s="172"/>
      <c r="E34" s="172"/>
      <c r="F34" s="172"/>
      <c r="G34" s="172"/>
      <c r="H34" s="172"/>
      <c r="I34" s="172"/>
      <c r="J34" s="172"/>
      <c r="K34" s="172"/>
      <c r="L34" s="172"/>
      <c r="M34" s="172"/>
      <c r="N34" s="172"/>
      <c r="O34" s="172"/>
      <c r="P34" s="172"/>
      <c r="Q34" s="172"/>
      <c r="R34" s="172"/>
      <c r="S34" s="172"/>
      <c r="T34" s="172"/>
      <c r="U34" s="173"/>
      <c r="V34" s="102"/>
      <c r="W34" s="102"/>
    </row>
    <row r="35" spans="2:28" s="110" customFormat="1" ht="18.600000000000001" thickBot="1" x14ac:dyDescent="0.4">
      <c r="B35" s="145" t="s">
        <v>776</v>
      </c>
      <c r="C35" s="146" t="s">
        <v>777</v>
      </c>
      <c r="D35" s="146" t="s">
        <v>778</v>
      </c>
      <c r="E35" s="146" t="s">
        <v>779</v>
      </c>
      <c r="F35" s="147" t="s">
        <v>780</v>
      </c>
      <c r="G35" s="148">
        <v>2015</v>
      </c>
      <c r="H35" s="148">
        <v>2016</v>
      </c>
      <c r="I35" s="148">
        <v>2017</v>
      </c>
      <c r="J35" s="148">
        <v>2018</v>
      </c>
      <c r="K35" s="148">
        <v>2019</v>
      </c>
      <c r="L35" s="148">
        <v>2020</v>
      </c>
      <c r="M35" s="148">
        <v>2021</v>
      </c>
      <c r="N35" s="148">
        <v>2022</v>
      </c>
      <c r="O35" s="148">
        <v>2023</v>
      </c>
      <c r="P35" s="148">
        <v>2024</v>
      </c>
      <c r="Q35" s="148">
        <v>2025</v>
      </c>
      <c r="R35" s="148">
        <v>2026</v>
      </c>
      <c r="S35" s="148">
        <v>2027</v>
      </c>
      <c r="T35" s="148">
        <v>2028</v>
      </c>
      <c r="U35" s="149">
        <v>2029</v>
      </c>
      <c r="V35" s="109"/>
      <c r="W35" s="109"/>
      <c r="Y35"/>
      <c r="AA35" s="111"/>
      <c r="AB35" s="111"/>
    </row>
    <row r="36" spans="2:28" s="110" customFormat="1" ht="18" x14ac:dyDescent="0.35">
      <c r="B36" s="138" t="s">
        <v>781</v>
      </c>
      <c r="C36" s="139"/>
      <c r="D36" s="139"/>
      <c r="E36" s="139"/>
      <c r="F36" s="139"/>
      <c r="G36" s="174" t="s">
        <v>782</v>
      </c>
      <c r="H36" s="174"/>
      <c r="I36" s="174"/>
      <c r="J36" s="174"/>
      <c r="K36" s="174"/>
      <c r="L36" s="174"/>
      <c r="M36" s="174"/>
      <c r="N36" s="174"/>
      <c r="O36" s="174"/>
      <c r="P36" s="174"/>
      <c r="Q36" s="174"/>
      <c r="R36" s="174"/>
      <c r="S36" s="174"/>
      <c r="T36" s="174"/>
      <c r="U36" s="175"/>
      <c r="V36" s="109"/>
      <c r="W36" s="109"/>
      <c r="AA36" s="111"/>
      <c r="AB36" s="111"/>
    </row>
    <row r="37" spans="2:28" ht="14.4" customHeight="1" x14ac:dyDescent="0.3">
      <c r="B37" s="121" t="str">
        <f>'SB 350 Potential'!B$9</f>
        <v>Fed/CEC</v>
      </c>
      <c r="C37" s="122" t="str">
        <f>'SB 350 Potential'!C$9</f>
        <v>Codes &amp; Standards</v>
      </c>
      <c r="D37" s="122" t="str">
        <f>'SB 350 Potential'!D$9</f>
        <v>Federal Appliance Standards</v>
      </c>
      <c r="E37" s="115" t="s">
        <v>738</v>
      </c>
      <c r="F37" s="116" t="s">
        <v>422</v>
      </c>
      <c r="G37" s="204">
        <f>SUM(G9,G23)</f>
        <v>0</v>
      </c>
      <c r="H37" s="204">
        <f t="shared" ref="H37:U38" si="5">SUM(H9,H23)</f>
        <v>0</v>
      </c>
      <c r="I37" s="204">
        <f t="shared" si="5"/>
        <v>0</v>
      </c>
      <c r="J37" s="204">
        <f t="shared" si="5"/>
        <v>0</v>
      </c>
      <c r="K37" s="204">
        <f t="shared" si="5"/>
        <v>0</v>
      </c>
      <c r="L37" s="204">
        <f t="shared" si="5"/>
        <v>0</v>
      </c>
      <c r="M37" s="204">
        <f t="shared" si="5"/>
        <v>0</v>
      </c>
      <c r="N37" s="204">
        <f t="shared" si="5"/>
        <v>0</v>
      </c>
      <c r="O37" s="204">
        <f t="shared" si="5"/>
        <v>0</v>
      </c>
      <c r="P37" s="204">
        <f t="shared" si="5"/>
        <v>22.888800000000003</v>
      </c>
      <c r="Q37" s="204">
        <f t="shared" si="5"/>
        <v>550.9606500000001</v>
      </c>
      <c r="R37" s="204">
        <f t="shared" si="5"/>
        <v>1243.8135000000002</v>
      </c>
      <c r="S37" s="204">
        <f t="shared" si="5"/>
        <v>2102.9681700000006</v>
      </c>
      <c r="T37" s="204">
        <f t="shared" si="5"/>
        <v>2980.7582400000001</v>
      </c>
      <c r="U37" s="205">
        <f>SUM(U9,U23)</f>
        <v>3905.6325300000008</v>
      </c>
      <c r="V37" s="119"/>
      <c r="W37" s="102"/>
      <c r="AA37" s="120"/>
      <c r="AB37" s="120"/>
    </row>
    <row r="38" spans="2:28" x14ac:dyDescent="0.3">
      <c r="B38" s="121" t="str">
        <f>'SB 350 Potential'!B$9</f>
        <v>Fed/CEC</v>
      </c>
      <c r="C38" s="122" t="str">
        <f>'SB 350 Potential'!C$9</f>
        <v>Codes &amp; Standards</v>
      </c>
      <c r="D38" s="122" t="str">
        <f>'SB 350 Potential'!D$9</f>
        <v>Federal Appliance Standards</v>
      </c>
      <c r="E38" s="122" t="s">
        <v>736</v>
      </c>
      <c r="F38" s="116" t="str">
        <f t="shared" ref="F38:F39" si="6">F37</f>
        <v>GWh</v>
      </c>
      <c r="G38" s="204">
        <f>SUM(G10,G24)</f>
        <v>0</v>
      </c>
      <c r="H38" s="204">
        <f t="shared" si="5"/>
        <v>0</v>
      </c>
      <c r="I38" s="204">
        <f t="shared" si="5"/>
        <v>0</v>
      </c>
      <c r="J38" s="204">
        <f t="shared" si="5"/>
        <v>0</v>
      </c>
      <c r="K38" s="204">
        <f t="shared" si="5"/>
        <v>0</v>
      </c>
      <c r="L38" s="204">
        <f t="shared" si="5"/>
        <v>0</v>
      </c>
      <c r="M38" s="204">
        <f t="shared" si="5"/>
        <v>0</v>
      </c>
      <c r="N38" s="204">
        <f t="shared" si="5"/>
        <v>0</v>
      </c>
      <c r="O38" s="204">
        <f t="shared" si="5"/>
        <v>0</v>
      </c>
      <c r="P38" s="204">
        <f t="shared" si="5"/>
        <v>22.888800000000003</v>
      </c>
      <c r="Q38" s="204">
        <f t="shared" si="5"/>
        <v>550.9606500000001</v>
      </c>
      <c r="R38" s="204">
        <f t="shared" si="5"/>
        <v>1353.1473000000003</v>
      </c>
      <c r="S38" s="204">
        <f t="shared" si="5"/>
        <v>2321.6357700000003</v>
      </c>
      <c r="T38" s="204">
        <f t="shared" si="5"/>
        <v>3337.9704000000002</v>
      </c>
      <c r="U38" s="205">
        <f t="shared" si="5"/>
        <v>4416.8391900000006</v>
      </c>
      <c r="V38" s="102"/>
      <c r="W38" s="102"/>
    </row>
    <row r="39" spans="2:28" x14ac:dyDescent="0.3">
      <c r="B39" s="121" t="str">
        <f>'SB 350 Potential'!B$9</f>
        <v>Fed/CEC</v>
      </c>
      <c r="C39" s="122" t="str">
        <f>'SB 350 Potential'!C$9</f>
        <v>Codes &amp; Standards</v>
      </c>
      <c r="D39" s="122" t="str">
        <f>'SB 350 Potential'!D$9</f>
        <v>Federal Appliance Standards</v>
      </c>
      <c r="E39" s="122" t="s">
        <v>783</v>
      </c>
      <c r="F39" s="116" t="str">
        <f t="shared" si="6"/>
        <v>GWh</v>
      </c>
      <c r="G39" s="204">
        <f t="shared" ref="G39:U39" si="7">SUM(G11,G25)</f>
        <v>0</v>
      </c>
      <c r="H39" s="204">
        <f t="shared" si="7"/>
        <v>0</v>
      </c>
      <c r="I39" s="204">
        <f t="shared" si="7"/>
        <v>0</v>
      </c>
      <c r="J39" s="204">
        <f t="shared" si="7"/>
        <v>0</v>
      </c>
      <c r="K39" s="204">
        <f t="shared" si="7"/>
        <v>0</v>
      </c>
      <c r="L39" s="204">
        <f t="shared" si="7"/>
        <v>0</v>
      </c>
      <c r="M39" s="204">
        <f t="shared" si="7"/>
        <v>0</v>
      </c>
      <c r="N39" s="204">
        <f t="shared" si="7"/>
        <v>0</v>
      </c>
      <c r="O39" s="204">
        <f t="shared" si="7"/>
        <v>0</v>
      </c>
      <c r="P39" s="204">
        <f t="shared" si="7"/>
        <v>26.928000000000004</v>
      </c>
      <c r="Q39" s="204">
        <f t="shared" si="7"/>
        <v>648.18899999999996</v>
      </c>
      <c r="R39" s="204">
        <f t="shared" si="7"/>
        <v>1591.9379999999999</v>
      </c>
      <c r="S39" s="204">
        <f t="shared" si="7"/>
        <v>2731.3362000000002</v>
      </c>
      <c r="T39" s="204">
        <f t="shared" si="7"/>
        <v>3927.0239999999999</v>
      </c>
      <c r="U39" s="205">
        <f>SUM(U11,U25)</f>
        <v>5196.2813999999998</v>
      </c>
      <c r="V39" s="102"/>
      <c r="W39" s="102"/>
    </row>
    <row r="40" spans="2:28" x14ac:dyDescent="0.3">
      <c r="B40" s="121"/>
      <c r="C40" s="122"/>
      <c r="D40" s="122"/>
      <c r="E40" s="122"/>
      <c r="F40" s="140"/>
      <c r="G40" s="117"/>
      <c r="H40" s="117"/>
      <c r="I40" s="117"/>
      <c r="J40" s="117"/>
      <c r="K40" s="117"/>
      <c r="L40" s="117"/>
      <c r="M40" s="117"/>
      <c r="N40" s="117"/>
      <c r="O40" s="117"/>
      <c r="P40" s="117"/>
      <c r="Q40" s="117"/>
      <c r="R40" s="117"/>
      <c r="S40" s="117"/>
      <c r="T40" s="117"/>
      <c r="U40" s="118"/>
      <c r="V40" s="102"/>
      <c r="W40" s="102"/>
    </row>
    <row r="41" spans="2:28" s="110" customFormat="1" ht="18" x14ac:dyDescent="0.35">
      <c r="B41" s="141" t="s">
        <v>784</v>
      </c>
      <c r="C41" s="142"/>
      <c r="D41" s="142"/>
      <c r="E41" s="142"/>
      <c r="F41" s="143"/>
      <c r="G41" s="176" t="s">
        <v>785</v>
      </c>
      <c r="H41" s="176"/>
      <c r="I41" s="176"/>
      <c r="J41" s="176"/>
      <c r="K41" s="176"/>
      <c r="L41" s="176"/>
      <c r="M41" s="176"/>
      <c r="N41" s="176"/>
      <c r="O41" s="176"/>
      <c r="P41" s="176"/>
      <c r="Q41" s="176"/>
      <c r="R41" s="176"/>
      <c r="S41" s="176"/>
      <c r="T41" s="176"/>
      <c r="U41" s="177"/>
      <c r="V41" s="109"/>
      <c r="W41" s="109"/>
      <c r="AA41" s="111"/>
      <c r="AB41" s="111"/>
    </row>
    <row r="42" spans="2:28" ht="14.4" customHeight="1" x14ac:dyDescent="0.3">
      <c r="B42" s="121" t="str">
        <f>'SB 350 Potential'!B$9</f>
        <v>Fed/CEC</v>
      </c>
      <c r="C42" s="122" t="str">
        <f>'SB 350 Potential'!C$9</f>
        <v>Codes &amp; Standards</v>
      </c>
      <c r="D42" s="122" t="str">
        <f>'SB 350 Potential'!D$9</f>
        <v>Federal Appliance Standards</v>
      </c>
      <c r="E42" s="115" t="str">
        <f t="shared" ref="E42:E44" si="8">E37</f>
        <v>Conservative</v>
      </c>
      <c r="F42" s="116" t="s">
        <v>748</v>
      </c>
      <c r="G42" s="117">
        <f>SUM(G14,G28)</f>
        <v>0</v>
      </c>
      <c r="H42" s="117">
        <f t="shared" ref="H42:U42" si="9">SUM(H14,H28)</f>
        <v>0</v>
      </c>
      <c r="I42" s="117">
        <f t="shared" si="9"/>
        <v>0</v>
      </c>
      <c r="J42" s="117">
        <f t="shared" si="9"/>
        <v>0</v>
      </c>
      <c r="K42" s="117">
        <f t="shared" si="9"/>
        <v>0</v>
      </c>
      <c r="L42" s="117">
        <f t="shared" si="9"/>
        <v>0</v>
      </c>
      <c r="M42" s="117">
        <f t="shared" si="9"/>
        <v>0</v>
      </c>
      <c r="N42" s="117">
        <f t="shared" si="9"/>
        <v>0</v>
      </c>
      <c r="O42" s="117">
        <f t="shared" si="9"/>
        <v>0</v>
      </c>
      <c r="P42" s="117">
        <f t="shared" si="9"/>
        <v>1.2392999999999998</v>
      </c>
      <c r="Q42" s="117">
        <f t="shared" si="9"/>
        <v>16.317449999999997</v>
      </c>
      <c r="R42" s="117">
        <f t="shared" si="9"/>
        <v>33.002099999999999</v>
      </c>
      <c r="S42" s="117">
        <f t="shared" si="9"/>
        <v>49.686749999999996</v>
      </c>
      <c r="T42" s="117">
        <f t="shared" si="9"/>
        <v>66.38669999999999</v>
      </c>
      <c r="U42" s="118">
        <f t="shared" si="9"/>
        <v>84.800250000000005</v>
      </c>
      <c r="V42" s="119"/>
      <c r="W42" s="102"/>
      <c r="AA42" s="120"/>
      <c r="AB42" s="120"/>
    </row>
    <row r="43" spans="2:28" x14ac:dyDescent="0.3">
      <c r="B43" s="121" t="str">
        <f>'SB 350 Potential'!B$9</f>
        <v>Fed/CEC</v>
      </c>
      <c r="C43" s="122" t="str">
        <f>'SB 350 Potential'!C$9</f>
        <v>Codes &amp; Standards</v>
      </c>
      <c r="D43" s="122" t="str">
        <f>'SB 350 Potential'!D$9</f>
        <v>Federal Appliance Standards</v>
      </c>
      <c r="E43" s="122" t="str">
        <f t="shared" si="8"/>
        <v>Reference</v>
      </c>
      <c r="F43" s="140" t="str">
        <f t="shared" ref="F43:F44" si="10">F42</f>
        <v>MM Therms</v>
      </c>
      <c r="G43" s="117">
        <f t="shared" ref="G43:U44" si="11">SUM(G15,G29)</f>
        <v>0</v>
      </c>
      <c r="H43" s="117">
        <f t="shared" si="11"/>
        <v>0</v>
      </c>
      <c r="I43" s="117">
        <f t="shared" si="11"/>
        <v>0</v>
      </c>
      <c r="J43" s="117">
        <f t="shared" si="11"/>
        <v>0</v>
      </c>
      <c r="K43" s="117">
        <f t="shared" si="11"/>
        <v>0</v>
      </c>
      <c r="L43" s="117">
        <f t="shared" si="11"/>
        <v>0</v>
      </c>
      <c r="M43" s="117">
        <f t="shared" si="11"/>
        <v>0</v>
      </c>
      <c r="N43" s="117">
        <f t="shared" si="11"/>
        <v>0</v>
      </c>
      <c r="O43" s="117">
        <f t="shared" si="11"/>
        <v>0</v>
      </c>
      <c r="P43" s="117">
        <f t="shared" si="11"/>
        <v>1.2392999999999998</v>
      </c>
      <c r="Q43" s="117">
        <f t="shared" si="11"/>
        <v>16.317449999999997</v>
      </c>
      <c r="R43" s="117">
        <f t="shared" si="11"/>
        <v>33.002099999999999</v>
      </c>
      <c r="S43" s="117">
        <f t="shared" si="11"/>
        <v>49.686749999999996</v>
      </c>
      <c r="T43" s="117">
        <f t="shared" si="11"/>
        <v>66.38669999999999</v>
      </c>
      <c r="U43" s="118">
        <f t="shared" si="11"/>
        <v>85.718249999999998</v>
      </c>
      <c r="V43" s="102"/>
      <c r="W43" s="102"/>
    </row>
    <row r="44" spans="2:28" ht="15" thickBot="1" x14ac:dyDescent="0.35">
      <c r="B44" s="127" t="str">
        <f>'SB 350 Potential'!B$9</f>
        <v>Fed/CEC</v>
      </c>
      <c r="C44" s="128" t="str">
        <f>'SB 350 Potential'!C$9</f>
        <v>Codes &amp; Standards</v>
      </c>
      <c r="D44" s="128" t="str">
        <f>'SB 350 Potential'!D$9</f>
        <v>Federal Appliance Standards</v>
      </c>
      <c r="E44" s="128" t="str">
        <f t="shared" si="8"/>
        <v>Aggressive</v>
      </c>
      <c r="F44" s="144" t="str">
        <f t="shared" si="10"/>
        <v>MM Therms</v>
      </c>
      <c r="G44" s="130">
        <f t="shared" si="11"/>
        <v>0</v>
      </c>
      <c r="H44" s="130">
        <f t="shared" si="11"/>
        <v>0</v>
      </c>
      <c r="I44" s="130">
        <f t="shared" si="11"/>
        <v>0</v>
      </c>
      <c r="J44" s="130">
        <f t="shared" si="11"/>
        <v>0</v>
      </c>
      <c r="K44" s="130">
        <f t="shared" si="11"/>
        <v>0</v>
      </c>
      <c r="L44" s="130">
        <f t="shared" si="11"/>
        <v>0</v>
      </c>
      <c r="M44" s="130">
        <f t="shared" si="11"/>
        <v>0</v>
      </c>
      <c r="N44" s="130">
        <f t="shared" si="11"/>
        <v>0</v>
      </c>
      <c r="O44" s="130">
        <f t="shared" si="11"/>
        <v>0</v>
      </c>
      <c r="P44" s="130">
        <f t="shared" si="11"/>
        <v>1.458</v>
      </c>
      <c r="Q44" s="130">
        <f t="shared" si="11"/>
        <v>19.196999999999999</v>
      </c>
      <c r="R44" s="130">
        <f t="shared" si="11"/>
        <v>38.826000000000001</v>
      </c>
      <c r="S44" s="130">
        <f t="shared" si="11"/>
        <v>58.454999999999998</v>
      </c>
      <c r="T44" s="130">
        <f t="shared" si="11"/>
        <v>78.102000000000004</v>
      </c>
      <c r="U44" s="131">
        <f t="shared" si="11"/>
        <v>100.84500000000001</v>
      </c>
      <c r="V44" s="102"/>
      <c r="W44" s="102"/>
    </row>
    <row r="45" spans="2:28" x14ac:dyDescent="0.3">
      <c r="B45" s="102"/>
      <c r="C45" s="102"/>
      <c r="D45" s="102"/>
      <c r="E45" s="102"/>
      <c r="F45" s="102"/>
      <c r="G45" s="102"/>
      <c r="H45" s="102"/>
      <c r="I45" s="102"/>
      <c r="J45" s="102"/>
      <c r="K45" s="102"/>
      <c r="L45" s="102"/>
      <c r="M45" s="102"/>
      <c r="N45" s="102"/>
      <c r="O45" s="102"/>
      <c r="P45" s="102"/>
      <c r="Q45" s="102"/>
      <c r="R45" s="102"/>
      <c r="S45" s="102"/>
      <c r="T45" s="102"/>
      <c r="U45" s="102"/>
      <c r="V45" s="102"/>
      <c r="W45" s="102"/>
    </row>
    <row r="46" spans="2:28" x14ac:dyDescent="0.3">
      <c r="B46" s="102"/>
      <c r="C46" s="102"/>
      <c r="D46" s="102"/>
      <c r="E46" s="102"/>
      <c r="F46" s="102"/>
      <c r="G46" s="102"/>
      <c r="H46" s="102"/>
      <c r="I46" s="102"/>
      <c r="J46" s="102"/>
      <c r="K46" s="102"/>
      <c r="L46" s="102"/>
      <c r="M46" s="102"/>
      <c r="N46" s="102"/>
      <c r="O46" s="102"/>
      <c r="P46" s="102"/>
      <c r="Q46" s="102"/>
      <c r="R46" s="102"/>
      <c r="S46" s="102"/>
      <c r="T46" s="102"/>
      <c r="U46" s="102"/>
      <c r="V46" s="102"/>
      <c r="W46" s="102"/>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26" orientation="landscape" r:id="rId1"/>
  <headerFooter>
    <oddFooter>&amp;L&amp;Z&amp;F&amp;A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windowProtection="1" zoomScale="55" zoomScaleNormal="55" workbookViewId="0">
      <selection activeCell="D31" sqref="D31"/>
    </sheetView>
  </sheetViews>
  <sheetFormatPr defaultColWidth="8.88671875" defaultRowHeight="14.4" x14ac:dyDescent="0.3"/>
  <cols>
    <col min="2" max="2" width="60.6640625" style="197" bestFit="1" customWidth="1"/>
    <col min="3" max="18" width="13.5546875" customWidth="1"/>
  </cols>
  <sheetData>
    <row r="1" spans="2:18" ht="23.4" x14ac:dyDescent="0.45">
      <c r="B1" s="101" t="s">
        <v>774</v>
      </c>
      <c r="C1" s="101" t="str">
        <f>'Program Analysis'!C3</f>
        <v>Federal Appliance Standards</v>
      </c>
    </row>
    <row r="2" spans="2:18" ht="23.4" x14ac:dyDescent="0.45">
      <c r="B2" s="101" t="s">
        <v>775</v>
      </c>
      <c r="C2" s="101" t="s">
        <v>736</v>
      </c>
    </row>
    <row r="4" spans="2:18" x14ac:dyDescent="0.3">
      <c r="B4" s="196" t="s">
        <v>829</v>
      </c>
      <c r="C4" t="s">
        <v>717</v>
      </c>
    </row>
    <row r="5" spans="2:18" x14ac:dyDescent="0.3">
      <c r="C5" t="s">
        <v>420</v>
      </c>
    </row>
    <row r="6" spans="2:18" x14ac:dyDescent="0.3">
      <c r="C6" t="s">
        <v>831</v>
      </c>
    </row>
    <row r="7" spans="2:18" x14ac:dyDescent="0.3">
      <c r="C7" t="s">
        <v>832</v>
      </c>
    </row>
    <row r="8" spans="2:18" x14ac:dyDescent="0.3">
      <c r="C8" t="s">
        <v>833</v>
      </c>
    </row>
    <row r="9" spans="2:18" x14ac:dyDescent="0.3">
      <c r="C9" t="s">
        <v>718</v>
      </c>
    </row>
    <row r="11" spans="2:18" x14ac:dyDescent="0.3">
      <c r="B11" s="196" t="s">
        <v>788</v>
      </c>
      <c r="C11" s="163">
        <v>0.85</v>
      </c>
      <c r="D11" t="s">
        <v>830</v>
      </c>
    </row>
    <row r="15" spans="2:18" x14ac:dyDescent="0.3">
      <c r="B15" s="197" t="s">
        <v>836</v>
      </c>
    </row>
    <row r="16" spans="2:18" x14ac:dyDescent="0.3">
      <c r="D16" s="43"/>
      <c r="E16" s="43"/>
      <c r="F16" s="43"/>
      <c r="G16" s="43"/>
      <c r="H16" s="43"/>
      <c r="I16" s="43"/>
      <c r="J16" s="43"/>
      <c r="K16" s="43"/>
      <c r="L16" s="43"/>
      <c r="M16" s="43"/>
      <c r="N16" s="43"/>
      <c r="O16" s="43"/>
      <c r="P16" s="43"/>
      <c r="Q16" s="43"/>
      <c r="R16" s="43"/>
    </row>
    <row r="17" spans="2:18" x14ac:dyDescent="0.3">
      <c r="D17">
        <v>2015</v>
      </c>
      <c r="E17">
        <v>2016</v>
      </c>
      <c r="F17">
        <v>2017</v>
      </c>
      <c r="G17">
        <v>2018</v>
      </c>
      <c r="H17">
        <v>2019</v>
      </c>
      <c r="I17">
        <v>2020</v>
      </c>
      <c r="J17">
        <v>2021</v>
      </c>
      <c r="K17">
        <v>2022</v>
      </c>
      <c r="L17">
        <v>2023</v>
      </c>
      <c r="M17">
        <v>2024</v>
      </c>
      <c r="N17">
        <v>2025</v>
      </c>
      <c r="O17">
        <v>2026</v>
      </c>
      <c r="P17">
        <v>2027</v>
      </c>
      <c r="Q17">
        <v>2028</v>
      </c>
      <c r="R17">
        <v>2029</v>
      </c>
    </row>
    <row r="18" spans="2:18" s="151" customFormat="1" x14ac:dyDescent="0.3">
      <c r="B18" s="198" t="s">
        <v>878</v>
      </c>
      <c r="C18" s="194" t="s">
        <v>440</v>
      </c>
      <c r="D18" s="195">
        <f>SUMIFS('[7]Potential Stds'!$S$7:$S$150,'[7]Potential Stds'!$I$7:$I$150,Reference!D$17,'[7]Potential Stds'!$C$7:$C$150,Reference!$C18)+SUMIFS('[7]Potential Stds'!$S$7:$S$150,'[7]Potential Stds'!$I$7:$I$150,Reference!D$17,'[7]Potential Stds'!$C$7:$C$150,"split")/2</f>
        <v>0</v>
      </c>
      <c r="E18" s="195">
        <f>D18+SUMIFS('[7]Potential Stds'!$S$7:$S$150,'[7]Potential Stds'!$I$7:$I$150,Reference!E$17,'[7]Potential Stds'!$C$7:$C$150,Reference!$C18)+SUMIFS('[7]Potential Stds'!$S$7:$S$150,'[7]Potential Stds'!$I$7:$I$150,Reference!E$17,'[7]Potential Stds'!$C$7:$C$150,"split")/2</f>
        <v>0</v>
      </c>
      <c r="F18" s="195">
        <f>E18+SUMIFS('[7]Potential Stds'!$S$7:$S$150,'[7]Potential Stds'!$I$7:$I$150,Reference!F$17,'[7]Potential Stds'!$C$7:$C$150,Reference!$C18)+SUMIFS('[7]Potential Stds'!$S$7:$S$150,'[7]Potential Stds'!$I$7:$I$150,Reference!F$17,'[7]Potential Stds'!$C$7:$C$150,"split")/2</f>
        <v>0</v>
      </c>
      <c r="G18" s="195">
        <f>F18+SUMIFS('[7]Potential Stds'!$S$7:$S$150,'[7]Potential Stds'!$I$7:$I$150,Reference!G$17,'[7]Potential Stds'!$C$7:$C$150,Reference!$C18)+SUMIFS('[7]Potential Stds'!$S$7:$S$150,'[7]Potential Stds'!$I$7:$I$150,Reference!G$17,'[7]Potential Stds'!$C$7:$C$150,"split")/2</f>
        <v>0</v>
      </c>
      <c r="H18" s="195">
        <f>G18+SUMIFS('[7]Potential Stds'!$S$7:$S$150,'[7]Potential Stds'!$I$7:$I$150,Reference!H$17,'[7]Potential Stds'!$C$7:$C$150,Reference!$C18)+SUMIFS('[7]Potential Stds'!$S$7:$S$150,'[7]Potential Stds'!$I$7:$I$150,Reference!H$17,'[7]Potential Stds'!$C$7:$C$150,"split")/2</f>
        <v>0</v>
      </c>
      <c r="I18" s="195">
        <f>H18+SUMIFS('[7]Potential Stds'!$S$7:$S$150,'[7]Potential Stds'!$I$7:$I$150,Reference!I$17,'[7]Potential Stds'!$C$7:$C$150,Reference!$C18)+SUMIFS('[7]Potential Stds'!$S$7:$S$150,'[7]Potential Stds'!$I$7:$I$150,Reference!I$17,'[7]Potential Stds'!$C$7:$C$150,"split")/2</f>
        <v>153.5</v>
      </c>
      <c r="J18" s="195">
        <f>I18+SUMIFS('[7]Potential Stds'!$S$7:$S$150,'[7]Potential Stds'!$I$7:$I$150,Reference!J$17,'[7]Potential Stds'!$C$7:$C$150,Reference!$C18)+SUMIFS('[7]Potential Stds'!$S$7:$S$150,'[7]Potential Stds'!$I$7:$I$150,Reference!J$17,'[7]Potential Stds'!$C$7:$C$150,"split")/2</f>
        <v>229.34578236526795</v>
      </c>
      <c r="K18" s="195">
        <f>J18+SUMIFS('[7]Potential Stds'!$S$7:$S$150,'[7]Potential Stds'!$I$7:$I$150,Reference!K$17,'[7]Potential Stds'!$C$7:$C$150,Reference!$C18)+SUMIFS('[7]Potential Stds'!$S$7:$S$150,'[7]Potential Stds'!$I$7:$I$150,Reference!K$17,'[7]Potential Stds'!$C$7:$C$150,"split")/2</f>
        <v>229.34578236526795</v>
      </c>
      <c r="L18" s="195">
        <f>K18+SUMIFS('[7]Potential Stds'!$S$7:$S$150,'[7]Potential Stds'!$I$7:$I$150,Reference!L$17,'[7]Potential Stds'!$C$7:$C$150,Reference!$C18)+SUMIFS('[7]Potential Stds'!$S$7:$S$150,'[7]Potential Stds'!$I$7:$I$150,Reference!L$17,'[7]Potential Stds'!$C$7:$C$150,"split")/2</f>
        <v>229.34578236526795</v>
      </c>
      <c r="M18" s="195">
        <f>L18+SUMIFS('[7]Potential Stds'!$S$7:$S$150,'[7]Potential Stds'!$I$7:$I$150,Reference!M$17,'[7]Potential Stds'!$C$7:$C$150,Reference!$C18)+SUMIFS('[7]Potential Stds'!$S$7:$S$150,'[7]Potential Stds'!$I$7:$I$150,Reference!M$17,'[7]Potential Stds'!$C$7:$C$150,"split")/2</f>
        <v>411.54508236526794</v>
      </c>
      <c r="N18" s="195">
        <f>M18+SUMIFS('[7]Potential Stds'!$S$7:$S$150,'[7]Potential Stds'!$I$7:$I$150,Reference!N$17,'[7]Potential Stds'!$C$7:$C$150,Reference!$C18)+SUMIFS('[7]Potential Stds'!$S$7:$S$150,'[7]Potential Stds'!$I$7:$I$150,Reference!N$17,'[7]Potential Stds'!$C$7:$C$150,"split")/2</f>
        <v>892.76527236526795</v>
      </c>
      <c r="O18" s="195">
        <f>N18+SUMIFS('[7]Potential Stds'!$S$7:$S$150,'[7]Potential Stds'!$I$7:$I$150,Reference!O$17,'[7]Potential Stds'!$C$7:$C$150,Reference!$C18)+SUMIFS('[7]Potential Stds'!$S$7:$S$150,'[7]Potential Stds'!$I$7:$I$150,Reference!O$17,'[7]Potential Stds'!$C$7:$C$150,"split")/2</f>
        <v>1057.5462723652679</v>
      </c>
      <c r="P18" s="195">
        <f>O18+SUMIFS('[7]Potential Stds'!$S$7:$S$150,'[7]Potential Stds'!$I$7:$I$150,Reference!P$17,'[7]Potential Stds'!$C$7:$C$150,Reference!$C18)+SUMIFS('[7]Potential Stds'!$S$7:$S$150,'[7]Potential Stds'!$I$7:$I$150,Reference!P$17,'[7]Potential Stds'!$C$7:$C$150,"split")/2</f>
        <v>1338.3735349473552</v>
      </c>
      <c r="Q18" s="195">
        <f>P18+SUMIFS('[7]Potential Stds'!$S$7:$S$150,'[7]Potential Stds'!$I$7:$I$150,Reference!Q$17,'[7]Potential Stds'!$C$7:$C$150,Reference!$C18)+SUMIFS('[7]Potential Stds'!$S$7:$S$150,'[7]Potential Stds'!$I$7:$I$150,Reference!Q$17,'[7]Potential Stds'!$C$7:$C$150,"split")/2</f>
        <v>1338.3735349473552</v>
      </c>
      <c r="R18" s="195">
        <f>Q18+SUMIFS('[7]Potential Stds'!$S$7:$S$150,'[7]Potential Stds'!$I$7:$I$150,Reference!R$17,'[7]Potential Stds'!$C$7:$C$150,Reference!$C18)+SUMIFS('[7]Potential Stds'!$S$7:$S$150,'[7]Potential Stds'!$I$7:$I$150,Reference!R$17,'[7]Potential Stds'!$C$7:$C$150,"split")/2</f>
        <v>1395.2252749473553</v>
      </c>
    </row>
    <row r="19" spans="2:18" x14ac:dyDescent="0.3">
      <c r="B19" s="199"/>
      <c r="C19" s="194" t="s">
        <v>451</v>
      </c>
      <c r="D19" s="195">
        <f>SUMIFS('[7]Potential Stds'!$S$7:$S$150,'[7]Potential Stds'!$I$7:$I$150,Reference!D$17,'[7]Potential Stds'!$C$7:$C$150,Reference!$C19)+SUMIFS('[7]Potential Stds'!$S$7:$S$150,'[7]Potential Stds'!$I$7:$I$150,Reference!D$17,'[7]Potential Stds'!$C$7:$C$150,"split")/2</f>
        <v>0</v>
      </c>
      <c r="E19" s="195">
        <f>D19+SUMIFS('[7]Potential Stds'!$S$7:$S$150,'[7]Potential Stds'!$I$7:$I$150,Reference!E$17,'[7]Potential Stds'!$C$7:$C$150,Reference!$C19)+SUMIFS('[7]Potential Stds'!$S$7:$S$150,'[7]Potential Stds'!$I$7:$I$150,Reference!E$17,'[7]Potential Stds'!$C$7:$C$150,"split")/2</f>
        <v>0</v>
      </c>
      <c r="F19" s="195">
        <f>E19+SUMIFS('[7]Potential Stds'!$S$7:$S$150,'[7]Potential Stds'!$I$7:$I$150,Reference!F$17,'[7]Potential Stds'!$C$7:$C$150,Reference!$C19)+SUMIFS('[7]Potential Stds'!$S$7:$S$150,'[7]Potential Stds'!$I$7:$I$150,Reference!F$17,'[7]Potential Stds'!$C$7:$C$150,"split")/2</f>
        <v>0</v>
      </c>
      <c r="G19" s="195">
        <f>F19+SUMIFS('[7]Potential Stds'!$S$7:$S$150,'[7]Potential Stds'!$I$7:$I$150,Reference!G$17,'[7]Potential Stds'!$C$7:$C$150,Reference!$C19)+SUMIFS('[7]Potential Stds'!$S$7:$S$150,'[7]Potential Stds'!$I$7:$I$150,Reference!G$17,'[7]Potential Stds'!$C$7:$C$150,"split")/2</f>
        <v>0</v>
      </c>
      <c r="H19" s="195">
        <f>G19+SUMIFS('[7]Potential Stds'!$S$7:$S$150,'[7]Potential Stds'!$I$7:$I$150,Reference!H$17,'[7]Potential Stds'!$C$7:$C$150,Reference!$C19)+SUMIFS('[7]Potential Stds'!$S$7:$S$150,'[7]Potential Stds'!$I$7:$I$150,Reference!H$17,'[7]Potential Stds'!$C$7:$C$150,"split")/2</f>
        <v>0</v>
      </c>
      <c r="I19" s="195">
        <f>H19+SUMIFS('[7]Potential Stds'!$S$7:$S$150,'[7]Potential Stds'!$I$7:$I$150,Reference!I$17,'[7]Potential Stds'!$C$7:$C$150,Reference!$C19)+SUMIFS('[7]Potential Stds'!$S$7:$S$150,'[7]Potential Stds'!$I$7:$I$150,Reference!I$17,'[7]Potential Stds'!$C$7:$C$150,"split")/2</f>
        <v>153.5</v>
      </c>
      <c r="J19" s="195">
        <f>I19+SUMIFS('[7]Potential Stds'!$S$7:$S$150,'[7]Potential Stds'!$I$7:$I$150,Reference!J$17,'[7]Potential Stds'!$C$7:$C$150,Reference!$C19)+SUMIFS('[7]Potential Stds'!$S$7:$S$150,'[7]Potential Stds'!$I$7:$I$150,Reference!J$17,'[7]Potential Stds'!$C$7:$C$150,"split")/2</f>
        <v>230.13978236526799</v>
      </c>
      <c r="K19" s="195">
        <f>J19+SUMIFS('[7]Potential Stds'!$S$7:$S$150,'[7]Potential Stds'!$I$7:$I$150,Reference!K$17,'[7]Potential Stds'!$C$7:$C$150,Reference!$C19)+SUMIFS('[7]Potential Stds'!$S$7:$S$150,'[7]Potential Stds'!$I$7:$I$150,Reference!K$17,'[7]Potential Stds'!$C$7:$C$150,"split")/2</f>
        <v>230.13978236526799</v>
      </c>
      <c r="L19" s="195">
        <f>K19+SUMIFS('[7]Potential Stds'!$S$7:$S$150,'[7]Potential Stds'!$I$7:$I$150,Reference!L$17,'[7]Potential Stds'!$C$7:$C$150,Reference!$C19)+SUMIFS('[7]Potential Stds'!$S$7:$S$150,'[7]Potential Stds'!$I$7:$I$150,Reference!L$17,'[7]Potential Stds'!$C$7:$C$150,"split")/2</f>
        <v>230.13978236526799</v>
      </c>
      <c r="M19" s="195">
        <f>L19+SUMIFS('[7]Potential Stds'!$S$7:$S$150,'[7]Potential Stds'!$I$7:$I$150,Reference!M$17,'[7]Potential Stds'!$C$7:$C$150,Reference!$C19)+SUMIFS('[7]Potential Stds'!$S$7:$S$150,'[7]Potential Stds'!$I$7:$I$150,Reference!M$17,'[7]Potential Stds'!$C$7:$C$150,"split")/2</f>
        <v>521.91003236526797</v>
      </c>
      <c r="N19" s="195">
        <f>M19+SUMIFS('[7]Potential Stds'!$S$7:$S$150,'[7]Potential Stds'!$I$7:$I$150,Reference!N$17,'[7]Potential Stds'!$C$7:$C$150,Reference!$C19)+SUMIFS('[7]Potential Stds'!$S$7:$S$150,'[7]Potential Stds'!$I$7:$I$150,Reference!N$17,'[7]Potential Stds'!$C$7:$C$150,"split")/2</f>
        <v>564.57289236526799</v>
      </c>
      <c r="O19" s="195">
        <f>N19+SUMIFS('[7]Potential Stds'!$S$7:$S$150,'[7]Potential Stds'!$I$7:$I$150,Reference!O$17,'[7]Potential Stds'!$C$7:$C$150,Reference!$C19)+SUMIFS('[7]Potential Stds'!$S$7:$S$150,'[7]Potential Stds'!$I$7:$I$150,Reference!O$17,'[7]Potential Stds'!$C$7:$C$150,"split")/2</f>
        <v>673.90669236526799</v>
      </c>
      <c r="P19" s="195">
        <f>O19+SUMIFS('[7]Potential Stds'!$S$7:$S$150,'[7]Potential Stds'!$I$7:$I$150,Reference!P$17,'[7]Potential Stds'!$C$7:$C$150,Reference!$C19)+SUMIFS('[7]Potential Stds'!$S$7:$S$150,'[7]Potential Stds'!$I$7:$I$150,Reference!P$17,'[7]Potential Stds'!$C$7:$C$150,"split")/2</f>
        <v>1093.9010863673552</v>
      </c>
      <c r="Q19" s="195">
        <f>P19+SUMIFS('[7]Potential Stds'!$S$7:$S$150,'[7]Potential Stds'!$I$7:$I$150,Reference!Q$17,'[7]Potential Stds'!$C$7:$C$150,Reference!$C19)+SUMIFS('[7]Potential Stds'!$S$7:$S$150,'[7]Potential Stds'!$I$7:$I$150,Reference!Q$17,'[7]Potential Stds'!$C$7:$C$150,"split")/2</f>
        <v>1141.7472463673553</v>
      </c>
      <c r="R19" s="195">
        <f>Q19+SUMIFS('[7]Potential Stds'!$S$7:$S$150,'[7]Potential Stds'!$I$7:$I$150,Reference!R$17,'[7]Potential Stds'!$C$7:$C$150,Reference!$C19)+SUMIFS('[7]Potential Stds'!$S$7:$S$150,'[7]Potential Stds'!$I$7:$I$150,Reference!R$17,'[7]Potential Stds'!$C$7:$C$150,"split")/2</f>
        <v>1176.0406663673552</v>
      </c>
    </row>
    <row r="20" spans="2:18" x14ac:dyDescent="0.3">
      <c r="B20" s="200"/>
      <c r="C20" s="194"/>
      <c r="D20" s="195"/>
      <c r="E20" s="195"/>
      <c r="F20" s="195"/>
      <c r="G20" s="195"/>
      <c r="H20" s="195"/>
      <c r="I20" s="195"/>
      <c r="J20" s="195"/>
      <c r="K20" s="195"/>
      <c r="L20" s="195"/>
      <c r="M20" s="195"/>
      <c r="N20" s="195"/>
      <c r="O20" s="195"/>
      <c r="P20" s="195"/>
      <c r="Q20" s="195"/>
      <c r="R20" s="195"/>
    </row>
    <row r="21" spans="2:18" x14ac:dyDescent="0.3">
      <c r="B21" s="198" t="s">
        <v>879</v>
      </c>
      <c r="C21" s="194" t="s">
        <v>440</v>
      </c>
      <c r="D21" s="195">
        <f>SUMIFS('[7]Potential Stds'!$T$7:$T$150,'[7]Potential Stds'!$I$7:$I$150,Reference!D$17,'[7]Potential Stds'!$C$7:$C$150,Reference!$C21)+SUMIFS('[7]Potential Stds'!$T$7:$T$150,'[7]Potential Stds'!$I$7:$I$150,Reference!D$17,'[7]Potential Stds'!$C$7:$C$150,"split")/2</f>
        <v>0</v>
      </c>
      <c r="E21" s="195">
        <f>D21+SUMIFS('[7]Potential Stds'!$T$7:$T$150,'[7]Potential Stds'!$I$7:$I$150,Reference!E$17,'[7]Potential Stds'!$C$7:$C$150,Reference!$C21)+SUMIFS('[7]Potential Stds'!$T$7:$T$150,'[7]Potential Stds'!$I$7:$I$150,Reference!E$17,'[7]Potential Stds'!$C$7:$C$150,"split")/2</f>
        <v>0</v>
      </c>
      <c r="F21" s="195">
        <f>E21+SUMIFS('[7]Potential Stds'!$T$7:$T$150,'[7]Potential Stds'!$I$7:$I$150,Reference!F$17,'[7]Potential Stds'!$C$7:$C$150,Reference!$C21)+SUMIFS('[7]Potential Stds'!$T$7:$T$150,'[7]Potential Stds'!$I$7:$I$150,Reference!F$17,'[7]Potential Stds'!$C$7:$C$150,"split")/2</f>
        <v>0</v>
      </c>
      <c r="G21" s="195">
        <f>F21+SUMIFS('[7]Potential Stds'!$T$7:$T$150,'[7]Potential Stds'!$I$7:$I$150,Reference!G$17,'[7]Potential Stds'!$C$7:$C$150,Reference!$C21)+SUMIFS('[7]Potential Stds'!$T$7:$T$150,'[7]Potential Stds'!$I$7:$I$150,Reference!G$17,'[7]Potential Stds'!$C$7:$C$150,"split")/2</f>
        <v>0</v>
      </c>
      <c r="H21" s="195">
        <f>G21+SUMIFS('[7]Potential Stds'!$T$7:$T$150,'[7]Potential Stds'!$I$7:$I$150,Reference!H$17,'[7]Potential Stds'!$C$7:$C$150,Reference!$C21)+SUMIFS('[7]Potential Stds'!$T$7:$T$150,'[7]Potential Stds'!$I$7:$I$150,Reference!H$17,'[7]Potential Stds'!$C$7:$C$150,"split")/2</f>
        <v>0</v>
      </c>
      <c r="I21" s="195">
        <f>H21+SUMIFS('[7]Potential Stds'!$T$7:$T$150,'[7]Potential Stds'!$I$7:$I$150,Reference!I$17,'[7]Potential Stds'!$C$7:$C$150,Reference!$C21)+SUMIFS('[7]Potential Stds'!$T$7:$T$150,'[7]Potential Stds'!$I$7:$I$150,Reference!I$17,'[7]Potential Stds'!$C$7:$C$150,"split")/2</f>
        <v>0</v>
      </c>
      <c r="J21" s="195">
        <f>I21+SUMIFS('[7]Potential Stds'!$T$7:$T$150,'[7]Potential Stds'!$I$7:$I$150,Reference!J$17,'[7]Potential Stds'!$C$7:$C$150,Reference!$C21)+SUMIFS('[7]Potential Stds'!$T$7:$T$150,'[7]Potential Stds'!$I$7:$I$150,Reference!J$17,'[7]Potential Stds'!$C$7:$C$150,"split")/2</f>
        <v>0</v>
      </c>
      <c r="K21" s="195">
        <f>J21+SUMIFS('[7]Potential Stds'!$T$7:$T$150,'[7]Potential Stds'!$I$7:$I$150,Reference!K$17,'[7]Potential Stds'!$C$7:$C$150,Reference!$C21)+SUMIFS('[7]Potential Stds'!$T$7:$T$150,'[7]Potential Stds'!$I$7:$I$150,Reference!K$17,'[7]Potential Stds'!$C$7:$C$150,"split")/2</f>
        <v>0</v>
      </c>
      <c r="L21" s="195">
        <f>K21+SUMIFS('[7]Potential Stds'!$T$7:$T$150,'[7]Potential Stds'!$I$7:$I$150,Reference!L$17,'[7]Potential Stds'!$C$7:$C$150,Reference!$C21)+SUMIFS('[7]Potential Stds'!$T$7:$T$150,'[7]Potential Stds'!$I$7:$I$150,Reference!L$17,'[7]Potential Stds'!$C$7:$C$150,"split")/2</f>
        <v>0</v>
      </c>
      <c r="M21" s="195">
        <f>L21+SUMIFS('[7]Potential Stds'!$T$7:$T$150,'[7]Potential Stds'!$I$7:$I$150,Reference!M$17,'[7]Potential Stds'!$C$7:$C$150,Reference!$C21)+SUMIFS('[7]Potential Stds'!$T$7:$T$150,'[7]Potential Stds'!$I$7:$I$150,Reference!M$17,'[7]Potential Stds'!$C$7:$C$150,"split")/2</f>
        <v>1.2392999999999998</v>
      </c>
      <c r="N21" s="195">
        <f>M21+SUMIFS('[7]Potential Stds'!$T$7:$T$150,'[7]Potential Stds'!$I$7:$I$150,Reference!N$17,'[7]Potential Stds'!$C$7:$C$150,Reference!$C21)+SUMIFS('[7]Potential Stds'!$T$7:$T$150,'[7]Potential Stds'!$I$7:$I$150,Reference!N$17,'[7]Potential Stds'!$C$7:$C$150,"split")/2</f>
        <v>15.078149999999999</v>
      </c>
      <c r="O21" s="195">
        <f>N21+SUMIFS('[7]Potential Stds'!$T$7:$T$150,'[7]Potential Stds'!$I$7:$I$150,Reference!O$17,'[7]Potential Stds'!$C$7:$C$150,Reference!$C21)+SUMIFS('[7]Potential Stds'!$T$7:$T$150,'[7]Potential Stds'!$I$7:$I$150,Reference!O$17,'[7]Potential Stds'!$C$7:$C$150,"split")/2</f>
        <v>16.684649999999998</v>
      </c>
      <c r="P21" s="195">
        <f>O21+SUMIFS('[7]Potential Stds'!$T$7:$T$150,'[7]Potential Stds'!$I$7:$I$150,Reference!P$17,'[7]Potential Stds'!$C$7:$C$150,Reference!$C21)+SUMIFS('[7]Potential Stds'!$T$7:$T$150,'[7]Potential Stds'!$I$7:$I$150,Reference!P$17,'[7]Potential Stds'!$C$7:$C$150,"split")/2</f>
        <v>16.684649999999998</v>
      </c>
      <c r="Q21" s="195">
        <f>P21+SUMIFS('[7]Potential Stds'!$T$7:$T$150,'[7]Potential Stds'!$I$7:$I$150,Reference!Q$17,'[7]Potential Stds'!$C$7:$C$150,Reference!$C21)+SUMIFS('[7]Potential Stds'!$T$7:$T$150,'[7]Potential Stds'!$I$7:$I$150,Reference!Q$17,'[7]Potential Stds'!$C$7:$C$150,"split")/2</f>
        <v>16.684649999999998</v>
      </c>
      <c r="R21" s="195">
        <f>Q21+SUMIFS('[7]Potential Stds'!$T$7:$T$150,'[7]Potential Stds'!$I$7:$I$150,Reference!R$17,'[7]Potential Stds'!$C$7:$C$150,Reference!$C21)+SUMIFS('[7]Potential Stds'!$T$7:$T$150,'[7]Potential Stds'!$I$7:$I$150,Reference!R$17,'[7]Potential Stds'!$C$7:$C$150,"split")/2</f>
        <v>16.684649999999998</v>
      </c>
    </row>
    <row r="22" spans="2:18" x14ac:dyDescent="0.3">
      <c r="B22" s="199"/>
      <c r="C22" s="194" t="s">
        <v>451</v>
      </c>
      <c r="D22" s="195">
        <f>SUMIFS('[7]Potential Stds'!$T$7:$T$150,'[7]Potential Stds'!$I$7:$I$150,Reference!D$17,'[7]Potential Stds'!$C$7:$C$150,Reference!$C22)+SUMIFS('[7]Potential Stds'!$T$7:$T$150,'[7]Potential Stds'!$I$7:$I$150,Reference!D$17,'[7]Potential Stds'!$C$7:$C$150,"split")/2</f>
        <v>0</v>
      </c>
      <c r="E22" s="195">
        <f>D22+SUMIFS('[7]Potential Stds'!$T$7:$T$150,'[7]Potential Stds'!$I$7:$I$150,Reference!E$17,'[7]Potential Stds'!$C$7:$C$150,Reference!$C22)+SUMIFS('[7]Potential Stds'!$T$7:$T$150,'[7]Potential Stds'!$I$7:$I$150,Reference!E$17,'[7]Potential Stds'!$C$7:$C$150,"split")/2</f>
        <v>0</v>
      </c>
      <c r="F22" s="195">
        <f>E22+SUMIFS('[7]Potential Stds'!$T$7:$T$150,'[7]Potential Stds'!$I$7:$I$150,Reference!F$17,'[7]Potential Stds'!$C$7:$C$150,Reference!$C22)+SUMIFS('[7]Potential Stds'!$T$7:$T$150,'[7]Potential Stds'!$I$7:$I$150,Reference!F$17,'[7]Potential Stds'!$C$7:$C$150,"split")/2</f>
        <v>0</v>
      </c>
      <c r="G22" s="195">
        <f>F22+SUMIFS('[7]Potential Stds'!$T$7:$T$150,'[7]Potential Stds'!$I$7:$I$150,Reference!G$17,'[7]Potential Stds'!$C$7:$C$150,Reference!$C22)+SUMIFS('[7]Potential Stds'!$T$7:$T$150,'[7]Potential Stds'!$I$7:$I$150,Reference!G$17,'[7]Potential Stds'!$C$7:$C$150,"split")/2</f>
        <v>0</v>
      </c>
      <c r="H22" s="195">
        <f>G22+SUMIFS('[7]Potential Stds'!$T$7:$T$150,'[7]Potential Stds'!$I$7:$I$150,Reference!H$17,'[7]Potential Stds'!$C$7:$C$150,Reference!$C22)+SUMIFS('[7]Potential Stds'!$T$7:$T$150,'[7]Potential Stds'!$I$7:$I$150,Reference!H$17,'[7]Potential Stds'!$C$7:$C$150,"split")/2</f>
        <v>0</v>
      </c>
      <c r="I22" s="195">
        <f>H22+SUMIFS('[7]Potential Stds'!$T$7:$T$150,'[7]Potential Stds'!$I$7:$I$150,Reference!I$17,'[7]Potential Stds'!$C$7:$C$150,Reference!$C22)+SUMIFS('[7]Potential Stds'!$T$7:$T$150,'[7]Potential Stds'!$I$7:$I$150,Reference!I$17,'[7]Potential Stds'!$C$7:$C$150,"split")/2</f>
        <v>0</v>
      </c>
      <c r="J22" s="195">
        <f>I22+SUMIFS('[7]Potential Stds'!$T$7:$T$150,'[7]Potential Stds'!$I$7:$I$150,Reference!J$17,'[7]Potential Stds'!$C$7:$C$150,Reference!$C22)+SUMIFS('[7]Potential Stds'!$T$7:$T$150,'[7]Potential Stds'!$I$7:$I$150,Reference!J$17,'[7]Potential Stds'!$C$7:$C$150,"split")/2</f>
        <v>0</v>
      </c>
      <c r="K22" s="195">
        <f>J22+SUMIFS('[7]Potential Stds'!$T$7:$T$150,'[7]Potential Stds'!$I$7:$I$150,Reference!K$17,'[7]Potential Stds'!$C$7:$C$150,Reference!$C22)+SUMIFS('[7]Potential Stds'!$T$7:$T$150,'[7]Potential Stds'!$I$7:$I$150,Reference!K$17,'[7]Potential Stds'!$C$7:$C$150,"split")/2</f>
        <v>1.2E-2</v>
      </c>
      <c r="L22" s="195">
        <f>K22+SUMIFS('[7]Potential Stds'!$T$7:$T$150,'[7]Potential Stds'!$I$7:$I$150,Reference!L$17,'[7]Potential Stds'!$C$7:$C$150,Reference!$C22)+SUMIFS('[7]Potential Stds'!$T$7:$T$150,'[7]Potential Stds'!$I$7:$I$150,Reference!L$17,'[7]Potential Stds'!$C$7:$C$150,"split")/2</f>
        <v>1.2E-2</v>
      </c>
      <c r="M22" s="195">
        <f>L22+SUMIFS('[7]Potential Stds'!$T$7:$T$150,'[7]Potential Stds'!$I$7:$I$150,Reference!M$17,'[7]Potential Stds'!$C$7:$C$150,Reference!$C22)+SUMIFS('[7]Potential Stds'!$T$7:$T$150,'[7]Potential Stds'!$I$7:$I$150,Reference!M$17,'[7]Potential Stds'!$C$7:$C$150,"split")/2</f>
        <v>1.2E-2</v>
      </c>
      <c r="N22" s="195">
        <f>M22+SUMIFS('[7]Potential Stds'!$T$7:$T$150,'[7]Potential Stds'!$I$7:$I$150,Reference!N$17,'[7]Potential Stds'!$C$7:$C$150,Reference!$C22)+SUMIFS('[7]Potential Stds'!$T$7:$T$150,'[7]Potential Stds'!$I$7:$I$150,Reference!N$17,'[7]Potential Stds'!$C$7:$C$150,"split")/2</f>
        <v>1.2E-2</v>
      </c>
      <c r="O22" s="195">
        <f>N22+SUMIFS('[7]Potential Stds'!$T$7:$T$150,'[7]Potential Stds'!$I$7:$I$150,Reference!O$17,'[7]Potential Stds'!$C$7:$C$150,Reference!$C22)+SUMIFS('[7]Potential Stds'!$T$7:$T$150,'[7]Potential Stds'!$I$7:$I$150,Reference!O$17,'[7]Potential Stds'!$C$7:$C$150,"split")/2</f>
        <v>1.2E-2</v>
      </c>
      <c r="P22" s="195">
        <f>O22+SUMIFS('[7]Potential Stds'!$T$7:$T$150,'[7]Potential Stds'!$I$7:$I$150,Reference!P$17,'[7]Potential Stds'!$C$7:$C$150,Reference!$C22)+SUMIFS('[7]Potential Stds'!$T$7:$T$150,'[7]Potential Stds'!$I$7:$I$150,Reference!P$17,'[7]Potential Stds'!$C$7:$C$150,"split")/2</f>
        <v>1.2E-2</v>
      </c>
      <c r="Q22" s="195">
        <f>P22+SUMIFS('[7]Potential Stds'!$T$7:$T$150,'[7]Potential Stds'!$I$7:$I$150,Reference!Q$17,'[7]Potential Stds'!$C$7:$C$150,Reference!$C22)+SUMIFS('[7]Potential Stds'!$T$7:$T$150,'[7]Potential Stds'!$I$7:$I$150,Reference!Q$17,'[7]Potential Stds'!$C$7:$C$150,"split")/2</f>
        <v>2.7300000000000001E-2</v>
      </c>
      <c r="R22" s="195">
        <f>Q22+SUMIFS('[7]Potential Stds'!$T$7:$T$150,'[7]Potential Stds'!$I$7:$I$150,Reference!R$17,'[7]Potential Stds'!$C$7:$C$150,Reference!$C22)+SUMIFS('[7]Potential Stds'!$T$7:$T$150,'[7]Potential Stds'!$I$7:$I$150,Reference!R$17,'[7]Potential Stds'!$C$7:$C$150,"split")/2</f>
        <v>2.6588999999999996</v>
      </c>
    </row>
    <row r="23" spans="2:18" x14ac:dyDescent="0.3">
      <c r="D23" s="19"/>
      <c r="E23" s="19"/>
      <c r="F23" s="19"/>
      <c r="G23" s="19"/>
      <c r="H23" s="19"/>
      <c r="I23" s="19"/>
      <c r="J23" s="19"/>
      <c r="K23" s="19"/>
      <c r="L23" s="19"/>
      <c r="M23" s="19"/>
      <c r="N23" s="19"/>
      <c r="O23" s="19"/>
      <c r="P23" s="19"/>
      <c r="Q23" s="19"/>
      <c r="R23" s="19"/>
    </row>
    <row r="25" spans="2:18" x14ac:dyDescent="0.3">
      <c r="B25" s="197" t="s">
        <v>65</v>
      </c>
    </row>
    <row r="26" spans="2:18" x14ac:dyDescent="0.3">
      <c r="G26" s="43"/>
      <c r="H26" s="43"/>
      <c r="I26" s="43"/>
      <c r="J26" s="43"/>
      <c r="K26" s="43"/>
      <c r="L26" s="43"/>
      <c r="M26" s="43"/>
      <c r="N26" s="43"/>
      <c r="O26" s="43"/>
      <c r="P26" s="43"/>
      <c r="Q26" s="43"/>
      <c r="R26" s="43"/>
    </row>
    <row r="27" spans="2:18" x14ac:dyDescent="0.3">
      <c r="D27">
        <v>2015</v>
      </c>
      <c r="E27">
        <v>2016</v>
      </c>
      <c r="F27">
        <v>2017</v>
      </c>
      <c r="G27">
        <v>2018</v>
      </c>
      <c r="H27">
        <v>2019</v>
      </c>
      <c r="I27">
        <v>2020</v>
      </c>
      <c r="J27">
        <v>2021</v>
      </c>
      <c r="K27">
        <v>2022</v>
      </c>
      <c r="L27">
        <v>2023</v>
      </c>
      <c r="M27">
        <v>2024</v>
      </c>
      <c r="N27">
        <v>2025</v>
      </c>
      <c r="O27">
        <v>2026</v>
      </c>
      <c r="P27">
        <v>2027</v>
      </c>
      <c r="Q27">
        <v>2028</v>
      </c>
      <c r="R27">
        <v>2029</v>
      </c>
    </row>
    <row r="28" spans="2:18" x14ac:dyDescent="0.3">
      <c r="B28" s="198" t="s">
        <v>878</v>
      </c>
      <c r="C28" s="194" t="s">
        <v>440</v>
      </c>
      <c r="D28" s="195">
        <f>SUMIFS('[7]Potential Stds'!$S$7:$S$150,'[7]Potential Stds'!$I$7:$I$150,Reference!D$17,'[7]Potential Stds'!$C$7:$C$150,Reference!$C28,'[7]Potential Stds'!$A$7:$A$150,$B$25)+SUMIFS('[7]Potential Stds'!$S$7:$S$150,'[7]Potential Stds'!$I$7:$I$150,Reference!D$17,'[7]Potential Stds'!$C$7:$C$150,"split",'[7]Potential Stds'!$A$7:$A$150,$B$25)/2</f>
        <v>0</v>
      </c>
      <c r="E28" s="195">
        <f>D28+SUMIFS('[7]Potential Stds'!$S$7:$S$150,'[7]Potential Stds'!$I$7:$I$150,Reference!E$17,'[7]Potential Stds'!$C$7:$C$150,Reference!$C28,'[7]Potential Stds'!$A$7:$A$150,$B$25)+SUMIFS('[7]Potential Stds'!$S$7:$S$150,'[7]Potential Stds'!$I$7:$I$150,Reference!E$17,'[7]Potential Stds'!$C$7:$C$150,"split",'[7]Potential Stds'!$A$7:$A$150,$B$25)/2</f>
        <v>0</v>
      </c>
      <c r="F28" s="195">
        <f>E28+SUMIFS('[7]Potential Stds'!$S$7:$S$150,'[7]Potential Stds'!$I$7:$I$150,Reference!F$17,'[7]Potential Stds'!$C$7:$C$150,Reference!$C28,'[7]Potential Stds'!$A$7:$A$150,$B$25)+SUMIFS('[7]Potential Stds'!$S$7:$S$150,'[7]Potential Stds'!$I$7:$I$150,Reference!F$17,'[7]Potential Stds'!$C$7:$C$150,"split",'[7]Potential Stds'!$A$7:$A$150,$B$25)/2</f>
        <v>0</v>
      </c>
      <c r="G28" s="195">
        <f>F28+SUMIFS('[7]Potential Stds'!$S$7:$S$150,'[7]Potential Stds'!$I$7:$I$150,Reference!G$17,'[7]Potential Stds'!$C$7:$C$150,Reference!$C28,'[7]Potential Stds'!$A$7:$A$150,$B$25)+SUMIFS('[7]Potential Stds'!$S$7:$S$150,'[7]Potential Stds'!$I$7:$I$150,Reference!G$17,'[7]Potential Stds'!$C$7:$C$150,"split",'[7]Potential Stds'!$A$7:$A$150,$B$25)/2</f>
        <v>0</v>
      </c>
      <c r="H28" s="195">
        <f>G28+SUMIFS('[7]Potential Stds'!$S$7:$S$150,'[7]Potential Stds'!$I$7:$I$150,Reference!H$17,'[7]Potential Stds'!$C$7:$C$150,Reference!$C28,'[7]Potential Stds'!$A$7:$A$150,$B$25)+SUMIFS('[7]Potential Stds'!$S$7:$S$150,'[7]Potential Stds'!$I$7:$I$150,Reference!H$17,'[7]Potential Stds'!$C$7:$C$150,"split",'[7]Potential Stds'!$A$7:$A$150,$B$25)/2</f>
        <v>0</v>
      </c>
      <c r="I28" s="195">
        <f>H28+SUMIFS('[7]Potential Stds'!$S$7:$S$150,'[7]Potential Stds'!$I$7:$I$150,Reference!I$17,'[7]Potential Stds'!$C$7:$C$150,Reference!$C28,'[7]Potential Stds'!$A$7:$A$150,$B$25)+SUMIFS('[7]Potential Stds'!$S$7:$S$150,'[7]Potential Stds'!$I$7:$I$150,Reference!I$17,'[7]Potential Stds'!$C$7:$C$150,"split",'[7]Potential Stds'!$A$7:$A$150,$B$25)/2</f>
        <v>153.5</v>
      </c>
      <c r="J28" s="195">
        <f>I28+SUMIFS('[7]Potential Stds'!$S$7:$S$150,'[7]Potential Stds'!$I$7:$I$150,Reference!J$17,'[7]Potential Stds'!$C$7:$C$150,Reference!$C28,'[7]Potential Stds'!$A$7:$A$150,$B$25)+SUMIFS('[7]Potential Stds'!$S$7:$S$150,'[7]Potential Stds'!$I$7:$I$150,Reference!J$17,'[7]Potential Stds'!$C$7:$C$150,"split",'[7]Potential Stds'!$A$7:$A$150,$B$25)/2</f>
        <v>229.34578236526795</v>
      </c>
      <c r="K28" s="195">
        <f>J28+SUMIFS('[7]Potential Stds'!$S$7:$S$150,'[7]Potential Stds'!$I$7:$I$150,Reference!K$17,'[7]Potential Stds'!$C$7:$C$150,Reference!$C28,'[7]Potential Stds'!$A$7:$A$150,$B$25)+SUMIFS('[7]Potential Stds'!$S$7:$S$150,'[7]Potential Stds'!$I$7:$I$150,Reference!K$17,'[7]Potential Stds'!$C$7:$C$150,"split",'[7]Potential Stds'!$A$7:$A$150,$B$25)/2</f>
        <v>229.34578236526795</v>
      </c>
      <c r="L28" s="195">
        <f>K28+SUMIFS('[7]Potential Stds'!$S$7:$S$150,'[7]Potential Stds'!$I$7:$I$150,Reference!L$17,'[7]Potential Stds'!$C$7:$C$150,Reference!$C28,'[7]Potential Stds'!$A$7:$A$150,$B$25)+SUMIFS('[7]Potential Stds'!$S$7:$S$150,'[7]Potential Stds'!$I$7:$I$150,Reference!L$17,'[7]Potential Stds'!$C$7:$C$150,"split",'[7]Potential Stds'!$A$7:$A$150,$B$25)/2</f>
        <v>229.34578236526795</v>
      </c>
      <c r="M28" s="195">
        <f>L28+SUMIFS('[7]Potential Stds'!$S$7:$S$150,'[7]Potential Stds'!$I$7:$I$150,Reference!M$17,'[7]Potential Stds'!$C$7:$C$150,Reference!$C28,'[7]Potential Stds'!$A$7:$A$150,$B$25)+SUMIFS('[7]Potential Stds'!$S$7:$S$150,'[7]Potential Stds'!$I$7:$I$150,Reference!M$17,'[7]Potential Stds'!$C$7:$C$150,"split",'[7]Potential Stds'!$A$7:$A$150,$B$25)/2</f>
        <v>388.656282365268</v>
      </c>
      <c r="N28" s="195">
        <f>M28+SUMIFS('[7]Potential Stds'!$S$7:$S$150,'[7]Potential Stds'!$I$7:$I$150,Reference!N$17,'[7]Potential Stds'!$C$7:$C$150,Reference!$C28,'[7]Potential Stds'!$A$7:$A$150,$B$25)+SUMIFS('[7]Potential Stds'!$S$7:$S$150,'[7]Potential Stds'!$I$7:$I$150,Reference!N$17,'[7]Potential Stds'!$C$7:$C$150,"split",'[7]Potential Stds'!$A$7:$A$150,$B$25)/2</f>
        <v>388.656282365268</v>
      </c>
      <c r="O28" s="195">
        <f>N28+SUMIFS('[7]Potential Stds'!$S$7:$S$150,'[7]Potential Stds'!$I$7:$I$150,Reference!O$17,'[7]Potential Stds'!$C$7:$C$150,Reference!$C28,'[7]Potential Stds'!$A$7:$A$150,$B$25)+SUMIFS('[7]Potential Stds'!$S$7:$S$150,'[7]Potential Stds'!$I$7:$I$150,Reference!O$17,'[7]Potential Stds'!$C$7:$C$150,"split",'[7]Potential Stds'!$A$7:$A$150,$B$25)/2</f>
        <v>388.656282365268</v>
      </c>
      <c r="P28" s="195">
        <f>O28+SUMIFS('[7]Potential Stds'!$S$7:$S$150,'[7]Potential Stds'!$I$7:$I$150,Reference!P$17,'[7]Potential Stds'!$C$7:$C$150,Reference!$C28,'[7]Potential Stds'!$A$7:$A$150,$B$25)+SUMIFS('[7]Potential Stds'!$S$7:$S$150,'[7]Potential Stds'!$I$7:$I$150,Reference!P$17,'[7]Potential Stds'!$C$7:$C$150,"split",'[7]Potential Stds'!$A$7:$A$150,$B$25)/2</f>
        <v>660.45654494735527</v>
      </c>
      <c r="Q28" s="195">
        <f>P28+SUMIFS('[7]Potential Stds'!$S$7:$S$150,'[7]Potential Stds'!$I$7:$I$150,Reference!Q$17,'[7]Potential Stds'!$C$7:$C$150,Reference!$C28,'[7]Potential Stds'!$A$7:$A$150,$B$25)+SUMIFS('[7]Potential Stds'!$S$7:$S$150,'[7]Potential Stds'!$I$7:$I$150,Reference!Q$17,'[7]Potential Stds'!$C$7:$C$150,"split",'[7]Potential Stds'!$A$7:$A$150,$B$25)/2</f>
        <v>660.45654494735527</v>
      </c>
      <c r="R28" s="195">
        <f>Q28+SUMIFS('[7]Potential Stds'!$S$7:$S$150,'[7]Potential Stds'!$I$7:$I$150,Reference!R$17,'[7]Potential Stds'!$C$7:$C$150,Reference!$C28,'[7]Potential Stds'!$A$7:$A$150,$B$25)+SUMIFS('[7]Potential Stds'!$S$7:$S$150,'[7]Potential Stds'!$I$7:$I$150,Reference!R$17,'[7]Potential Stds'!$C$7:$C$150,"split",'[7]Potential Stds'!$A$7:$A$150,$B$25)/2</f>
        <v>689.06754494735526</v>
      </c>
    </row>
    <row r="29" spans="2:18" x14ac:dyDescent="0.3">
      <c r="B29" s="199"/>
      <c r="C29" s="194" t="s">
        <v>451</v>
      </c>
      <c r="D29" s="195">
        <f>SUMIFS('[7]Potential Stds'!$S$7:$S$150,'[7]Potential Stds'!$I$7:$I$150,Reference!D$17,'[7]Potential Stds'!$C$7:$C$150,Reference!$C29,'[7]Potential Stds'!$A$7:$A$150,$B$25)+SUMIFS('[7]Potential Stds'!$S$7:$S$150,'[7]Potential Stds'!$I$7:$I$150,Reference!D$17,'[7]Potential Stds'!$C$7:$C$150,"split",'[7]Potential Stds'!$A$7:$A$150,$B$25)/2</f>
        <v>0</v>
      </c>
      <c r="E29" s="195">
        <f>D29+SUMIFS('[7]Potential Stds'!$S$7:$S$150,'[7]Potential Stds'!$I$7:$I$150,Reference!E$17,'[7]Potential Stds'!$C$7:$C$150,Reference!$C29,'[7]Potential Stds'!$A$7:$A$150,$B$25)+SUMIFS('[7]Potential Stds'!$S$7:$S$150,'[7]Potential Stds'!$I$7:$I$150,Reference!E$17,'[7]Potential Stds'!$C$7:$C$150,"split",'[7]Potential Stds'!$A$7:$A$150,$B$25)/2</f>
        <v>0</v>
      </c>
      <c r="F29" s="195">
        <f>E29+SUMIFS('[7]Potential Stds'!$S$7:$S$150,'[7]Potential Stds'!$I$7:$I$150,Reference!F$17,'[7]Potential Stds'!$C$7:$C$150,Reference!$C29,'[7]Potential Stds'!$A$7:$A$150,$B$25)+SUMIFS('[7]Potential Stds'!$S$7:$S$150,'[7]Potential Stds'!$I$7:$I$150,Reference!F$17,'[7]Potential Stds'!$C$7:$C$150,"split",'[7]Potential Stds'!$A$7:$A$150,$B$25)/2</f>
        <v>0</v>
      </c>
      <c r="G29" s="195">
        <f>F29+SUMIFS('[7]Potential Stds'!$S$7:$S$150,'[7]Potential Stds'!$I$7:$I$150,Reference!G$17,'[7]Potential Stds'!$C$7:$C$150,Reference!$C29,'[7]Potential Stds'!$A$7:$A$150,$B$25)+SUMIFS('[7]Potential Stds'!$S$7:$S$150,'[7]Potential Stds'!$I$7:$I$150,Reference!G$17,'[7]Potential Stds'!$C$7:$C$150,"split",'[7]Potential Stds'!$A$7:$A$150,$B$25)/2</f>
        <v>0</v>
      </c>
      <c r="H29" s="195">
        <f>G29+SUMIFS('[7]Potential Stds'!$S$7:$S$150,'[7]Potential Stds'!$I$7:$I$150,Reference!H$17,'[7]Potential Stds'!$C$7:$C$150,Reference!$C29,'[7]Potential Stds'!$A$7:$A$150,$B$25)+SUMIFS('[7]Potential Stds'!$S$7:$S$150,'[7]Potential Stds'!$I$7:$I$150,Reference!H$17,'[7]Potential Stds'!$C$7:$C$150,"split",'[7]Potential Stds'!$A$7:$A$150,$B$25)/2</f>
        <v>0</v>
      </c>
      <c r="I29" s="195">
        <f>H29+SUMIFS('[7]Potential Stds'!$S$7:$S$150,'[7]Potential Stds'!$I$7:$I$150,Reference!I$17,'[7]Potential Stds'!$C$7:$C$150,Reference!$C29,'[7]Potential Stds'!$A$7:$A$150,$B$25)+SUMIFS('[7]Potential Stds'!$S$7:$S$150,'[7]Potential Stds'!$I$7:$I$150,Reference!I$17,'[7]Potential Stds'!$C$7:$C$150,"split",'[7]Potential Stds'!$A$7:$A$150,$B$25)/2</f>
        <v>153.5</v>
      </c>
      <c r="J29" s="195">
        <f>I29+SUMIFS('[7]Potential Stds'!$S$7:$S$150,'[7]Potential Stds'!$I$7:$I$150,Reference!J$17,'[7]Potential Stds'!$C$7:$C$150,Reference!$C29,'[7]Potential Stds'!$A$7:$A$150,$B$25)+SUMIFS('[7]Potential Stds'!$S$7:$S$150,'[7]Potential Stds'!$I$7:$I$150,Reference!J$17,'[7]Potential Stds'!$C$7:$C$150,"split",'[7]Potential Stds'!$A$7:$A$150,$B$25)/2</f>
        <v>230.13978236526799</v>
      </c>
      <c r="K29" s="195">
        <f>J29+SUMIFS('[7]Potential Stds'!$S$7:$S$150,'[7]Potential Stds'!$I$7:$I$150,Reference!K$17,'[7]Potential Stds'!$C$7:$C$150,Reference!$C29,'[7]Potential Stds'!$A$7:$A$150,$B$25)+SUMIFS('[7]Potential Stds'!$S$7:$S$150,'[7]Potential Stds'!$I$7:$I$150,Reference!K$17,'[7]Potential Stds'!$C$7:$C$150,"split",'[7]Potential Stds'!$A$7:$A$150,$B$25)/2</f>
        <v>230.13978236526799</v>
      </c>
      <c r="L29" s="195">
        <f>K29+SUMIFS('[7]Potential Stds'!$S$7:$S$150,'[7]Potential Stds'!$I$7:$I$150,Reference!L$17,'[7]Potential Stds'!$C$7:$C$150,Reference!$C29,'[7]Potential Stds'!$A$7:$A$150,$B$25)+SUMIFS('[7]Potential Stds'!$S$7:$S$150,'[7]Potential Stds'!$I$7:$I$150,Reference!L$17,'[7]Potential Stds'!$C$7:$C$150,"split",'[7]Potential Stds'!$A$7:$A$150,$B$25)/2</f>
        <v>230.13978236526799</v>
      </c>
      <c r="M29" s="195">
        <f>L29+SUMIFS('[7]Potential Stds'!$S$7:$S$150,'[7]Potential Stds'!$I$7:$I$150,Reference!M$17,'[7]Potential Stds'!$C$7:$C$150,Reference!$C29,'[7]Potential Stds'!$A$7:$A$150,$B$25)+SUMIFS('[7]Potential Stds'!$S$7:$S$150,'[7]Potential Stds'!$I$7:$I$150,Reference!M$17,'[7]Potential Stds'!$C$7:$C$150,"split",'[7]Potential Stds'!$A$7:$A$150,$B$25)/2</f>
        <v>521.91003236526797</v>
      </c>
      <c r="N29" s="195">
        <f>M29+SUMIFS('[7]Potential Stds'!$S$7:$S$150,'[7]Potential Stds'!$I$7:$I$150,Reference!N$17,'[7]Potential Stds'!$C$7:$C$150,Reference!$C29,'[7]Potential Stds'!$A$7:$A$150,$B$25)+SUMIFS('[7]Potential Stds'!$S$7:$S$150,'[7]Potential Stds'!$I$7:$I$150,Reference!N$17,'[7]Potential Stds'!$C$7:$C$150,"split",'[7]Potential Stds'!$A$7:$A$150,$B$25)/2</f>
        <v>540.61003236526801</v>
      </c>
      <c r="O29" s="195">
        <f>N29+SUMIFS('[7]Potential Stds'!$S$7:$S$150,'[7]Potential Stds'!$I$7:$I$150,Reference!O$17,'[7]Potential Stds'!$C$7:$C$150,Reference!$C29,'[7]Potential Stds'!$A$7:$A$150,$B$25)+SUMIFS('[7]Potential Stds'!$S$7:$S$150,'[7]Potential Stds'!$I$7:$I$150,Reference!O$17,'[7]Potential Stds'!$C$7:$C$150,"split",'[7]Potential Stds'!$A$7:$A$150,$B$25)/2</f>
        <v>540.61003236526801</v>
      </c>
      <c r="P29" s="195">
        <f>O29+SUMIFS('[7]Potential Stds'!$S$7:$S$150,'[7]Potential Stds'!$I$7:$I$150,Reference!P$17,'[7]Potential Stds'!$C$7:$C$150,Reference!$C29,'[7]Potential Stds'!$A$7:$A$150,$B$25)+SUMIFS('[7]Potential Stds'!$S$7:$S$150,'[7]Potential Stds'!$I$7:$I$150,Reference!P$17,'[7]Potential Stds'!$C$7:$C$150,"split",'[7]Potential Stds'!$A$7:$A$150,$B$25)/2</f>
        <v>803.32960636735538</v>
      </c>
      <c r="Q29" s="195">
        <f>P29+SUMIFS('[7]Potential Stds'!$S$7:$S$150,'[7]Potential Stds'!$I$7:$I$150,Reference!Q$17,'[7]Potential Stds'!$C$7:$C$150,Reference!$C29,'[7]Potential Stds'!$A$7:$A$150,$B$25)+SUMIFS('[7]Potential Stds'!$S$7:$S$150,'[7]Potential Stds'!$I$7:$I$150,Reference!Q$17,'[7]Potential Stds'!$C$7:$C$150,"split",'[7]Potential Stds'!$A$7:$A$150,$B$25)/2</f>
        <v>803.32960636735538</v>
      </c>
      <c r="R29" s="195">
        <f>Q29+SUMIFS('[7]Potential Stds'!$S$7:$S$150,'[7]Potential Stds'!$I$7:$I$150,Reference!R$17,'[7]Potential Stds'!$C$7:$C$150,Reference!$C29,'[7]Potential Stds'!$A$7:$A$150,$B$25)+SUMIFS('[7]Potential Stds'!$S$7:$S$150,'[7]Potential Stds'!$I$7:$I$150,Reference!R$17,'[7]Potential Stds'!$C$7:$C$150,"split",'[7]Potential Stds'!$A$7:$A$150,$B$25)/2</f>
        <v>803.32960636735538</v>
      </c>
    </row>
    <row r="30" spans="2:18" x14ac:dyDescent="0.3">
      <c r="B30" s="200"/>
      <c r="C30" s="194"/>
      <c r="D30" s="195"/>
      <c r="E30" s="195"/>
      <c r="F30" s="195"/>
      <c r="G30" s="195"/>
      <c r="H30" s="195"/>
      <c r="I30" s="195"/>
      <c r="J30" s="195"/>
      <c r="K30" s="195"/>
      <c r="L30" s="195"/>
      <c r="M30" s="195"/>
      <c r="N30" s="195"/>
      <c r="O30" s="195"/>
      <c r="P30" s="195"/>
      <c r="Q30" s="195"/>
      <c r="R30" s="195"/>
    </row>
    <row r="31" spans="2:18" x14ac:dyDescent="0.3">
      <c r="B31" s="198" t="s">
        <v>879</v>
      </c>
      <c r="C31" s="194" t="s">
        <v>440</v>
      </c>
      <c r="D31" s="195">
        <f>SUMIFS('[7]Potential Stds'!$T$7:$T$150,'[7]Potential Stds'!$I$7:$I$150,Reference!D$17,'[7]Potential Stds'!$C$7:$C$150,Reference!$C31,'[7]Potential Stds'!$A$7:$A$150,$B$25)+SUMIFS('[7]Potential Stds'!$T$7:$T$150,'[7]Potential Stds'!$I$7:$I$150,Reference!D$17,'[7]Potential Stds'!$C$7:$C$150,"split",'[7]Potential Stds'!$A$7:$A$150,$B$25)/2</f>
        <v>0</v>
      </c>
      <c r="E31" s="195">
        <f>D31+SUMIFS('[7]Potential Stds'!$T$7:$T$150,'[7]Potential Stds'!$I$7:$I$150,Reference!E$17,'[7]Potential Stds'!$C$7:$C$150,Reference!$C31,'[7]Potential Stds'!$A$7:$A$150,$B$25)+SUMIFS('[7]Potential Stds'!$T$7:$T$150,'[7]Potential Stds'!$I$7:$I$150,Reference!E$17,'[7]Potential Stds'!$C$7:$C$150,"split",'[7]Potential Stds'!$A$7:$A$150,$B$25)/2</f>
        <v>0</v>
      </c>
      <c r="F31" s="195">
        <f>E31+SUMIFS('[7]Potential Stds'!$T$7:$T$150,'[7]Potential Stds'!$I$7:$I$150,Reference!F$17,'[7]Potential Stds'!$C$7:$C$150,Reference!$C31,'[7]Potential Stds'!$A$7:$A$150,$B$25)+SUMIFS('[7]Potential Stds'!$T$7:$T$150,'[7]Potential Stds'!$I$7:$I$150,Reference!F$17,'[7]Potential Stds'!$C$7:$C$150,"split",'[7]Potential Stds'!$A$7:$A$150,$B$25)/2</f>
        <v>0</v>
      </c>
      <c r="G31" s="195">
        <f>F31+SUMIFS('[7]Potential Stds'!$T$7:$T$150,'[7]Potential Stds'!$I$7:$I$150,Reference!G$17,'[7]Potential Stds'!$C$7:$C$150,Reference!$C31,'[7]Potential Stds'!$A$7:$A$150,$B$25)+SUMIFS('[7]Potential Stds'!$T$7:$T$150,'[7]Potential Stds'!$I$7:$I$150,Reference!G$17,'[7]Potential Stds'!$C$7:$C$150,"split",'[7]Potential Stds'!$A$7:$A$150,$B$25)/2</f>
        <v>0</v>
      </c>
      <c r="H31" s="195">
        <f>G31+SUMIFS('[7]Potential Stds'!$T$7:$T$150,'[7]Potential Stds'!$I$7:$I$150,Reference!H$17,'[7]Potential Stds'!$C$7:$C$150,Reference!$C31,'[7]Potential Stds'!$A$7:$A$150,$B$25)+SUMIFS('[7]Potential Stds'!$T$7:$T$150,'[7]Potential Stds'!$I$7:$I$150,Reference!H$17,'[7]Potential Stds'!$C$7:$C$150,"split",'[7]Potential Stds'!$A$7:$A$150,$B$25)/2</f>
        <v>0</v>
      </c>
      <c r="I31" s="195">
        <f>H31+SUMIFS('[7]Potential Stds'!$T$7:$T$150,'[7]Potential Stds'!$I$7:$I$150,Reference!I$17,'[7]Potential Stds'!$C$7:$C$150,Reference!$C31,'[7]Potential Stds'!$A$7:$A$150,$B$25)+SUMIFS('[7]Potential Stds'!$T$7:$T$150,'[7]Potential Stds'!$I$7:$I$150,Reference!I$17,'[7]Potential Stds'!$C$7:$C$150,"split",'[7]Potential Stds'!$A$7:$A$150,$B$25)/2</f>
        <v>0</v>
      </c>
      <c r="J31" s="195">
        <f>I31+SUMIFS('[7]Potential Stds'!$T$7:$T$150,'[7]Potential Stds'!$I$7:$I$150,Reference!J$17,'[7]Potential Stds'!$C$7:$C$150,Reference!$C31,'[7]Potential Stds'!$A$7:$A$150,$B$25)+SUMIFS('[7]Potential Stds'!$T$7:$T$150,'[7]Potential Stds'!$I$7:$I$150,Reference!J$17,'[7]Potential Stds'!$C$7:$C$150,"split",'[7]Potential Stds'!$A$7:$A$150,$B$25)/2</f>
        <v>0</v>
      </c>
      <c r="K31" s="195">
        <f>J31+SUMIFS('[7]Potential Stds'!$T$7:$T$150,'[7]Potential Stds'!$I$7:$I$150,Reference!K$17,'[7]Potential Stds'!$C$7:$C$150,Reference!$C31,'[7]Potential Stds'!$A$7:$A$150,$B$25)+SUMIFS('[7]Potential Stds'!$T$7:$T$150,'[7]Potential Stds'!$I$7:$I$150,Reference!K$17,'[7]Potential Stds'!$C$7:$C$150,"split",'[7]Potential Stds'!$A$7:$A$150,$B$25)/2</f>
        <v>0</v>
      </c>
      <c r="L31" s="195">
        <f>K31+SUMIFS('[7]Potential Stds'!$T$7:$T$150,'[7]Potential Stds'!$I$7:$I$150,Reference!L$17,'[7]Potential Stds'!$C$7:$C$150,Reference!$C31,'[7]Potential Stds'!$A$7:$A$150,$B$25)+SUMIFS('[7]Potential Stds'!$T$7:$T$150,'[7]Potential Stds'!$I$7:$I$150,Reference!L$17,'[7]Potential Stds'!$C$7:$C$150,"split",'[7]Potential Stds'!$A$7:$A$150,$B$25)/2</f>
        <v>0</v>
      </c>
      <c r="M31" s="195">
        <f>L31+SUMIFS('[7]Potential Stds'!$T$7:$T$150,'[7]Potential Stds'!$I$7:$I$150,Reference!M$17,'[7]Potential Stds'!$C$7:$C$150,Reference!$C31,'[7]Potential Stds'!$A$7:$A$150,$B$25)+SUMIFS('[7]Potential Stds'!$T$7:$T$150,'[7]Potential Stds'!$I$7:$I$150,Reference!M$17,'[7]Potential Stds'!$C$7:$C$150,"split",'[7]Potential Stds'!$A$7:$A$150,$B$25)/2</f>
        <v>0</v>
      </c>
      <c r="N31" s="195">
        <f>M31+SUMIFS('[7]Potential Stds'!$T$7:$T$150,'[7]Potential Stds'!$I$7:$I$150,Reference!N$17,'[7]Potential Stds'!$C$7:$C$150,Reference!$C31,'[7]Potential Stds'!$A$7:$A$150,$B$25)+SUMIFS('[7]Potential Stds'!$T$7:$T$150,'[7]Potential Stds'!$I$7:$I$150,Reference!N$17,'[7]Potential Stds'!$C$7:$C$150,"split",'[7]Potential Stds'!$A$7:$A$150,$B$25)/2</f>
        <v>0</v>
      </c>
      <c r="O31" s="195">
        <f>N31+SUMIFS('[7]Potential Stds'!$T$7:$T$150,'[7]Potential Stds'!$I$7:$I$150,Reference!O$17,'[7]Potential Stds'!$C$7:$C$150,Reference!$C31,'[7]Potential Stds'!$A$7:$A$150,$B$25)+SUMIFS('[7]Potential Stds'!$T$7:$T$150,'[7]Potential Stds'!$I$7:$I$150,Reference!O$17,'[7]Potential Stds'!$C$7:$C$150,"split",'[7]Potential Stds'!$A$7:$A$150,$B$25)/2</f>
        <v>0</v>
      </c>
      <c r="P31" s="195">
        <f>O31+SUMIFS('[7]Potential Stds'!$T$7:$T$150,'[7]Potential Stds'!$I$7:$I$150,Reference!P$17,'[7]Potential Stds'!$C$7:$C$150,Reference!$C31,'[7]Potential Stds'!$A$7:$A$150,$B$25)+SUMIFS('[7]Potential Stds'!$T$7:$T$150,'[7]Potential Stds'!$I$7:$I$150,Reference!P$17,'[7]Potential Stds'!$C$7:$C$150,"split",'[7]Potential Stds'!$A$7:$A$150,$B$25)/2</f>
        <v>0</v>
      </c>
      <c r="Q31" s="195">
        <f>P31+SUMIFS('[7]Potential Stds'!$T$7:$T$150,'[7]Potential Stds'!$I$7:$I$150,Reference!Q$17,'[7]Potential Stds'!$C$7:$C$150,Reference!$C31,'[7]Potential Stds'!$A$7:$A$150,$B$25)+SUMIFS('[7]Potential Stds'!$T$7:$T$150,'[7]Potential Stds'!$I$7:$I$150,Reference!Q$17,'[7]Potential Stds'!$C$7:$C$150,"split",'[7]Potential Stds'!$A$7:$A$150,$B$25)/2</f>
        <v>0</v>
      </c>
      <c r="R31" s="195">
        <f>Q31+SUMIFS('[7]Potential Stds'!$T$7:$T$150,'[7]Potential Stds'!$I$7:$I$150,Reference!R$17,'[7]Potential Stds'!$C$7:$C$150,Reference!$C31,'[7]Potential Stds'!$A$7:$A$150,$B$25)+SUMIFS('[7]Potential Stds'!$T$7:$T$150,'[7]Potential Stds'!$I$7:$I$150,Reference!R$17,'[7]Potential Stds'!$C$7:$C$150,"split",'[7]Potential Stds'!$A$7:$A$150,$B$25)/2</f>
        <v>0</v>
      </c>
    </row>
    <row r="32" spans="2:18" x14ac:dyDescent="0.3">
      <c r="B32" s="199"/>
      <c r="C32" s="194" t="s">
        <v>451</v>
      </c>
      <c r="D32" s="195">
        <f>SUMIFS('[7]Potential Stds'!$T$7:$T$150,'[7]Potential Stds'!$I$7:$I$150,Reference!D$17,'[7]Potential Stds'!$C$7:$C$150,Reference!$C32,'[7]Potential Stds'!$A$7:$A$150,$B$25)+SUMIFS('[7]Potential Stds'!$T$7:$T$150,'[7]Potential Stds'!$I$7:$I$150,Reference!D$17,'[7]Potential Stds'!$C$7:$C$150,"split",'[7]Potential Stds'!$A$7:$A$150,$B$25)/2</f>
        <v>0</v>
      </c>
      <c r="E32" s="195">
        <f>D32+SUMIFS('[7]Potential Stds'!$T$7:$T$150,'[7]Potential Stds'!$I$7:$I$150,Reference!E$17,'[7]Potential Stds'!$C$7:$C$150,Reference!$C32,'[7]Potential Stds'!$A$7:$A$150,$B$25)+SUMIFS('[7]Potential Stds'!$T$7:$T$150,'[7]Potential Stds'!$I$7:$I$150,Reference!E$17,'[7]Potential Stds'!$C$7:$C$150,"split",'[7]Potential Stds'!$A$7:$A$150,$B$25)/2</f>
        <v>0</v>
      </c>
      <c r="F32" s="195">
        <f>E32+SUMIFS('[7]Potential Stds'!$T$7:$T$150,'[7]Potential Stds'!$I$7:$I$150,Reference!F$17,'[7]Potential Stds'!$C$7:$C$150,Reference!$C32,'[7]Potential Stds'!$A$7:$A$150,$B$25)+SUMIFS('[7]Potential Stds'!$T$7:$T$150,'[7]Potential Stds'!$I$7:$I$150,Reference!F$17,'[7]Potential Stds'!$C$7:$C$150,"split",'[7]Potential Stds'!$A$7:$A$150,$B$25)/2</f>
        <v>0</v>
      </c>
      <c r="G32" s="195">
        <f>F32+SUMIFS('[7]Potential Stds'!$T$7:$T$150,'[7]Potential Stds'!$I$7:$I$150,Reference!G$17,'[7]Potential Stds'!$C$7:$C$150,Reference!$C32,'[7]Potential Stds'!$A$7:$A$150,$B$25)+SUMIFS('[7]Potential Stds'!$T$7:$T$150,'[7]Potential Stds'!$I$7:$I$150,Reference!G$17,'[7]Potential Stds'!$C$7:$C$150,"split",'[7]Potential Stds'!$A$7:$A$150,$B$25)/2</f>
        <v>0</v>
      </c>
      <c r="H32" s="195">
        <f>G32+SUMIFS('[7]Potential Stds'!$T$7:$T$150,'[7]Potential Stds'!$I$7:$I$150,Reference!H$17,'[7]Potential Stds'!$C$7:$C$150,Reference!$C32,'[7]Potential Stds'!$A$7:$A$150,$B$25)+SUMIFS('[7]Potential Stds'!$T$7:$T$150,'[7]Potential Stds'!$I$7:$I$150,Reference!H$17,'[7]Potential Stds'!$C$7:$C$150,"split",'[7]Potential Stds'!$A$7:$A$150,$B$25)/2</f>
        <v>0</v>
      </c>
      <c r="I32" s="195">
        <f>H32+SUMIFS('[7]Potential Stds'!$T$7:$T$150,'[7]Potential Stds'!$I$7:$I$150,Reference!I$17,'[7]Potential Stds'!$C$7:$C$150,Reference!$C32,'[7]Potential Stds'!$A$7:$A$150,$B$25)+SUMIFS('[7]Potential Stds'!$T$7:$T$150,'[7]Potential Stds'!$I$7:$I$150,Reference!I$17,'[7]Potential Stds'!$C$7:$C$150,"split",'[7]Potential Stds'!$A$7:$A$150,$B$25)/2</f>
        <v>0</v>
      </c>
      <c r="J32" s="195">
        <f>I32+SUMIFS('[7]Potential Stds'!$T$7:$T$150,'[7]Potential Stds'!$I$7:$I$150,Reference!J$17,'[7]Potential Stds'!$C$7:$C$150,Reference!$C32,'[7]Potential Stds'!$A$7:$A$150,$B$25)+SUMIFS('[7]Potential Stds'!$T$7:$T$150,'[7]Potential Stds'!$I$7:$I$150,Reference!J$17,'[7]Potential Stds'!$C$7:$C$150,"split",'[7]Potential Stds'!$A$7:$A$150,$B$25)/2</f>
        <v>0</v>
      </c>
      <c r="K32" s="195">
        <f>J32+SUMIFS('[7]Potential Stds'!$T$7:$T$150,'[7]Potential Stds'!$I$7:$I$150,Reference!K$17,'[7]Potential Stds'!$C$7:$C$150,Reference!$C32,'[7]Potential Stds'!$A$7:$A$150,$B$25)+SUMIFS('[7]Potential Stds'!$T$7:$T$150,'[7]Potential Stds'!$I$7:$I$150,Reference!K$17,'[7]Potential Stds'!$C$7:$C$150,"split",'[7]Potential Stds'!$A$7:$A$150,$B$25)/2</f>
        <v>1.2E-2</v>
      </c>
      <c r="L32" s="195">
        <f>K32+SUMIFS('[7]Potential Stds'!$T$7:$T$150,'[7]Potential Stds'!$I$7:$I$150,Reference!L$17,'[7]Potential Stds'!$C$7:$C$150,Reference!$C32,'[7]Potential Stds'!$A$7:$A$150,$B$25)+SUMIFS('[7]Potential Stds'!$T$7:$T$150,'[7]Potential Stds'!$I$7:$I$150,Reference!L$17,'[7]Potential Stds'!$C$7:$C$150,"split",'[7]Potential Stds'!$A$7:$A$150,$B$25)/2</f>
        <v>1.2E-2</v>
      </c>
      <c r="M32" s="195">
        <f>L32+SUMIFS('[7]Potential Stds'!$T$7:$T$150,'[7]Potential Stds'!$I$7:$I$150,Reference!M$17,'[7]Potential Stds'!$C$7:$C$150,Reference!$C32,'[7]Potential Stds'!$A$7:$A$150,$B$25)+SUMIFS('[7]Potential Stds'!$T$7:$T$150,'[7]Potential Stds'!$I$7:$I$150,Reference!M$17,'[7]Potential Stds'!$C$7:$C$150,"split",'[7]Potential Stds'!$A$7:$A$150,$B$25)/2</f>
        <v>1.2E-2</v>
      </c>
      <c r="N32" s="195">
        <f>M32+SUMIFS('[7]Potential Stds'!$T$7:$T$150,'[7]Potential Stds'!$I$7:$I$150,Reference!N$17,'[7]Potential Stds'!$C$7:$C$150,Reference!$C32,'[7]Potential Stds'!$A$7:$A$150,$B$25)+SUMIFS('[7]Potential Stds'!$T$7:$T$150,'[7]Potential Stds'!$I$7:$I$150,Reference!N$17,'[7]Potential Stds'!$C$7:$C$150,"split",'[7]Potential Stds'!$A$7:$A$150,$B$25)/2</f>
        <v>1.2E-2</v>
      </c>
      <c r="O32" s="195">
        <f>N32+SUMIFS('[7]Potential Stds'!$T$7:$T$150,'[7]Potential Stds'!$I$7:$I$150,Reference!O$17,'[7]Potential Stds'!$C$7:$C$150,Reference!$C32,'[7]Potential Stds'!$A$7:$A$150,$B$25)+SUMIFS('[7]Potential Stds'!$T$7:$T$150,'[7]Potential Stds'!$I$7:$I$150,Reference!O$17,'[7]Potential Stds'!$C$7:$C$150,"split",'[7]Potential Stds'!$A$7:$A$150,$B$25)/2</f>
        <v>1.2E-2</v>
      </c>
      <c r="P32" s="195">
        <f>O32+SUMIFS('[7]Potential Stds'!$T$7:$T$150,'[7]Potential Stds'!$I$7:$I$150,Reference!P$17,'[7]Potential Stds'!$C$7:$C$150,Reference!$C32,'[7]Potential Stds'!$A$7:$A$150,$B$25)+SUMIFS('[7]Potential Stds'!$T$7:$T$150,'[7]Potential Stds'!$I$7:$I$150,Reference!P$17,'[7]Potential Stds'!$C$7:$C$150,"split",'[7]Potential Stds'!$A$7:$A$150,$B$25)/2</f>
        <v>1.2E-2</v>
      </c>
      <c r="Q32" s="195">
        <f>P32+SUMIFS('[7]Potential Stds'!$T$7:$T$150,'[7]Potential Stds'!$I$7:$I$150,Reference!Q$17,'[7]Potential Stds'!$C$7:$C$150,Reference!$C32,'[7]Potential Stds'!$A$7:$A$150,$B$25)+SUMIFS('[7]Potential Stds'!$T$7:$T$150,'[7]Potential Stds'!$I$7:$I$150,Reference!Q$17,'[7]Potential Stds'!$C$7:$C$150,"split",'[7]Potential Stds'!$A$7:$A$150,$B$25)/2</f>
        <v>1.2E-2</v>
      </c>
      <c r="R32" s="195">
        <f>Q32+SUMIFS('[7]Potential Stds'!$T$7:$T$150,'[7]Potential Stds'!$I$7:$I$150,Reference!R$17,'[7]Potential Stds'!$C$7:$C$150,Reference!$C32,'[7]Potential Stds'!$A$7:$A$150,$B$25)+SUMIFS('[7]Potential Stds'!$T$7:$T$150,'[7]Potential Stds'!$I$7:$I$150,Reference!R$17,'[7]Potential Stds'!$C$7:$C$150,"split",'[7]Potential Stds'!$A$7:$A$150,$B$25)/2</f>
        <v>1.2E-2</v>
      </c>
    </row>
    <row r="33" spans="2:18" x14ac:dyDescent="0.3">
      <c r="D33" s="19"/>
      <c r="E33" s="19"/>
      <c r="F33" s="19"/>
      <c r="G33" s="19"/>
      <c r="H33" s="19"/>
      <c r="I33" s="19"/>
      <c r="J33" s="19"/>
      <c r="K33" s="19"/>
      <c r="L33" s="19"/>
      <c r="M33" s="19"/>
      <c r="N33" s="19"/>
      <c r="O33" s="19"/>
      <c r="P33" s="19"/>
      <c r="Q33" s="19"/>
      <c r="R33" s="19"/>
    </row>
    <row r="34" spans="2:18" x14ac:dyDescent="0.3">
      <c r="B34" s="197" t="s">
        <v>462</v>
      </c>
    </row>
    <row r="35" spans="2:18" x14ac:dyDescent="0.3">
      <c r="G35" s="43"/>
      <c r="H35" s="43"/>
      <c r="I35" s="43"/>
      <c r="J35" s="43"/>
      <c r="K35" s="43"/>
      <c r="L35" s="43"/>
      <c r="M35" s="43"/>
      <c r="N35" s="43"/>
      <c r="O35" s="43"/>
      <c r="P35" s="43"/>
      <c r="Q35" s="43"/>
      <c r="R35" s="43"/>
    </row>
    <row r="36" spans="2:18" x14ac:dyDescent="0.3">
      <c r="D36">
        <v>2015</v>
      </c>
      <c r="E36">
        <v>2016</v>
      </c>
      <c r="F36">
        <v>2017</v>
      </c>
      <c r="G36">
        <v>2018</v>
      </c>
      <c r="H36">
        <v>2019</v>
      </c>
      <c r="I36">
        <v>2020</v>
      </c>
      <c r="J36">
        <v>2021</v>
      </c>
      <c r="K36">
        <v>2022</v>
      </c>
      <c r="L36">
        <v>2023</v>
      </c>
      <c r="M36">
        <v>2024</v>
      </c>
      <c r="N36">
        <v>2025</v>
      </c>
      <c r="O36">
        <v>2026</v>
      </c>
      <c r="P36">
        <v>2027</v>
      </c>
      <c r="Q36">
        <v>2028</v>
      </c>
      <c r="R36">
        <v>2029</v>
      </c>
    </row>
    <row r="37" spans="2:18" x14ac:dyDescent="0.3">
      <c r="B37" s="201" t="s">
        <v>878</v>
      </c>
      <c r="C37" s="192" t="s">
        <v>440</v>
      </c>
      <c r="D37" s="193">
        <f>SUMIFS('[7]Potential Stds'!$S$7:$S$150,'[7]Potential Stds'!$I$7:$I$150,Reference!D$17,'[7]Potential Stds'!$C$7:$C$150,Reference!$C37,'[7]Potential Stds'!$A$7:$A$150,$B$34)+SUMIFS('[7]Potential Stds'!$S$7:$S$150,'[7]Potential Stds'!$I$7:$I$150,Reference!D$17,'[7]Potential Stds'!$C$7:$C$150,"split",'[7]Potential Stds'!$A$7:$A$150,$B$34)/2</f>
        <v>0</v>
      </c>
      <c r="E37" s="193">
        <f>D37+SUMIFS('[7]Potential Stds'!$S$7:$S$150,'[7]Potential Stds'!$I$7:$I$150,Reference!E$17,'[7]Potential Stds'!$C$7:$C$150,Reference!$C37,'[7]Potential Stds'!$A$7:$A$150,$B$34)+SUMIFS('[7]Potential Stds'!$S$7:$S$150,'[7]Potential Stds'!$I$7:$I$150,Reference!E$17,'[7]Potential Stds'!$C$7:$C$150,"split",'[7]Potential Stds'!$A$7:$A$150,$B$34)/2</f>
        <v>0</v>
      </c>
      <c r="F37" s="193">
        <f>E37+SUMIFS('[7]Potential Stds'!$S$7:$S$150,'[7]Potential Stds'!$I$7:$I$150,Reference!F$17,'[7]Potential Stds'!$C$7:$C$150,Reference!$C37,'[7]Potential Stds'!$A$7:$A$150,$B$34)+SUMIFS('[7]Potential Stds'!$S$7:$S$150,'[7]Potential Stds'!$I$7:$I$150,Reference!F$17,'[7]Potential Stds'!$C$7:$C$150,"split",'[7]Potential Stds'!$A$7:$A$150,$B$34)/2</f>
        <v>0</v>
      </c>
      <c r="G37" s="193">
        <f>F37+SUMIFS('[7]Potential Stds'!$S$7:$S$150,'[7]Potential Stds'!$I$7:$I$150,Reference!G$17,'[7]Potential Stds'!$C$7:$C$150,Reference!$C37,'[7]Potential Stds'!$A$7:$A$150,$B$34)+SUMIFS('[7]Potential Stds'!$S$7:$S$150,'[7]Potential Stds'!$I$7:$I$150,Reference!G$17,'[7]Potential Stds'!$C$7:$C$150,"split",'[7]Potential Stds'!$A$7:$A$150,$B$34)/2</f>
        <v>0</v>
      </c>
      <c r="H37" s="193">
        <f>G37+SUMIFS('[7]Potential Stds'!$S$7:$S$150,'[7]Potential Stds'!$I$7:$I$150,Reference!H$17,'[7]Potential Stds'!$C$7:$C$150,Reference!$C37,'[7]Potential Stds'!$A$7:$A$150,$B$34)+SUMIFS('[7]Potential Stds'!$S$7:$S$150,'[7]Potential Stds'!$I$7:$I$150,Reference!H$17,'[7]Potential Stds'!$C$7:$C$150,"split",'[7]Potential Stds'!$A$7:$A$150,$B$34)/2</f>
        <v>0</v>
      </c>
      <c r="I37" s="193">
        <f>H37+SUMIFS('[7]Potential Stds'!$S$7:$S$150,'[7]Potential Stds'!$I$7:$I$150,Reference!I$17,'[7]Potential Stds'!$C$7:$C$150,Reference!$C37,'[7]Potential Stds'!$A$7:$A$150,$B$34)+SUMIFS('[7]Potential Stds'!$S$7:$S$150,'[7]Potential Stds'!$I$7:$I$150,Reference!I$17,'[7]Potential Stds'!$C$7:$C$150,"split",'[7]Potential Stds'!$A$7:$A$150,$B$34)/2</f>
        <v>0</v>
      </c>
      <c r="J37" s="193">
        <f>I37+SUMIFS('[7]Potential Stds'!$S$7:$S$150,'[7]Potential Stds'!$I$7:$I$150,Reference!J$17,'[7]Potential Stds'!$C$7:$C$150,Reference!$C37,'[7]Potential Stds'!$A$7:$A$150,$B$34)+SUMIFS('[7]Potential Stds'!$S$7:$S$150,'[7]Potential Stds'!$I$7:$I$150,Reference!J$17,'[7]Potential Stds'!$C$7:$C$150,"split",'[7]Potential Stds'!$A$7:$A$150,$B$34)/2</f>
        <v>0</v>
      </c>
      <c r="K37" s="193">
        <f>J37+SUMIFS('[7]Potential Stds'!$S$7:$S$150,'[7]Potential Stds'!$I$7:$I$150,Reference!K$17,'[7]Potential Stds'!$C$7:$C$150,Reference!$C37,'[7]Potential Stds'!$A$7:$A$150,$B$34)+SUMIFS('[7]Potential Stds'!$S$7:$S$150,'[7]Potential Stds'!$I$7:$I$150,Reference!K$17,'[7]Potential Stds'!$C$7:$C$150,"split",'[7]Potential Stds'!$A$7:$A$150,$B$34)/2</f>
        <v>0</v>
      </c>
      <c r="L37" s="193">
        <f>K37+SUMIFS('[7]Potential Stds'!$S$7:$S$150,'[7]Potential Stds'!$I$7:$I$150,Reference!L$17,'[7]Potential Stds'!$C$7:$C$150,Reference!$C37,'[7]Potential Stds'!$A$7:$A$150,$B$34)+SUMIFS('[7]Potential Stds'!$S$7:$S$150,'[7]Potential Stds'!$I$7:$I$150,Reference!L$17,'[7]Potential Stds'!$C$7:$C$150,"split",'[7]Potential Stds'!$A$7:$A$150,$B$34)/2</f>
        <v>0</v>
      </c>
      <c r="M37" s="193">
        <f>L37+SUMIFS('[7]Potential Stds'!$S$7:$S$150,'[7]Potential Stds'!$I$7:$I$150,Reference!M$17,'[7]Potential Stds'!$C$7:$C$150,Reference!$C37,'[7]Potential Stds'!$A$7:$A$150,$B$34)+SUMIFS('[7]Potential Stds'!$S$7:$S$150,'[7]Potential Stds'!$I$7:$I$150,Reference!M$17,'[7]Potential Stds'!$C$7:$C$150,"split",'[7]Potential Stds'!$A$7:$A$150,$B$34)/2</f>
        <v>22.888800000000003</v>
      </c>
      <c r="N37" s="193">
        <f>M37+SUMIFS('[7]Potential Stds'!$S$7:$S$150,'[7]Potential Stds'!$I$7:$I$150,Reference!N$17,'[7]Potential Stds'!$C$7:$C$150,Reference!$C37,'[7]Potential Stds'!$A$7:$A$150,$B$34)+SUMIFS('[7]Potential Stds'!$S$7:$S$150,'[7]Potential Stds'!$I$7:$I$150,Reference!N$17,'[7]Potential Stds'!$C$7:$C$150,"split",'[7]Potential Stds'!$A$7:$A$150,$B$34)/2</f>
        <v>504.10899000000006</v>
      </c>
      <c r="O37" s="193">
        <f>N37+SUMIFS('[7]Potential Stds'!$S$7:$S$150,'[7]Potential Stds'!$I$7:$I$150,Reference!O$17,'[7]Potential Stds'!$C$7:$C$150,Reference!$C37,'[7]Potential Stds'!$A$7:$A$150,$B$34)+SUMIFS('[7]Potential Stds'!$S$7:$S$150,'[7]Potential Stds'!$I$7:$I$150,Reference!O$17,'[7]Potential Stds'!$C$7:$C$150,"split",'[7]Potential Stds'!$A$7:$A$150,$B$34)/2</f>
        <v>668.88999000000013</v>
      </c>
      <c r="P37" s="193">
        <f>O37+SUMIFS('[7]Potential Stds'!$S$7:$S$150,'[7]Potential Stds'!$I$7:$I$150,Reference!P$17,'[7]Potential Stds'!$C$7:$C$150,Reference!$C37,'[7]Potential Stds'!$A$7:$A$150,$B$34)+SUMIFS('[7]Potential Stds'!$S$7:$S$150,'[7]Potential Stds'!$I$7:$I$150,Reference!P$17,'[7]Potential Stds'!$C$7:$C$150,"split",'[7]Potential Stds'!$A$7:$A$150,$B$34)/2</f>
        <v>677.91699000000017</v>
      </c>
      <c r="Q37" s="193">
        <f>P37+SUMIFS('[7]Potential Stds'!$S$7:$S$150,'[7]Potential Stds'!$I$7:$I$150,Reference!Q$17,'[7]Potential Stds'!$C$7:$C$150,Reference!$C37,'[7]Potential Stds'!$A$7:$A$150,$B$34)+SUMIFS('[7]Potential Stds'!$S$7:$S$150,'[7]Potential Stds'!$I$7:$I$150,Reference!Q$17,'[7]Potential Stds'!$C$7:$C$150,"split",'[7]Potential Stds'!$A$7:$A$150,$B$34)/2</f>
        <v>677.91699000000017</v>
      </c>
      <c r="R37" s="193">
        <f>Q37+SUMIFS('[7]Potential Stds'!$S$7:$S$150,'[7]Potential Stds'!$I$7:$I$150,Reference!R$17,'[7]Potential Stds'!$C$7:$C$150,Reference!$C37,'[7]Potential Stds'!$A$7:$A$150,$B$34)+SUMIFS('[7]Potential Stds'!$S$7:$S$150,'[7]Potential Stds'!$I$7:$I$150,Reference!R$17,'[7]Potential Stds'!$C$7:$C$150,"split",'[7]Potential Stds'!$A$7:$A$150,$B$34)/2</f>
        <v>706.15773000000013</v>
      </c>
    </row>
    <row r="38" spans="2:18" x14ac:dyDescent="0.3">
      <c r="B38" s="201"/>
      <c r="C38" s="192" t="s">
        <v>451</v>
      </c>
      <c r="D38" s="193">
        <f>SUMIFS('[7]Potential Stds'!$S$7:$S$150,'[7]Potential Stds'!$I$7:$I$150,Reference!D$17,'[7]Potential Stds'!$C$7:$C$150,Reference!$C38,'[7]Potential Stds'!$A$7:$A$150,$B$34)+SUMIFS('[7]Potential Stds'!$S$7:$S$150,'[7]Potential Stds'!$I$7:$I$150,Reference!D$17,'[7]Potential Stds'!$C$7:$C$150,"split",'[7]Potential Stds'!$A$7:$A$150,$B$34)/2</f>
        <v>0</v>
      </c>
      <c r="E38" s="193">
        <f>D38+SUMIFS('[7]Potential Stds'!$S$7:$S$150,'[7]Potential Stds'!$I$7:$I$150,Reference!E$17,'[7]Potential Stds'!$C$7:$C$150,Reference!$C38,'[7]Potential Stds'!$A$7:$A$150,$B$34)+SUMIFS('[7]Potential Stds'!$S$7:$S$150,'[7]Potential Stds'!$I$7:$I$150,Reference!E$17,'[7]Potential Stds'!$C$7:$C$150,"split",'[7]Potential Stds'!$A$7:$A$150,$B$34)/2</f>
        <v>0</v>
      </c>
      <c r="F38" s="193">
        <f>E38+SUMIFS('[7]Potential Stds'!$S$7:$S$150,'[7]Potential Stds'!$I$7:$I$150,Reference!F$17,'[7]Potential Stds'!$C$7:$C$150,Reference!$C38,'[7]Potential Stds'!$A$7:$A$150,$B$34)+SUMIFS('[7]Potential Stds'!$S$7:$S$150,'[7]Potential Stds'!$I$7:$I$150,Reference!F$17,'[7]Potential Stds'!$C$7:$C$150,"split",'[7]Potential Stds'!$A$7:$A$150,$B$34)/2</f>
        <v>0</v>
      </c>
      <c r="G38" s="193">
        <f>F38+SUMIFS('[7]Potential Stds'!$S$7:$S$150,'[7]Potential Stds'!$I$7:$I$150,Reference!G$17,'[7]Potential Stds'!$C$7:$C$150,Reference!$C38,'[7]Potential Stds'!$A$7:$A$150,$B$34)+SUMIFS('[7]Potential Stds'!$S$7:$S$150,'[7]Potential Stds'!$I$7:$I$150,Reference!G$17,'[7]Potential Stds'!$C$7:$C$150,"split",'[7]Potential Stds'!$A$7:$A$150,$B$34)/2</f>
        <v>0</v>
      </c>
      <c r="H38" s="193">
        <f>G38+SUMIFS('[7]Potential Stds'!$S$7:$S$150,'[7]Potential Stds'!$I$7:$I$150,Reference!H$17,'[7]Potential Stds'!$C$7:$C$150,Reference!$C38,'[7]Potential Stds'!$A$7:$A$150,$B$34)+SUMIFS('[7]Potential Stds'!$S$7:$S$150,'[7]Potential Stds'!$I$7:$I$150,Reference!H$17,'[7]Potential Stds'!$C$7:$C$150,"split",'[7]Potential Stds'!$A$7:$A$150,$B$34)/2</f>
        <v>0</v>
      </c>
      <c r="I38" s="193">
        <f>H38+SUMIFS('[7]Potential Stds'!$S$7:$S$150,'[7]Potential Stds'!$I$7:$I$150,Reference!I$17,'[7]Potential Stds'!$C$7:$C$150,Reference!$C38,'[7]Potential Stds'!$A$7:$A$150,$B$34)+SUMIFS('[7]Potential Stds'!$S$7:$S$150,'[7]Potential Stds'!$I$7:$I$150,Reference!I$17,'[7]Potential Stds'!$C$7:$C$150,"split",'[7]Potential Stds'!$A$7:$A$150,$B$34)/2</f>
        <v>0</v>
      </c>
      <c r="J38" s="193">
        <f>I38+SUMIFS('[7]Potential Stds'!$S$7:$S$150,'[7]Potential Stds'!$I$7:$I$150,Reference!J$17,'[7]Potential Stds'!$C$7:$C$150,Reference!$C38,'[7]Potential Stds'!$A$7:$A$150,$B$34)+SUMIFS('[7]Potential Stds'!$S$7:$S$150,'[7]Potential Stds'!$I$7:$I$150,Reference!J$17,'[7]Potential Stds'!$C$7:$C$150,"split",'[7]Potential Stds'!$A$7:$A$150,$B$34)/2</f>
        <v>0</v>
      </c>
      <c r="K38" s="193">
        <f>J38+SUMIFS('[7]Potential Stds'!$S$7:$S$150,'[7]Potential Stds'!$I$7:$I$150,Reference!K$17,'[7]Potential Stds'!$C$7:$C$150,Reference!$C38,'[7]Potential Stds'!$A$7:$A$150,$B$34)+SUMIFS('[7]Potential Stds'!$S$7:$S$150,'[7]Potential Stds'!$I$7:$I$150,Reference!K$17,'[7]Potential Stds'!$C$7:$C$150,"split",'[7]Potential Stds'!$A$7:$A$150,$B$34)/2</f>
        <v>0</v>
      </c>
      <c r="L38" s="193">
        <f>K38+SUMIFS('[7]Potential Stds'!$S$7:$S$150,'[7]Potential Stds'!$I$7:$I$150,Reference!L$17,'[7]Potential Stds'!$C$7:$C$150,Reference!$C38,'[7]Potential Stds'!$A$7:$A$150,$B$34)+SUMIFS('[7]Potential Stds'!$S$7:$S$150,'[7]Potential Stds'!$I$7:$I$150,Reference!L$17,'[7]Potential Stds'!$C$7:$C$150,"split",'[7]Potential Stds'!$A$7:$A$150,$B$34)/2</f>
        <v>0</v>
      </c>
      <c r="M38" s="193">
        <f>L38+SUMIFS('[7]Potential Stds'!$S$7:$S$150,'[7]Potential Stds'!$I$7:$I$150,Reference!M$17,'[7]Potential Stds'!$C$7:$C$150,Reference!$C38,'[7]Potential Stds'!$A$7:$A$150,$B$34)+SUMIFS('[7]Potential Stds'!$S$7:$S$150,'[7]Potential Stds'!$I$7:$I$150,Reference!M$17,'[7]Potential Stds'!$C$7:$C$150,"split",'[7]Potential Stds'!$A$7:$A$150,$B$34)/2</f>
        <v>0</v>
      </c>
      <c r="N38" s="193">
        <f>M38+SUMIFS('[7]Potential Stds'!$S$7:$S$150,'[7]Potential Stds'!$I$7:$I$150,Reference!N$17,'[7]Potential Stds'!$C$7:$C$150,Reference!$C38,'[7]Potential Stds'!$A$7:$A$150,$B$34)+SUMIFS('[7]Potential Stds'!$S$7:$S$150,'[7]Potential Stds'!$I$7:$I$150,Reference!N$17,'[7]Potential Stds'!$C$7:$C$150,"split",'[7]Potential Stds'!$A$7:$A$150,$B$34)/2</f>
        <v>23.962859999999999</v>
      </c>
      <c r="O38" s="193">
        <f>N38+SUMIFS('[7]Potential Stds'!$S$7:$S$150,'[7]Potential Stds'!$I$7:$I$150,Reference!O$17,'[7]Potential Stds'!$C$7:$C$150,Reference!$C38,'[7]Potential Stds'!$A$7:$A$150,$B$34)+SUMIFS('[7]Potential Stds'!$S$7:$S$150,'[7]Potential Stds'!$I$7:$I$150,Reference!O$17,'[7]Potential Stds'!$C$7:$C$150,"split",'[7]Potential Stds'!$A$7:$A$150,$B$34)/2</f>
        <v>133.29666</v>
      </c>
      <c r="P38" s="193">
        <f>O38+SUMIFS('[7]Potential Stds'!$S$7:$S$150,'[7]Potential Stds'!$I$7:$I$150,Reference!P$17,'[7]Potential Stds'!$C$7:$C$150,Reference!$C38,'[7]Potential Stds'!$A$7:$A$150,$B$34)+SUMIFS('[7]Potential Stds'!$S$7:$S$150,'[7]Potential Stds'!$I$7:$I$150,Reference!P$17,'[7]Potential Stds'!$C$7:$C$150,"split",'[7]Potential Stds'!$A$7:$A$150,$B$34)/2</f>
        <v>290.57147999999995</v>
      </c>
      <c r="Q38" s="193">
        <f>P38+SUMIFS('[7]Potential Stds'!$S$7:$S$150,'[7]Potential Stds'!$I$7:$I$150,Reference!Q$17,'[7]Potential Stds'!$C$7:$C$150,Reference!$C38,'[7]Potential Stds'!$A$7:$A$150,$B$34)+SUMIFS('[7]Potential Stds'!$S$7:$S$150,'[7]Potential Stds'!$I$7:$I$150,Reference!Q$17,'[7]Potential Stds'!$C$7:$C$150,"split",'[7]Potential Stds'!$A$7:$A$150,$B$34)/2</f>
        <v>338.41763999999995</v>
      </c>
      <c r="R38" s="193">
        <f>Q38+SUMIFS('[7]Potential Stds'!$S$7:$S$150,'[7]Potential Stds'!$I$7:$I$150,Reference!R$17,'[7]Potential Stds'!$C$7:$C$150,Reference!$C38,'[7]Potential Stds'!$A$7:$A$150,$B$34)+SUMIFS('[7]Potential Stds'!$S$7:$S$150,'[7]Potential Stds'!$I$7:$I$150,Reference!R$17,'[7]Potential Stds'!$C$7:$C$150,"split",'[7]Potential Stds'!$A$7:$A$150,$B$34)/2</f>
        <v>372.71105999999997</v>
      </c>
    </row>
    <row r="39" spans="2:18" x14ac:dyDescent="0.3">
      <c r="B39" s="202"/>
      <c r="C39" s="192"/>
      <c r="D39" s="193"/>
      <c r="E39" s="193"/>
      <c r="F39" s="193"/>
      <c r="G39" s="193"/>
      <c r="H39" s="193"/>
      <c r="I39" s="193"/>
      <c r="J39" s="193"/>
      <c r="K39" s="193"/>
      <c r="L39" s="193"/>
      <c r="M39" s="193"/>
      <c r="N39" s="193"/>
      <c r="O39" s="193"/>
      <c r="P39" s="193"/>
      <c r="Q39" s="193"/>
      <c r="R39" s="193"/>
    </row>
    <row r="40" spans="2:18" x14ac:dyDescent="0.3">
      <c r="B40" s="201" t="s">
        <v>879</v>
      </c>
      <c r="C40" s="192" t="s">
        <v>440</v>
      </c>
      <c r="D40" s="193">
        <f>SUMIFS('[7]Potential Stds'!$T$7:$T$150,'[7]Potential Stds'!$I$7:$I$150,Reference!D$17,'[7]Potential Stds'!$C$7:$C$150,Reference!$C40,'[7]Potential Stds'!$A$7:$A$150,$B$34)+SUMIFS('[7]Potential Stds'!$T$7:$T$150,'[7]Potential Stds'!$I$7:$I$150,Reference!D$17,'[7]Potential Stds'!$C$7:$C$150,"split",'[7]Potential Stds'!$A$7:$A$150,$B$34)/2</f>
        <v>0</v>
      </c>
      <c r="E40" s="193">
        <f>D40+SUMIFS('[7]Potential Stds'!$T$7:$T$150,'[7]Potential Stds'!$I$7:$I$150,Reference!E$17,'[7]Potential Stds'!$C$7:$C$150,Reference!$C40,'[7]Potential Stds'!$A$7:$A$150,$B$34)+SUMIFS('[7]Potential Stds'!$T$7:$T$150,'[7]Potential Stds'!$I$7:$I$150,Reference!E$17,'[7]Potential Stds'!$C$7:$C$150,"split",'[7]Potential Stds'!$A$7:$A$150,$B$34)/2</f>
        <v>0</v>
      </c>
      <c r="F40" s="193">
        <f>E40+SUMIFS('[7]Potential Stds'!$T$7:$T$150,'[7]Potential Stds'!$I$7:$I$150,Reference!F$17,'[7]Potential Stds'!$C$7:$C$150,Reference!$C40,'[7]Potential Stds'!$A$7:$A$150,$B$34)+SUMIFS('[7]Potential Stds'!$T$7:$T$150,'[7]Potential Stds'!$I$7:$I$150,Reference!F$17,'[7]Potential Stds'!$C$7:$C$150,"split",'[7]Potential Stds'!$A$7:$A$150,$B$34)/2</f>
        <v>0</v>
      </c>
      <c r="G40" s="193">
        <f>F40+SUMIFS('[7]Potential Stds'!$T$7:$T$150,'[7]Potential Stds'!$I$7:$I$150,Reference!G$17,'[7]Potential Stds'!$C$7:$C$150,Reference!$C40,'[7]Potential Stds'!$A$7:$A$150,$B$34)+SUMIFS('[7]Potential Stds'!$T$7:$T$150,'[7]Potential Stds'!$I$7:$I$150,Reference!G$17,'[7]Potential Stds'!$C$7:$C$150,"split",'[7]Potential Stds'!$A$7:$A$150,$B$34)/2</f>
        <v>0</v>
      </c>
      <c r="H40" s="193">
        <f>G40+SUMIFS('[7]Potential Stds'!$T$7:$T$150,'[7]Potential Stds'!$I$7:$I$150,Reference!H$17,'[7]Potential Stds'!$C$7:$C$150,Reference!$C40,'[7]Potential Stds'!$A$7:$A$150,$B$34)+SUMIFS('[7]Potential Stds'!$T$7:$T$150,'[7]Potential Stds'!$I$7:$I$150,Reference!H$17,'[7]Potential Stds'!$C$7:$C$150,"split",'[7]Potential Stds'!$A$7:$A$150,$B$34)/2</f>
        <v>0</v>
      </c>
      <c r="I40" s="193">
        <f>H40+SUMIFS('[7]Potential Stds'!$T$7:$T$150,'[7]Potential Stds'!$I$7:$I$150,Reference!I$17,'[7]Potential Stds'!$C$7:$C$150,Reference!$C40,'[7]Potential Stds'!$A$7:$A$150,$B$34)+SUMIFS('[7]Potential Stds'!$T$7:$T$150,'[7]Potential Stds'!$I$7:$I$150,Reference!I$17,'[7]Potential Stds'!$C$7:$C$150,"split",'[7]Potential Stds'!$A$7:$A$150,$B$34)/2</f>
        <v>0</v>
      </c>
      <c r="J40" s="193">
        <f>I40+SUMIFS('[7]Potential Stds'!$T$7:$T$150,'[7]Potential Stds'!$I$7:$I$150,Reference!J$17,'[7]Potential Stds'!$C$7:$C$150,Reference!$C40,'[7]Potential Stds'!$A$7:$A$150,$B$34)+SUMIFS('[7]Potential Stds'!$T$7:$T$150,'[7]Potential Stds'!$I$7:$I$150,Reference!J$17,'[7]Potential Stds'!$C$7:$C$150,"split",'[7]Potential Stds'!$A$7:$A$150,$B$34)/2</f>
        <v>0</v>
      </c>
      <c r="K40" s="193">
        <f>J40+SUMIFS('[7]Potential Stds'!$T$7:$T$150,'[7]Potential Stds'!$I$7:$I$150,Reference!K$17,'[7]Potential Stds'!$C$7:$C$150,Reference!$C40,'[7]Potential Stds'!$A$7:$A$150,$B$34)+SUMIFS('[7]Potential Stds'!$T$7:$T$150,'[7]Potential Stds'!$I$7:$I$150,Reference!K$17,'[7]Potential Stds'!$C$7:$C$150,"split",'[7]Potential Stds'!$A$7:$A$150,$B$34)/2</f>
        <v>0</v>
      </c>
      <c r="L40" s="193">
        <f>K40+SUMIFS('[7]Potential Stds'!$T$7:$T$150,'[7]Potential Stds'!$I$7:$I$150,Reference!L$17,'[7]Potential Stds'!$C$7:$C$150,Reference!$C40,'[7]Potential Stds'!$A$7:$A$150,$B$34)+SUMIFS('[7]Potential Stds'!$T$7:$T$150,'[7]Potential Stds'!$I$7:$I$150,Reference!L$17,'[7]Potential Stds'!$C$7:$C$150,"split",'[7]Potential Stds'!$A$7:$A$150,$B$34)/2</f>
        <v>0</v>
      </c>
      <c r="M40" s="193">
        <f>L40+SUMIFS('[7]Potential Stds'!$T$7:$T$150,'[7]Potential Stds'!$I$7:$I$150,Reference!M$17,'[7]Potential Stds'!$C$7:$C$150,Reference!$C40,'[7]Potential Stds'!$A$7:$A$150,$B$34)+SUMIFS('[7]Potential Stds'!$T$7:$T$150,'[7]Potential Stds'!$I$7:$I$150,Reference!M$17,'[7]Potential Stds'!$C$7:$C$150,"split",'[7]Potential Stds'!$A$7:$A$150,$B$34)/2</f>
        <v>1.2392999999999998</v>
      </c>
      <c r="N40" s="193">
        <f>M40+SUMIFS('[7]Potential Stds'!$T$7:$T$150,'[7]Potential Stds'!$I$7:$I$150,Reference!N$17,'[7]Potential Stds'!$C$7:$C$150,Reference!$C40,'[7]Potential Stds'!$A$7:$A$150,$B$34)+SUMIFS('[7]Potential Stds'!$T$7:$T$150,'[7]Potential Stds'!$I$7:$I$150,Reference!N$17,'[7]Potential Stds'!$C$7:$C$150,"split",'[7]Potential Stds'!$A$7:$A$150,$B$34)/2</f>
        <v>15.078149999999999</v>
      </c>
      <c r="O40" s="193">
        <f>N40+SUMIFS('[7]Potential Stds'!$T$7:$T$150,'[7]Potential Stds'!$I$7:$I$150,Reference!O$17,'[7]Potential Stds'!$C$7:$C$150,Reference!$C40,'[7]Potential Stds'!$A$7:$A$150,$B$34)+SUMIFS('[7]Potential Stds'!$T$7:$T$150,'[7]Potential Stds'!$I$7:$I$150,Reference!O$17,'[7]Potential Stds'!$C$7:$C$150,"split",'[7]Potential Stds'!$A$7:$A$150,$B$34)/2</f>
        <v>16.684649999999998</v>
      </c>
      <c r="P40" s="193">
        <f>O40+SUMIFS('[7]Potential Stds'!$T$7:$T$150,'[7]Potential Stds'!$I$7:$I$150,Reference!P$17,'[7]Potential Stds'!$C$7:$C$150,Reference!$C40,'[7]Potential Stds'!$A$7:$A$150,$B$34)+SUMIFS('[7]Potential Stds'!$T$7:$T$150,'[7]Potential Stds'!$I$7:$I$150,Reference!P$17,'[7]Potential Stds'!$C$7:$C$150,"split",'[7]Potential Stds'!$A$7:$A$150,$B$34)/2</f>
        <v>16.684649999999998</v>
      </c>
      <c r="Q40" s="193">
        <f>P40+SUMIFS('[7]Potential Stds'!$T$7:$T$150,'[7]Potential Stds'!$I$7:$I$150,Reference!Q$17,'[7]Potential Stds'!$C$7:$C$150,Reference!$C40,'[7]Potential Stds'!$A$7:$A$150,$B$34)+SUMIFS('[7]Potential Stds'!$T$7:$T$150,'[7]Potential Stds'!$I$7:$I$150,Reference!Q$17,'[7]Potential Stds'!$C$7:$C$150,"split",'[7]Potential Stds'!$A$7:$A$150,$B$34)/2</f>
        <v>16.684649999999998</v>
      </c>
      <c r="R40" s="193">
        <f>Q40+SUMIFS('[7]Potential Stds'!$T$7:$T$150,'[7]Potential Stds'!$I$7:$I$150,Reference!R$17,'[7]Potential Stds'!$C$7:$C$150,Reference!$C40,'[7]Potential Stds'!$A$7:$A$150,$B$34)+SUMIFS('[7]Potential Stds'!$T$7:$T$150,'[7]Potential Stds'!$I$7:$I$150,Reference!R$17,'[7]Potential Stds'!$C$7:$C$150,"split",'[7]Potential Stds'!$A$7:$A$150,$B$34)/2</f>
        <v>16.684649999999998</v>
      </c>
    </row>
    <row r="41" spans="2:18" x14ac:dyDescent="0.3">
      <c r="B41" s="201"/>
      <c r="C41" s="192" t="s">
        <v>451</v>
      </c>
      <c r="D41" s="193">
        <f>SUMIFS('[7]Potential Stds'!$T$7:$T$150,'[7]Potential Stds'!$I$7:$I$150,Reference!D$17,'[7]Potential Stds'!$C$7:$C$150,Reference!$C41,'[7]Potential Stds'!$A$7:$A$150,$B$34)+SUMIFS('[7]Potential Stds'!$T$7:$T$150,'[7]Potential Stds'!$I$7:$I$150,Reference!D$17,'[7]Potential Stds'!$C$7:$C$150,"split",'[7]Potential Stds'!$A$7:$A$150,$B$34)/2</f>
        <v>0</v>
      </c>
      <c r="E41" s="193">
        <f>D41+SUMIFS('[7]Potential Stds'!$T$7:$T$150,'[7]Potential Stds'!$I$7:$I$150,Reference!E$17,'[7]Potential Stds'!$C$7:$C$150,Reference!$C41,'[7]Potential Stds'!$A$7:$A$150,$B$34)+SUMIFS('[7]Potential Stds'!$T$7:$T$150,'[7]Potential Stds'!$I$7:$I$150,Reference!E$17,'[7]Potential Stds'!$C$7:$C$150,"split",'[7]Potential Stds'!$A$7:$A$150,$B$34)/2</f>
        <v>0</v>
      </c>
      <c r="F41" s="193">
        <f>E41+SUMIFS('[7]Potential Stds'!$T$7:$T$150,'[7]Potential Stds'!$I$7:$I$150,Reference!F$17,'[7]Potential Stds'!$C$7:$C$150,Reference!$C41,'[7]Potential Stds'!$A$7:$A$150,$B$34)+SUMIFS('[7]Potential Stds'!$T$7:$T$150,'[7]Potential Stds'!$I$7:$I$150,Reference!F$17,'[7]Potential Stds'!$C$7:$C$150,"split",'[7]Potential Stds'!$A$7:$A$150,$B$34)/2</f>
        <v>0</v>
      </c>
      <c r="G41" s="193">
        <f>F41+SUMIFS('[7]Potential Stds'!$T$7:$T$150,'[7]Potential Stds'!$I$7:$I$150,Reference!G$17,'[7]Potential Stds'!$C$7:$C$150,Reference!$C41,'[7]Potential Stds'!$A$7:$A$150,$B$34)+SUMIFS('[7]Potential Stds'!$T$7:$T$150,'[7]Potential Stds'!$I$7:$I$150,Reference!G$17,'[7]Potential Stds'!$C$7:$C$150,"split",'[7]Potential Stds'!$A$7:$A$150,$B$34)/2</f>
        <v>0</v>
      </c>
      <c r="H41" s="193">
        <f>G41+SUMIFS('[7]Potential Stds'!$T$7:$T$150,'[7]Potential Stds'!$I$7:$I$150,Reference!H$17,'[7]Potential Stds'!$C$7:$C$150,Reference!$C41,'[7]Potential Stds'!$A$7:$A$150,$B$34)+SUMIFS('[7]Potential Stds'!$T$7:$T$150,'[7]Potential Stds'!$I$7:$I$150,Reference!H$17,'[7]Potential Stds'!$C$7:$C$150,"split",'[7]Potential Stds'!$A$7:$A$150,$B$34)/2</f>
        <v>0</v>
      </c>
      <c r="I41" s="193">
        <f>H41+SUMIFS('[7]Potential Stds'!$T$7:$T$150,'[7]Potential Stds'!$I$7:$I$150,Reference!I$17,'[7]Potential Stds'!$C$7:$C$150,Reference!$C41,'[7]Potential Stds'!$A$7:$A$150,$B$34)+SUMIFS('[7]Potential Stds'!$T$7:$T$150,'[7]Potential Stds'!$I$7:$I$150,Reference!I$17,'[7]Potential Stds'!$C$7:$C$150,"split",'[7]Potential Stds'!$A$7:$A$150,$B$34)/2</f>
        <v>0</v>
      </c>
      <c r="J41" s="193">
        <f>I41+SUMIFS('[7]Potential Stds'!$T$7:$T$150,'[7]Potential Stds'!$I$7:$I$150,Reference!J$17,'[7]Potential Stds'!$C$7:$C$150,Reference!$C41,'[7]Potential Stds'!$A$7:$A$150,$B$34)+SUMIFS('[7]Potential Stds'!$T$7:$T$150,'[7]Potential Stds'!$I$7:$I$150,Reference!J$17,'[7]Potential Stds'!$C$7:$C$150,"split",'[7]Potential Stds'!$A$7:$A$150,$B$34)/2</f>
        <v>0</v>
      </c>
      <c r="K41" s="193">
        <f>J41+SUMIFS('[7]Potential Stds'!$T$7:$T$150,'[7]Potential Stds'!$I$7:$I$150,Reference!K$17,'[7]Potential Stds'!$C$7:$C$150,Reference!$C41,'[7]Potential Stds'!$A$7:$A$150,$B$34)+SUMIFS('[7]Potential Stds'!$T$7:$T$150,'[7]Potential Stds'!$I$7:$I$150,Reference!K$17,'[7]Potential Stds'!$C$7:$C$150,"split",'[7]Potential Stds'!$A$7:$A$150,$B$34)/2</f>
        <v>0</v>
      </c>
      <c r="L41" s="193">
        <f>K41+SUMIFS('[7]Potential Stds'!$T$7:$T$150,'[7]Potential Stds'!$I$7:$I$150,Reference!L$17,'[7]Potential Stds'!$C$7:$C$150,Reference!$C41,'[7]Potential Stds'!$A$7:$A$150,$B$34)+SUMIFS('[7]Potential Stds'!$T$7:$T$150,'[7]Potential Stds'!$I$7:$I$150,Reference!L$17,'[7]Potential Stds'!$C$7:$C$150,"split",'[7]Potential Stds'!$A$7:$A$150,$B$34)/2</f>
        <v>0</v>
      </c>
      <c r="M41" s="193">
        <f>L41+SUMIFS('[7]Potential Stds'!$T$7:$T$150,'[7]Potential Stds'!$I$7:$I$150,Reference!M$17,'[7]Potential Stds'!$C$7:$C$150,Reference!$C41,'[7]Potential Stds'!$A$7:$A$150,$B$34)+SUMIFS('[7]Potential Stds'!$T$7:$T$150,'[7]Potential Stds'!$I$7:$I$150,Reference!M$17,'[7]Potential Stds'!$C$7:$C$150,"split",'[7]Potential Stds'!$A$7:$A$150,$B$34)/2</f>
        <v>0</v>
      </c>
      <c r="N41" s="193">
        <f>M41+SUMIFS('[7]Potential Stds'!$T$7:$T$150,'[7]Potential Stds'!$I$7:$I$150,Reference!N$17,'[7]Potential Stds'!$C$7:$C$150,Reference!$C41,'[7]Potential Stds'!$A$7:$A$150,$B$34)+SUMIFS('[7]Potential Stds'!$T$7:$T$150,'[7]Potential Stds'!$I$7:$I$150,Reference!N$17,'[7]Potential Stds'!$C$7:$C$150,"split",'[7]Potential Stds'!$A$7:$A$150,$B$34)/2</f>
        <v>0</v>
      </c>
      <c r="O41" s="193">
        <f>N41+SUMIFS('[7]Potential Stds'!$T$7:$T$150,'[7]Potential Stds'!$I$7:$I$150,Reference!O$17,'[7]Potential Stds'!$C$7:$C$150,Reference!$C41,'[7]Potential Stds'!$A$7:$A$150,$B$34)+SUMIFS('[7]Potential Stds'!$T$7:$T$150,'[7]Potential Stds'!$I$7:$I$150,Reference!O$17,'[7]Potential Stds'!$C$7:$C$150,"split",'[7]Potential Stds'!$A$7:$A$150,$B$34)/2</f>
        <v>0</v>
      </c>
      <c r="P41" s="193">
        <f>O41+SUMIFS('[7]Potential Stds'!$T$7:$T$150,'[7]Potential Stds'!$I$7:$I$150,Reference!P$17,'[7]Potential Stds'!$C$7:$C$150,Reference!$C41,'[7]Potential Stds'!$A$7:$A$150,$B$34)+SUMIFS('[7]Potential Stds'!$T$7:$T$150,'[7]Potential Stds'!$I$7:$I$150,Reference!P$17,'[7]Potential Stds'!$C$7:$C$150,"split",'[7]Potential Stds'!$A$7:$A$150,$B$34)/2</f>
        <v>0</v>
      </c>
      <c r="Q41" s="193">
        <f>P41+SUMIFS('[7]Potential Stds'!$T$7:$T$150,'[7]Potential Stds'!$I$7:$I$150,Reference!Q$17,'[7]Potential Stds'!$C$7:$C$150,Reference!$C41,'[7]Potential Stds'!$A$7:$A$150,$B$34)+SUMIFS('[7]Potential Stds'!$T$7:$T$150,'[7]Potential Stds'!$I$7:$I$150,Reference!Q$17,'[7]Potential Stds'!$C$7:$C$150,"split",'[7]Potential Stds'!$A$7:$A$150,$B$34)/2</f>
        <v>1.5300000000000001E-2</v>
      </c>
      <c r="R41" s="193">
        <f>Q41+SUMIFS('[7]Potential Stds'!$T$7:$T$150,'[7]Potential Stds'!$I$7:$I$150,Reference!R$17,'[7]Potential Stds'!$C$7:$C$150,Reference!$C41,'[7]Potential Stds'!$A$7:$A$150,$B$34)+SUMIFS('[7]Potential Stds'!$T$7:$T$150,'[7]Potential Stds'!$I$7:$I$150,Reference!R$17,'[7]Potential Stds'!$C$7:$C$150,"split",'[7]Potential Stds'!$A$7:$A$150,$B$34)/2</f>
        <v>2.6468999999999996</v>
      </c>
    </row>
    <row r="42" spans="2:18" x14ac:dyDescent="0.3">
      <c r="D42" s="19"/>
      <c r="E42" s="19"/>
      <c r="F42" s="19"/>
      <c r="G42" s="19"/>
      <c r="H42" s="19"/>
      <c r="I42" s="19"/>
      <c r="J42" s="19"/>
      <c r="K42" s="19"/>
      <c r="L42" s="19"/>
      <c r="M42" s="19"/>
      <c r="N42" s="19"/>
      <c r="O42" s="19"/>
      <c r="P42" s="19"/>
      <c r="Q42" s="19"/>
      <c r="R42" s="19"/>
    </row>
    <row r="44" spans="2:18" x14ac:dyDescent="0.3">
      <c r="B44" s="197" t="s">
        <v>462</v>
      </c>
    </row>
    <row r="45" spans="2:18" x14ac:dyDescent="0.3">
      <c r="G45" s="43"/>
      <c r="H45" s="43"/>
      <c r="I45" s="43"/>
      <c r="J45" s="43"/>
      <c r="K45" s="43"/>
      <c r="L45" s="43"/>
      <c r="M45" s="43"/>
      <c r="N45" s="43"/>
      <c r="O45" s="43"/>
      <c r="P45" s="43"/>
      <c r="Q45" s="43"/>
      <c r="R45" s="43"/>
    </row>
    <row r="46" spans="2:18" x14ac:dyDescent="0.3">
      <c r="D46">
        <v>2015</v>
      </c>
      <c r="E46">
        <v>2016</v>
      </c>
      <c r="F46">
        <v>2017</v>
      </c>
      <c r="G46">
        <v>2018</v>
      </c>
      <c r="H46">
        <v>2019</v>
      </c>
      <c r="I46">
        <v>2020</v>
      </c>
      <c r="J46">
        <v>2021</v>
      </c>
      <c r="K46">
        <v>2022</v>
      </c>
      <c r="L46">
        <v>2023</v>
      </c>
      <c r="M46">
        <v>2024</v>
      </c>
      <c r="N46">
        <v>2025</v>
      </c>
      <c r="O46">
        <v>2026</v>
      </c>
      <c r="P46">
        <v>2027</v>
      </c>
      <c r="Q46">
        <v>2028</v>
      </c>
      <c r="R46">
        <v>2029</v>
      </c>
    </row>
    <row r="47" spans="2:18" x14ac:dyDescent="0.3">
      <c r="B47" s="203" t="s">
        <v>876</v>
      </c>
      <c r="C47" s="192" t="s">
        <v>440</v>
      </c>
      <c r="D47" s="193">
        <f>D37</f>
        <v>0</v>
      </c>
      <c r="E47" s="193">
        <f>D47+E37</f>
        <v>0</v>
      </c>
      <c r="F47" s="193">
        <f t="shared" ref="F47:R47" si="0">E47+F37</f>
        <v>0</v>
      </c>
      <c r="G47" s="193">
        <f t="shared" si="0"/>
        <v>0</v>
      </c>
      <c r="H47" s="193">
        <f t="shared" si="0"/>
        <v>0</v>
      </c>
      <c r="I47" s="193">
        <f t="shared" si="0"/>
        <v>0</v>
      </c>
      <c r="J47" s="193">
        <f t="shared" si="0"/>
        <v>0</v>
      </c>
      <c r="K47" s="193">
        <f t="shared" si="0"/>
        <v>0</v>
      </c>
      <c r="L47" s="193">
        <f t="shared" si="0"/>
        <v>0</v>
      </c>
      <c r="M47" s="193">
        <f t="shared" si="0"/>
        <v>22.888800000000003</v>
      </c>
      <c r="N47" s="193">
        <f t="shared" si="0"/>
        <v>526.99779000000012</v>
      </c>
      <c r="O47" s="193">
        <f t="shared" si="0"/>
        <v>1195.8877800000002</v>
      </c>
      <c r="P47" s="193">
        <f t="shared" si="0"/>
        <v>1873.8047700000004</v>
      </c>
      <c r="Q47" s="193">
        <f t="shared" si="0"/>
        <v>2551.7217600000004</v>
      </c>
      <c r="R47" s="193">
        <f t="shared" si="0"/>
        <v>3257.8794900000003</v>
      </c>
    </row>
    <row r="48" spans="2:18" x14ac:dyDescent="0.3">
      <c r="B48" s="203"/>
      <c r="C48" s="192" t="s">
        <v>451</v>
      </c>
      <c r="D48" s="193">
        <f>D38</f>
        <v>0</v>
      </c>
      <c r="E48" s="193">
        <f t="shared" ref="E48:R48" si="1">D48+E38</f>
        <v>0</v>
      </c>
      <c r="F48" s="193">
        <f t="shared" si="1"/>
        <v>0</v>
      </c>
      <c r="G48" s="193">
        <f t="shared" si="1"/>
        <v>0</v>
      </c>
      <c r="H48" s="193">
        <f t="shared" si="1"/>
        <v>0</v>
      </c>
      <c r="I48" s="193">
        <f t="shared" si="1"/>
        <v>0</v>
      </c>
      <c r="J48" s="193">
        <f t="shared" si="1"/>
        <v>0</v>
      </c>
      <c r="K48" s="193">
        <f t="shared" si="1"/>
        <v>0</v>
      </c>
      <c r="L48" s="193">
        <f t="shared" si="1"/>
        <v>0</v>
      </c>
      <c r="M48" s="193">
        <f t="shared" si="1"/>
        <v>0</v>
      </c>
      <c r="N48" s="193">
        <f t="shared" si="1"/>
        <v>23.962859999999999</v>
      </c>
      <c r="O48" s="193">
        <f t="shared" si="1"/>
        <v>157.25952000000001</v>
      </c>
      <c r="P48" s="193">
        <f t="shared" si="1"/>
        <v>447.83099999999996</v>
      </c>
      <c r="Q48" s="193">
        <f t="shared" si="1"/>
        <v>786.24863999999991</v>
      </c>
      <c r="R48" s="193">
        <f t="shared" si="1"/>
        <v>1158.9596999999999</v>
      </c>
    </row>
    <row r="49" spans="2:18" x14ac:dyDescent="0.3">
      <c r="B49" s="202"/>
      <c r="C49" s="192"/>
      <c r="D49" s="193"/>
      <c r="E49" s="193">
        <f t="shared" ref="E49:R49" si="2">D49+E39</f>
        <v>0</v>
      </c>
      <c r="F49" s="193">
        <f t="shared" si="2"/>
        <v>0</v>
      </c>
      <c r="G49" s="193">
        <f t="shared" si="2"/>
        <v>0</v>
      </c>
      <c r="H49" s="193">
        <f t="shared" si="2"/>
        <v>0</v>
      </c>
      <c r="I49" s="193">
        <f t="shared" si="2"/>
        <v>0</v>
      </c>
      <c r="J49" s="193">
        <f t="shared" si="2"/>
        <v>0</v>
      </c>
      <c r="K49" s="193">
        <f t="shared" si="2"/>
        <v>0</v>
      </c>
      <c r="L49" s="193">
        <f t="shared" si="2"/>
        <v>0</v>
      </c>
      <c r="M49" s="193">
        <f t="shared" si="2"/>
        <v>0</v>
      </c>
      <c r="N49" s="193">
        <f t="shared" si="2"/>
        <v>0</v>
      </c>
      <c r="O49" s="193">
        <f t="shared" si="2"/>
        <v>0</v>
      </c>
      <c r="P49" s="193">
        <f t="shared" si="2"/>
        <v>0</v>
      </c>
      <c r="Q49" s="193">
        <f t="shared" si="2"/>
        <v>0</v>
      </c>
      <c r="R49" s="193">
        <f t="shared" si="2"/>
        <v>0</v>
      </c>
    </row>
    <row r="50" spans="2:18" x14ac:dyDescent="0.3">
      <c r="B50" s="203" t="s">
        <v>877</v>
      </c>
      <c r="C50" s="192" t="s">
        <v>440</v>
      </c>
      <c r="D50" s="193">
        <f>D40</f>
        <v>0</v>
      </c>
      <c r="E50" s="193">
        <f t="shared" ref="E50:R50" si="3">D50+E40</f>
        <v>0</v>
      </c>
      <c r="F50" s="193">
        <f t="shared" si="3"/>
        <v>0</v>
      </c>
      <c r="G50" s="193">
        <f t="shared" si="3"/>
        <v>0</v>
      </c>
      <c r="H50" s="193">
        <f t="shared" si="3"/>
        <v>0</v>
      </c>
      <c r="I50" s="193">
        <f t="shared" si="3"/>
        <v>0</v>
      </c>
      <c r="J50" s="193">
        <f t="shared" si="3"/>
        <v>0</v>
      </c>
      <c r="K50" s="193">
        <f t="shared" si="3"/>
        <v>0</v>
      </c>
      <c r="L50" s="193">
        <f t="shared" si="3"/>
        <v>0</v>
      </c>
      <c r="M50" s="193">
        <f t="shared" si="3"/>
        <v>1.2392999999999998</v>
      </c>
      <c r="N50" s="193">
        <f t="shared" si="3"/>
        <v>16.317449999999997</v>
      </c>
      <c r="O50" s="193">
        <f t="shared" si="3"/>
        <v>33.002099999999999</v>
      </c>
      <c r="P50" s="193">
        <f t="shared" si="3"/>
        <v>49.686749999999996</v>
      </c>
      <c r="Q50" s="193">
        <f t="shared" si="3"/>
        <v>66.371399999999994</v>
      </c>
      <c r="R50" s="193">
        <f t="shared" si="3"/>
        <v>83.056049999999999</v>
      </c>
    </row>
    <row r="51" spans="2:18" x14ac:dyDescent="0.3">
      <c r="B51" s="203"/>
      <c r="C51" s="192" t="s">
        <v>451</v>
      </c>
      <c r="D51" s="193">
        <f>D41</f>
        <v>0</v>
      </c>
      <c r="E51" s="193">
        <f t="shared" ref="E51:R51" si="4">D51+E41</f>
        <v>0</v>
      </c>
      <c r="F51" s="193">
        <f t="shared" si="4"/>
        <v>0</v>
      </c>
      <c r="G51" s="193">
        <f t="shared" si="4"/>
        <v>0</v>
      </c>
      <c r="H51" s="193">
        <f t="shared" si="4"/>
        <v>0</v>
      </c>
      <c r="I51" s="193">
        <f t="shared" si="4"/>
        <v>0</v>
      </c>
      <c r="J51" s="193">
        <f t="shared" si="4"/>
        <v>0</v>
      </c>
      <c r="K51" s="193">
        <f t="shared" si="4"/>
        <v>0</v>
      </c>
      <c r="L51" s="193">
        <f t="shared" si="4"/>
        <v>0</v>
      </c>
      <c r="M51" s="193">
        <f t="shared" si="4"/>
        <v>0</v>
      </c>
      <c r="N51" s="193">
        <f t="shared" si="4"/>
        <v>0</v>
      </c>
      <c r="O51" s="193">
        <f t="shared" si="4"/>
        <v>0</v>
      </c>
      <c r="P51" s="193">
        <f t="shared" si="4"/>
        <v>0</v>
      </c>
      <c r="Q51" s="193">
        <f t="shared" si="4"/>
        <v>1.5300000000000001E-2</v>
      </c>
      <c r="R51" s="193">
        <f t="shared" si="4"/>
        <v>2.6621999999999995</v>
      </c>
    </row>
  </sheetData>
  <mergeCells count="8">
    <mergeCell ref="B40:B41"/>
    <mergeCell ref="B47:B48"/>
    <mergeCell ref="B50:B51"/>
    <mergeCell ref="B18:B19"/>
    <mergeCell ref="B21:B22"/>
    <mergeCell ref="B28:B29"/>
    <mergeCell ref="B31:B32"/>
    <mergeCell ref="B37:B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windowProtection="1" zoomScale="55" zoomScaleNormal="55" workbookViewId="0">
      <selection activeCell="D31" sqref="D31"/>
    </sheetView>
  </sheetViews>
  <sheetFormatPr defaultColWidth="8.88671875" defaultRowHeight="14.4" x14ac:dyDescent="0.3"/>
  <cols>
    <col min="2" max="2" width="60.6640625" bestFit="1" customWidth="1"/>
    <col min="3" max="18" width="13.5546875" customWidth="1"/>
  </cols>
  <sheetData>
    <row r="1" spans="2:18" ht="23.4" x14ac:dyDescent="0.45">
      <c r="B1" s="101" t="s">
        <v>774</v>
      </c>
      <c r="C1" s="101" t="str">
        <f>'Program Analysis'!C3</f>
        <v>Federal Appliance Standards</v>
      </c>
    </row>
    <row r="2" spans="2:18" ht="23.4" x14ac:dyDescent="0.45">
      <c r="B2" s="101" t="s">
        <v>775</v>
      </c>
      <c r="C2" s="101" t="s">
        <v>738</v>
      </c>
    </row>
    <row r="4" spans="2:18" x14ac:dyDescent="0.3">
      <c r="B4" s="150" t="s">
        <v>829</v>
      </c>
      <c r="C4" t="s">
        <v>717</v>
      </c>
    </row>
    <row r="5" spans="2:18" x14ac:dyDescent="0.3">
      <c r="C5" t="s">
        <v>420</v>
      </c>
    </row>
    <row r="6" spans="2:18" x14ac:dyDescent="0.3">
      <c r="C6" t="s">
        <v>831</v>
      </c>
    </row>
    <row r="7" spans="2:18" x14ac:dyDescent="0.3">
      <c r="C7" t="s">
        <v>832</v>
      </c>
    </row>
    <row r="8" spans="2:18" x14ac:dyDescent="0.3">
      <c r="C8" t="s">
        <v>833</v>
      </c>
    </row>
    <row r="9" spans="2:18" x14ac:dyDescent="0.3">
      <c r="C9" t="s">
        <v>718</v>
      </c>
    </row>
    <row r="11" spans="2:18" x14ac:dyDescent="0.3">
      <c r="B11" s="150" t="s">
        <v>788</v>
      </c>
      <c r="C11" s="163">
        <v>0.85</v>
      </c>
      <c r="D11" t="s">
        <v>875</v>
      </c>
    </row>
    <row r="15" spans="2:18" x14ac:dyDescent="0.3">
      <c r="B15" t="s">
        <v>836</v>
      </c>
    </row>
    <row r="16" spans="2:18" x14ac:dyDescent="0.3">
      <c r="D16" s="43"/>
      <c r="E16" s="43"/>
      <c r="F16" s="43"/>
      <c r="G16" s="43"/>
      <c r="H16" s="43"/>
      <c r="I16" s="43"/>
      <c r="J16" s="43"/>
      <c r="K16" s="43"/>
      <c r="L16" s="43"/>
      <c r="M16" s="43"/>
      <c r="N16" s="43"/>
      <c r="O16" s="43"/>
      <c r="P16" s="43"/>
      <c r="Q16" s="43"/>
      <c r="R16" s="43"/>
    </row>
    <row r="17" spans="2:18" x14ac:dyDescent="0.3">
      <c r="D17">
        <v>2015</v>
      </c>
      <c r="E17">
        <v>2016</v>
      </c>
      <c r="F17">
        <v>2017</v>
      </c>
      <c r="G17">
        <v>2018</v>
      </c>
      <c r="H17">
        <v>2019</v>
      </c>
      <c r="I17">
        <v>2020</v>
      </c>
      <c r="J17">
        <v>2021</v>
      </c>
      <c r="K17">
        <v>2022</v>
      </c>
      <c r="L17">
        <v>2023</v>
      </c>
      <c r="M17">
        <v>2024</v>
      </c>
      <c r="N17">
        <v>2025</v>
      </c>
      <c r="O17">
        <v>2026</v>
      </c>
      <c r="P17">
        <v>2027</v>
      </c>
      <c r="Q17">
        <v>2028</v>
      </c>
      <c r="R17">
        <v>2029</v>
      </c>
    </row>
    <row r="18" spans="2:18" s="151" customFormat="1" x14ac:dyDescent="0.3">
      <c r="B18" s="198" t="s">
        <v>878</v>
      </c>
      <c r="C18" s="194" t="s">
        <v>440</v>
      </c>
      <c r="D18" s="195">
        <f>SUMIFS('[7]Potential Stds'!$Q$7:$Q$150,'[7]Potential Stds'!$I$7:$I$150,Conservative!D$17,'[7]Potential Stds'!$C$7:$C$150,Conservative!$C18)+SUMIFS('[7]Potential Stds'!$Q$7:$Q$150,'[7]Potential Stds'!$I$7:$I$150,Conservative!D$17,'[7]Potential Stds'!$C$7:$C$150,"split")/2</f>
        <v>0</v>
      </c>
      <c r="E18" s="195">
        <f>D18+SUMIFS('[7]Potential Stds'!$Q$7:$Q$150,'[7]Potential Stds'!$I$7:$I$150,Conservative!E$17,'[7]Potential Stds'!$C$7:$C$150,Conservative!$C18)+SUMIFS('[7]Potential Stds'!$Q$7:$Q$150,'[7]Potential Stds'!$I$7:$I$150,Conservative!E$17,'[7]Potential Stds'!$C$7:$C$150,"split")/2</f>
        <v>0</v>
      </c>
      <c r="F18" s="195">
        <f>E18+SUMIFS('[7]Potential Stds'!$Q$7:$Q$150,'[7]Potential Stds'!$I$7:$I$150,Conservative!F$17,'[7]Potential Stds'!$C$7:$C$150,Conservative!$C18)+SUMIFS('[7]Potential Stds'!$Q$7:$Q$150,'[7]Potential Stds'!$I$7:$I$150,Conservative!F$17,'[7]Potential Stds'!$C$7:$C$150,"split")/2</f>
        <v>0</v>
      </c>
      <c r="G18" s="195">
        <f>F18+SUMIFS('[7]Potential Stds'!$Q$7:$Q$150,'[7]Potential Stds'!$I$7:$I$150,Conservative!G$17,'[7]Potential Stds'!$C$7:$C$150,Conservative!$C18)+SUMIFS('[7]Potential Stds'!$Q$7:$Q$150,'[7]Potential Stds'!$I$7:$I$150,Conservative!G$17,'[7]Potential Stds'!$C$7:$C$150,"split")/2</f>
        <v>0</v>
      </c>
      <c r="H18" s="195">
        <f>G18+SUMIFS('[7]Potential Stds'!$Q$7:$Q$150,'[7]Potential Stds'!$I$7:$I$150,Conservative!H$17,'[7]Potential Stds'!$C$7:$C$150,Conservative!$C18)+SUMIFS('[7]Potential Stds'!$Q$7:$Q$150,'[7]Potential Stds'!$I$7:$I$150,Conservative!H$17,'[7]Potential Stds'!$C$7:$C$150,"split")/2</f>
        <v>0</v>
      </c>
      <c r="I18" s="195">
        <f>H18+SUMIFS('[7]Potential Stds'!$Q$7:$Q$150,'[7]Potential Stds'!$I$7:$I$150,Conservative!I$17,'[7]Potential Stds'!$C$7:$C$150,Conservative!$C18)+SUMIFS('[7]Potential Stds'!$Q$7:$Q$150,'[7]Potential Stds'!$I$7:$I$150,Conservative!I$17,'[7]Potential Stds'!$C$7:$C$150,"split")/2</f>
        <v>0</v>
      </c>
      <c r="J18" s="195">
        <f>I18+SUMIFS('[7]Potential Stds'!$Q$7:$Q$150,'[7]Potential Stds'!$I$7:$I$150,Conservative!J$17,'[7]Potential Stds'!$C$7:$C$150,Conservative!$C18)+SUMIFS('[7]Potential Stds'!$Q$7:$Q$150,'[7]Potential Stds'!$I$7:$I$150,Conservative!J$17,'[7]Potential Stds'!$C$7:$C$150,"split")/2</f>
        <v>0</v>
      </c>
      <c r="K18" s="195">
        <f>J18+SUMIFS('[7]Potential Stds'!$Q$7:$Q$150,'[7]Potential Stds'!$I$7:$I$150,Conservative!K$17,'[7]Potential Stds'!$C$7:$C$150,Conservative!$C18)+SUMIFS('[7]Potential Stds'!$Q$7:$Q$150,'[7]Potential Stds'!$I$7:$I$150,Conservative!K$17,'[7]Potential Stds'!$C$7:$C$150,"split")/2</f>
        <v>0</v>
      </c>
      <c r="L18" s="195">
        <f>K18+SUMIFS('[7]Potential Stds'!$Q$7:$Q$150,'[7]Potential Stds'!$I$7:$I$150,Conservative!L$17,'[7]Potential Stds'!$C$7:$C$150,Conservative!$C18)+SUMIFS('[7]Potential Stds'!$Q$7:$Q$150,'[7]Potential Stds'!$I$7:$I$150,Conservative!L$17,'[7]Potential Stds'!$C$7:$C$150,"split")/2</f>
        <v>0</v>
      </c>
      <c r="M18" s="195">
        <f>L18+SUMIFS('[7]Potential Stds'!$Q$7:$Q$150,'[7]Potential Stds'!$I$7:$I$150,Conservative!M$17,'[7]Potential Stds'!$C$7:$C$150,Conservative!$C18)+SUMIFS('[7]Potential Stds'!$Q$7:$Q$150,'[7]Potential Stds'!$I$7:$I$150,Conservative!M$17,'[7]Potential Stds'!$C$7:$C$150,"split")/2</f>
        <v>182.19930000000002</v>
      </c>
      <c r="N18" s="195">
        <f>M18+SUMIFS('[7]Potential Stds'!$Q$7:$Q$150,'[7]Potential Stds'!$I$7:$I$150,Conservative!N$17,'[7]Potential Stds'!$C$7:$C$150,Conservative!$C18)+SUMIFS('[7]Potential Stds'!$Q$7:$Q$150,'[7]Potential Stds'!$I$7:$I$150,Conservative!N$17,'[7]Potential Stds'!$C$7:$C$150,"split")/2</f>
        <v>663.41949000000011</v>
      </c>
      <c r="O18" s="195">
        <f>N18+SUMIFS('[7]Potential Stds'!$Q$7:$Q$150,'[7]Potential Stds'!$I$7:$I$150,Conservative!O$17,'[7]Potential Stds'!$C$7:$C$150,Conservative!$C18)+SUMIFS('[7]Potential Stds'!$Q$7:$Q$150,'[7]Potential Stds'!$I$7:$I$150,Conservative!O$17,'[7]Potential Stds'!$C$7:$C$150,"split")/2</f>
        <v>828.20049000000017</v>
      </c>
      <c r="P18" s="195">
        <f>O18+SUMIFS('[7]Potential Stds'!$Q$7:$Q$150,'[7]Potential Stds'!$I$7:$I$150,Conservative!P$17,'[7]Potential Stds'!$C$7:$C$150,Conservative!$C18)+SUMIFS('[7]Potential Stds'!$Q$7:$Q$150,'[7]Potential Stds'!$I$7:$I$150,Conservative!P$17,'[7]Potential Stds'!$C$7:$C$150,"split")/2</f>
        <v>837.22749000000022</v>
      </c>
      <c r="Q18" s="195">
        <f>P18+SUMIFS('[7]Potential Stds'!$Q$7:$Q$150,'[7]Potential Stds'!$I$7:$I$150,Conservative!Q$17,'[7]Potential Stds'!$C$7:$C$150,Conservative!$C18)+SUMIFS('[7]Potential Stds'!$Q$7:$Q$150,'[7]Potential Stds'!$I$7:$I$150,Conservative!Q$17,'[7]Potential Stds'!$C$7:$C$150,"split")/2</f>
        <v>837.22749000000022</v>
      </c>
      <c r="R18" s="195">
        <f>Q18+SUMIFS('[7]Potential Stds'!$Q$7:$Q$150,'[7]Potential Stds'!$I$7:$I$150,Conservative!R$17,'[7]Potential Stds'!$C$7:$C$150,Conservative!$C18)+SUMIFS('[7]Potential Stds'!$Q$7:$Q$150,'[7]Potential Stds'!$I$7:$I$150,Conservative!R$17,'[7]Potential Stds'!$C$7:$C$150,"split")/2</f>
        <v>850.01829000000021</v>
      </c>
    </row>
    <row r="19" spans="2:18" x14ac:dyDescent="0.3">
      <c r="B19" s="199"/>
      <c r="C19" s="194" t="s">
        <v>451</v>
      </c>
      <c r="D19" s="195">
        <f>SUMIFS('[7]Potential Stds'!$Q$7:$Q$150,'[7]Potential Stds'!$I$7:$I$150,Conservative!D$17,'[7]Potential Stds'!$C$7:$C$150,Conservative!$C19)+SUMIFS('[7]Potential Stds'!$Q$7:$Q$150,'[7]Potential Stds'!$I$7:$I$150,Conservative!D$17,'[7]Potential Stds'!$C$7:$C$150,"split")/2</f>
        <v>0</v>
      </c>
      <c r="E19" s="195">
        <f>D19+SUMIFS('[7]Potential Stds'!$Q$7:$Q$150,'[7]Potential Stds'!$I$7:$I$150,Conservative!E$17,'[7]Potential Stds'!$C$7:$C$150,Conservative!$C19)+SUMIFS('[7]Potential Stds'!$Q$7:$Q$150,'[7]Potential Stds'!$I$7:$I$150,Conservative!E$17,'[7]Potential Stds'!$C$7:$C$150,"split")/2</f>
        <v>0</v>
      </c>
      <c r="F19" s="195">
        <f>E19+SUMIFS('[7]Potential Stds'!$Q$7:$Q$150,'[7]Potential Stds'!$I$7:$I$150,Conservative!F$17,'[7]Potential Stds'!$C$7:$C$150,Conservative!$C19)+SUMIFS('[7]Potential Stds'!$Q$7:$Q$150,'[7]Potential Stds'!$I$7:$I$150,Conservative!F$17,'[7]Potential Stds'!$C$7:$C$150,"split")/2</f>
        <v>0</v>
      </c>
      <c r="G19" s="195">
        <f>F19+SUMIFS('[7]Potential Stds'!$Q$7:$Q$150,'[7]Potential Stds'!$I$7:$I$150,Conservative!G$17,'[7]Potential Stds'!$C$7:$C$150,Conservative!$C19)+SUMIFS('[7]Potential Stds'!$Q$7:$Q$150,'[7]Potential Stds'!$I$7:$I$150,Conservative!G$17,'[7]Potential Stds'!$C$7:$C$150,"split")/2</f>
        <v>0</v>
      </c>
      <c r="H19" s="195">
        <f>G19+SUMIFS('[7]Potential Stds'!$Q$7:$Q$150,'[7]Potential Stds'!$I$7:$I$150,Conservative!H$17,'[7]Potential Stds'!$C$7:$C$150,Conservative!$C19)+SUMIFS('[7]Potential Stds'!$Q$7:$Q$150,'[7]Potential Stds'!$I$7:$I$150,Conservative!H$17,'[7]Potential Stds'!$C$7:$C$150,"split")/2</f>
        <v>0</v>
      </c>
      <c r="I19" s="195">
        <f>H19+SUMIFS('[7]Potential Stds'!$Q$7:$Q$150,'[7]Potential Stds'!$I$7:$I$150,Conservative!I$17,'[7]Potential Stds'!$C$7:$C$150,Conservative!$C19)+SUMIFS('[7]Potential Stds'!$Q$7:$Q$150,'[7]Potential Stds'!$I$7:$I$150,Conservative!I$17,'[7]Potential Stds'!$C$7:$C$150,"split")/2</f>
        <v>0</v>
      </c>
      <c r="J19" s="195">
        <f>I19+SUMIFS('[7]Potential Stds'!$Q$7:$Q$150,'[7]Potential Stds'!$I$7:$I$150,Conservative!J$17,'[7]Potential Stds'!$C$7:$C$150,Conservative!$C19)+SUMIFS('[7]Potential Stds'!$Q$7:$Q$150,'[7]Potential Stds'!$I$7:$I$150,Conservative!J$17,'[7]Potential Stds'!$C$7:$C$150,"split")/2</f>
        <v>0</v>
      </c>
      <c r="K19" s="195">
        <f>J19+SUMIFS('[7]Potential Stds'!$Q$7:$Q$150,'[7]Potential Stds'!$I$7:$I$150,Conservative!K$17,'[7]Potential Stds'!$C$7:$C$150,Conservative!$C19)+SUMIFS('[7]Potential Stds'!$Q$7:$Q$150,'[7]Potential Stds'!$I$7:$I$150,Conservative!K$17,'[7]Potential Stds'!$C$7:$C$150,"split")/2</f>
        <v>0</v>
      </c>
      <c r="L19" s="195">
        <f>K19+SUMIFS('[7]Potential Stds'!$Q$7:$Q$150,'[7]Potential Stds'!$I$7:$I$150,Conservative!L$17,'[7]Potential Stds'!$C$7:$C$150,Conservative!$C19)+SUMIFS('[7]Potential Stds'!$Q$7:$Q$150,'[7]Potential Stds'!$I$7:$I$150,Conservative!L$17,'[7]Potential Stds'!$C$7:$C$150,"split")/2</f>
        <v>0</v>
      </c>
      <c r="M19" s="195">
        <f>L19+SUMIFS('[7]Potential Stds'!$Q$7:$Q$150,'[7]Potential Stds'!$I$7:$I$150,Conservative!M$17,'[7]Potential Stds'!$C$7:$C$150,Conservative!$C19)+SUMIFS('[7]Potential Stds'!$Q$7:$Q$150,'[7]Potential Stds'!$I$7:$I$150,Conservative!M$17,'[7]Potential Stds'!$C$7:$C$150,"split")/2</f>
        <v>159.31050000000002</v>
      </c>
      <c r="N19" s="195">
        <f>M19+SUMIFS('[7]Potential Stds'!$Q$7:$Q$150,'[7]Potential Stds'!$I$7:$I$150,Conservative!N$17,'[7]Potential Stds'!$C$7:$C$150,Conservative!$C19)+SUMIFS('[7]Potential Stds'!$Q$7:$Q$150,'[7]Potential Stds'!$I$7:$I$150,Conservative!N$17,'[7]Potential Stds'!$C$7:$C$150,"split")/2</f>
        <v>183.27336000000003</v>
      </c>
      <c r="O19" s="195">
        <f>N19+SUMIFS('[7]Potential Stds'!$Q$7:$Q$150,'[7]Potential Stds'!$I$7:$I$150,Conservative!O$17,'[7]Potential Stds'!$C$7:$C$150,Conservative!$C19)+SUMIFS('[7]Potential Stds'!$Q$7:$Q$150,'[7]Potential Stds'!$I$7:$I$150,Conservative!O$17,'[7]Potential Stds'!$C$7:$C$150,"split")/2</f>
        <v>183.27336000000003</v>
      </c>
      <c r="P19" s="195">
        <f>O19+SUMIFS('[7]Potential Stds'!$Q$7:$Q$150,'[7]Potential Stds'!$I$7:$I$150,Conservative!P$17,'[7]Potential Stds'!$C$7:$C$150,Conservative!$C19)+SUMIFS('[7]Potential Stds'!$Q$7:$Q$150,'[7]Potential Stds'!$I$7:$I$150,Conservative!P$17,'[7]Potential Stds'!$C$7:$C$150,"split")/2</f>
        <v>340.54818</v>
      </c>
      <c r="Q19" s="195">
        <f>P19+SUMIFS('[7]Potential Stds'!$Q$7:$Q$150,'[7]Potential Stds'!$I$7:$I$150,Conservative!Q$17,'[7]Potential Stds'!$C$7:$C$150,Conservative!$C19)+SUMIFS('[7]Potential Stds'!$Q$7:$Q$150,'[7]Potential Stds'!$I$7:$I$150,Conservative!Q$17,'[7]Potential Stds'!$C$7:$C$150,"split")/2</f>
        <v>359.18358000000001</v>
      </c>
      <c r="R19" s="195">
        <f>Q19+SUMIFS('[7]Potential Stds'!$Q$7:$Q$150,'[7]Potential Stds'!$I$7:$I$150,Conservative!R$17,'[7]Potential Stds'!$C$7:$C$150,Conservative!$C19)+SUMIFS('[7]Potential Stds'!$Q$7:$Q$150,'[7]Potential Stds'!$I$7:$I$150,Conservative!R$17,'[7]Potential Stds'!$C$7:$C$150,"split")/2</f>
        <v>393.47699999999998</v>
      </c>
    </row>
    <row r="20" spans="2:18" x14ac:dyDescent="0.3">
      <c r="B20" s="200"/>
      <c r="C20" s="194"/>
      <c r="D20" s="195"/>
      <c r="E20" s="195"/>
      <c r="F20" s="195"/>
      <c r="G20" s="195"/>
      <c r="H20" s="195"/>
      <c r="I20" s="195"/>
      <c r="J20" s="195"/>
      <c r="K20" s="195"/>
      <c r="L20" s="195"/>
      <c r="M20" s="195"/>
      <c r="N20" s="195"/>
      <c r="O20" s="195"/>
      <c r="P20" s="195"/>
      <c r="Q20" s="195"/>
      <c r="R20" s="195"/>
    </row>
    <row r="21" spans="2:18" x14ac:dyDescent="0.3">
      <c r="B21" s="198" t="s">
        <v>879</v>
      </c>
      <c r="C21" s="194" t="s">
        <v>440</v>
      </c>
      <c r="D21" s="195">
        <f>SUMIFS('[7]Potential Stds'!$R$7:$R$150,'[7]Potential Stds'!$I$7:$I$150,Conservative!D$17,'[7]Potential Stds'!$C$7:$C$150,Conservative!$C21)+SUMIFS('[7]Potential Stds'!$R$7:$R$150,'[7]Potential Stds'!$I$7:$I$150,Conservative!D$17,'[7]Potential Stds'!$C$7:$C$150,"split")/2</f>
        <v>0</v>
      </c>
      <c r="E21" s="195">
        <f>D21+SUMIFS('[7]Potential Stds'!$R$7:$R$150,'[7]Potential Stds'!$I$7:$I$150,Conservative!E$17,'[7]Potential Stds'!$C$7:$C$150,Conservative!$C21)+SUMIFS('[7]Potential Stds'!$R$7:$R$150,'[7]Potential Stds'!$I$7:$I$150,Conservative!E$17,'[7]Potential Stds'!$C$7:$C$150,"split")/2</f>
        <v>0</v>
      </c>
      <c r="F21" s="195">
        <f>E21+SUMIFS('[7]Potential Stds'!$R$7:$R$150,'[7]Potential Stds'!$I$7:$I$150,Conservative!F$17,'[7]Potential Stds'!$C$7:$C$150,Conservative!$C21)+SUMIFS('[7]Potential Stds'!$R$7:$R$150,'[7]Potential Stds'!$I$7:$I$150,Conservative!F$17,'[7]Potential Stds'!$C$7:$C$150,"split")/2</f>
        <v>0</v>
      </c>
      <c r="G21" s="195">
        <f>F21+SUMIFS('[7]Potential Stds'!$R$7:$R$150,'[7]Potential Stds'!$I$7:$I$150,Conservative!G$17,'[7]Potential Stds'!$C$7:$C$150,Conservative!$C21)+SUMIFS('[7]Potential Stds'!$R$7:$R$150,'[7]Potential Stds'!$I$7:$I$150,Conservative!G$17,'[7]Potential Stds'!$C$7:$C$150,"split")/2</f>
        <v>0</v>
      </c>
      <c r="H21" s="195">
        <f>G21+SUMIFS('[7]Potential Stds'!$R$7:$R$150,'[7]Potential Stds'!$I$7:$I$150,Conservative!H$17,'[7]Potential Stds'!$C$7:$C$150,Conservative!$C21)+SUMIFS('[7]Potential Stds'!$R$7:$R$150,'[7]Potential Stds'!$I$7:$I$150,Conservative!H$17,'[7]Potential Stds'!$C$7:$C$150,"split")/2</f>
        <v>0</v>
      </c>
      <c r="I21" s="195">
        <f>H21+SUMIFS('[7]Potential Stds'!$R$7:$R$150,'[7]Potential Stds'!$I$7:$I$150,Conservative!I$17,'[7]Potential Stds'!$C$7:$C$150,Conservative!$C21)+SUMIFS('[7]Potential Stds'!$R$7:$R$150,'[7]Potential Stds'!$I$7:$I$150,Conservative!I$17,'[7]Potential Stds'!$C$7:$C$150,"split")/2</f>
        <v>0</v>
      </c>
      <c r="J21" s="195">
        <f>I21+SUMIFS('[7]Potential Stds'!$R$7:$R$150,'[7]Potential Stds'!$I$7:$I$150,Conservative!J$17,'[7]Potential Stds'!$C$7:$C$150,Conservative!$C21)+SUMIFS('[7]Potential Stds'!$R$7:$R$150,'[7]Potential Stds'!$I$7:$I$150,Conservative!J$17,'[7]Potential Stds'!$C$7:$C$150,"split")/2</f>
        <v>0</v>
      </c>
      <c r="K21" s="195">
        <f>J21+SUMIFS('[7]Potential Stds'!$R$7:$R$150,'[7]Potential Stds'!$I$7:$I$150,Conservative!K$17,'[7]Potential Stds'!$C$7:$C$150,Conservative!$C21)+SUMIFS('[7]Potential Stds'!$R$7:$R$150,'[7]Potential Stds'!$I$7:$I$150,Conservative!K$17,'[7]Potential Stds'!$C$7:$C$150,"split")/2</f>
        <v>0</v>
      </c>
      <c r="L21" s="195">
        <f>K21+SUMIFS('[7]Potential Stds'!$R$7:$R$150,'[7]Potential Stds'!$I$7:$I$150,Conservative!L$17,'[7]Potential Stds'!$C$7:$C$150,Conservative!$C21)+SUMIFS('[7]Potential Stds'!$R$7:$R$150,'[7]Potential Stds'!$I$7:$I$150,Conservative!L$17,'[7]Potential Stds'!$C$7:$C$150,"split")/2</f>
        <v>0</v>
      </c>
      <c r="M21" s="195">
        <f>L21+SUMIFS('[7]Potential Stds'!$R$7:$R$150,'[7]Potential Stds'!$I$7:$I$150,Conservative!M$17,'[7]Potential Stds'!$C$7:$C$150,Conservative!$C21)+SUMIFS('[7]Potential Stds'!$R$7:$R$150,'[7]Potential Stds'!$I$7:$I$150,Conservative!M$17,'[7]Potential Stds'!$C$7:$C$150,"split")/2</f>
        <v>1.2392999999999998</v>
      </c>
      <c r="N21" s="195">
        <f>M21+SUMIFS('[7]Potential Stds'!$R$7:$R$150,'[7]Potential Stds'!$I$7:$I$150,Conservative!N$17,'[7]Potential Stds'!$C$7:$C$150,Conservative!$C21)+SUMIFS('[7]Potential Stds'!$R$7:$R$150,'[7]Potential Stds'!$I$7:$I$150,Conservative!N$17,'[7]Potential Stds'!$C$7:$C$150,"split")/2</f>
        <v>15.078149999999999</v>
      </c>
      <c r="O21" s="195">
        <f>N21+SUMIFS('[7]Potential Stds'!$R$7:$R$150,'[7]Potential Stds'!$I$7:$I$150,Conservative!O$17,'[7]Potential Stds'!$C$7:$C$150,Conservative!$C21)+SUMIFS('[7]Potential Stds'!$R$7:$R$150,'[7]Potential Stds'!$I$7:$I$150,Conservative!O$17,'[7]Potential Stds'!$C$7:$C$150,"split")/2</f>
        <v>16.684649999999998</v>
      </c>
      <c r="P21" s="195">
        <f>O21+SUMIFS('[7]Potential Stds'!$R$7:$R$150,'[7]Potential Stds'!$I$7:$I$150,Conservative!P$17,'[7]Potential Stds'!$C$7:$C$150,Conservative!$C21)+SUMIFS('[7]Potential Stds'!$R$7:$R$150,'[7]Potential Stds'!$I$7:$I$150,Conservative!P$17,'[7]Potential Stds'!$C$7:$C$150,"split")/2</f>
        <v>16.684649999999998</v>
      </c>
      <c r="Q21" s="195">
        <f>P21+SUMIFS('[7]Potential Stds'!$R$7:$R$150,'[7]Potential Stds'!$I$7:$I$150,Conservative!Q$17,'[7]Potential Stds'!$C$7:$C$150,Conservative!$C21)+SUMIFS('[7]Potential Stds'!$R$7:$R$150,'[7]Potential Stds'!$I$7:$I$150,Conservative!Q$17,'[7]Potential Stds'!$C$7:$C$150,"split")/2</f>
        <v>16.684649999999998</v>
      </c>
      <c r="R21" s="195">
        <f>Q21+SUMIFS('[7]Potential Stds'!$R$7:$R$150,'[7]Potential Stds'!$I$7:$I$150,Conservative!R$17,'[7]Potential Stds'!$C$7:$C$150,Conservative!$C21)+SUMIFS('[7]Potential Stds'!$R$7:$R$150,'[7]Potential Stds'!$I$7:$I$150,Conservative!R$17,'[7]Potential Stds'!$C$7:$C$150,"split")/2</f>
        <v>16.684649999999998</v>
      </c>
    </row>
    <row r="22" spans="2:18" x14ac:dyDescent="0.3">
      <c r="B22" s="199"/>
      <c r="C22" s="194" t="s">
        <v>451</v>
      </c>
      <c r="D22" s="195">
        <f>SUMIFS('[7]Potential Stds'!$R$7:$R$150,'[7]Potential Stds'!$I$7:$I$150,Conservative!D$17,'[7]Potential Stds'!$C$7:$C$150,Conservative!$C22)+SUMIFS('[7]Potential Stds'!$R$7:$R$150,'[7]Potential Stds'!$I$7:$I$150,Conservative!D$17,'[7]Potential Stds'!$C$7:$C$150,"split")/2</f>
        <v>0</v>
      </c>
      <c r="E22" s="195">
        <f>D22+SUMIFS('[7]Potential Stds'!$R$7:$R$150,'[7]Potential Stds'!$I$7:$I$150,Conservative!E$17,'[7]Potential Stds'!$C$7:$C$150,Conservative!$C22)+SUMIFS('[7]Potential Stds'!$R$7:$R$150,'[7]Potential Stds'!$I$7:$I$150,Conservative!E$17,'[7]Potential Stds'!$C$7:$C$150,"split")/2</f>
        <v>0</v>
      </c>
      <c r="F22" s="195">
        <f>E22+SUMIFS('[7]Potential Stds'!$R$7:$R$150,'[7]Potential Stds'!$I$7:$I$150,Conservative!F$17,'[7]Potential Stds'!$C$7:$C$150,Conservative!$C22)+SUMIFS('[7]Potential Stds'!$R$7:$R$150,'[7]Potential Stds'!$I$7:$I$150,Conservative!F$17,'[7]Potential Stds'!$C$7:$C$150,"split")/2</f>
        <v>0</v>
      </c>
      <c r="G22" s="195">
        <f>F22+SUMIFS('[7]Potential Stds'!$R$7:$R$150,'[7]Potential Stds'!$I$7:$I$150,Conservative!G$17,'[7]Potential Stds'!$C$7:$C$150,Conservative!$C22)+SUMIFS('[7]Potential Stds'!$R$7:$R$150,'[7]Potential Stds'!$I$7:$I$150,Conservative!G$17,'[7]Potential Stds'!$C$7:$C$150,"split")/2</f>
        <v>0</v>
      </c>
      <c r="H22" s="195">
        <f>G22+SUMIFS('[7]Potential Stds'!$R$7:$R$150,'[7]Potential Stds'!$I$7:$I$150,Conservative!H$17,'[7]Potential Stds'!$C$7:$C$150,Conservative!$C22)+SUMIFS('[7]Potential Stds'!$R$7:$R$150,'[7]Potential Stds'!$I$7:$I$150,Conservative!H$17,'[7]Potential Stds'!$C$7:$C$150,"split")/2</f>
        <v>0</v>
      </c>
      <c r="I22" s="195">
        <f>H22+SUMIFS('[7]Potential Stds'!$R$7:$R$150,'[7]Potential Stds'!$I$7:$I$150,Conservative!I$17,'[7]Potential Stds'!$C$7:$C$150,Conservative!$C22)+SUMIFS('[7]Potential Stds'!$R$7:$R$150,'[7]Potential Stds'!$I$7:$I$150,Conservative!I$17,'[7]Potential Stds'!$C$7:$C$150,"split")/2</f>
        <v>0</v>
      </c>
      <c r="J22" s="195">
        <f>I22+SUMIFS('[7]Potential Stds'!$R$7:$R$150,'[7]Potential Stds'!$I$7:$I$150,Conservative!J$17,'[7]Potential Stds'!$C$7:$C$150,Conservative!$C22)+SUMIFS('[7]Potential Stds'!$R$7:$R$150,'[7]Potential Stds'!$I$7:$I$150,Conservative!J$17,'[7]Potential Stds'!$C$7:$C$150,"split")/2</f>
        <v>0</v>
      </c>
      <c r="K22" s="195">
        <f>J22+SUMIFS('[7]Potential Stds'!$R$7:$R$150,'[7]Potential Stds'!$I$7:$I$150,Conservative!K$17,'[7]Potential Stds'!$C$7:$C$150,Conservative!$C22)+SUMIFS('[7]Potential Stds'!$R$7:$R$150,'[7]Potential Stds'!$I$7:$I$150,Conservative!K$17,'[7]Potential Stds'!$C$7:$C$150,"split")/2</f>
        <v>0</v>
      </c>
      <c r="L22" s="195">
        <f>K22+SUMIFS('[7]Potential Stds'!$R$7:$R$150,'[7]Potential Stds'!$I$7:$I$150,Conservative!L$17,'[7]Potential Stds'!$C$7:$C$150,Conservative!$C22)+SUMIFS('[7]Potential Stds'!$R$7:$R$150,'[7]Potential Stds'!$I$7:$I$150,Conservative!L$17,'[7]Potential Stds'!$C$7:$C$150,"split")/2</f>
        <v>0</v>
      </c>
      <c r="M22" s="195">
        <f>L22+SUMIFS('[7]Potential Stds'!$R$7:$R$150,'[7]Potential Stds'!$I$7:$I$150,Conservative!M$17,'[7]Potential Stds'!$C$7:$C$150,Conservative!$C22)+SUMIFS('[7]Potential Stds'!$R$7:$R$150,'[7]Potential Stds'!$I$7:$I$150,Conservative!M$17,'[7]Potential Stds'!$C$7:$C$150,"split")/2</f>
        <v>0</v>
      </c>
      <c r="N22" s="195">
        <f>M22+SUMIFS('[7]Potential Stds'!$R$7:$R$150,'[7]Potential Stds'!$I$7:$I$150,Conservative!N$17,'[7]Potential Stds'!$C$7:$C$150,Conservative!$C22)+SUMIFS('[7]Potential Stds'!$R$7:$R$150,'[7]Potential Stds'!$I$7:$I$150,Conservative!N$17,'[7]Potential Stds'!$C$7:$C$150,"split")/2</f>
        <v>0</v>
      </c>
      <c r="O22" s="195">
        <f>N22+SUMIFS('[7]Potential Stds'!$R$7:$R$150,'[7]Potential Stds'!$I$7:$I$150,Conservative!O$17,'[7]Potential Stds'!$C$7:$C$150,Conservative!$C22)+SUMIFS('[7]Potential Stds'!$R$7:$R$150,'[7]Potential Stds'!$I$7:$I$150,Conservative!O$17,'[7]Potential Stds'!$C$7:$C$150,"split")/2</f>
        <v>0</v>
      </c>
      <c r="P22" s="195">
        <f>O22+SUMIFS('[7]Potential Stds'!$R$7:$R$150,'[7]Potential Stds'!$I$7:$I$150,Conservative!P$17,'[7]Potential Stds'!$C$7:$C$150,Conservative!$C22)+SUMIFS('[7]Potential Stds'!$R$7:$R$150,'[7]Potential Stds'!$I$7:$I$150,Conservative!P$17,'[7]Potential Stds'!$C$7:$C$150,"split")/2</f>
        <v>0</v>
      </c>
      <c r="Q22" s="195">
        <f>P22+SUMIFS('[7]Potential Stds'!$R$7:$R$150,'[7]Potential Stds'!$I$7:$I$150,Conservative!Q$17,'[7]Potential Stds'!$C$7:$C$150,Conservative!$C22)+SUMIFS('[7]Potential Stds'!$R$7:$R$150,'[7]Potential Stds'!$I$7:$I$150,Conservative!Q$17,'[7]Potential Stds'!$C$7:$C$150,"split")/2</f>
        <v>1.5300000000000001E-2</v>
      </c>
      <c r="R22" s="195">
        <f>Q22+SUMIFS('[7]Potential Stds'!$R$7:$R$150,'[7]Potential Stds'!$I$7:$I$150,Conservative!R$17,'[7]Potential Stds'!$C$7:$C$150,Conservative!$C22)+SUMIFS('[7]Potential Stds'!$R$7:$R$150,'[7]Potential Stds'!$I$7:$I$150,Conservative!R$17,'[7]Potential Stds'!$C$7:$C$150,"split")/2</f>
        <v>1.7288999999999999</v>
      </c>
    </row>
    <row r="23" spans="2:18" x14ac:dyDescent="0.3">
      <c r="B23" s="197"/>
      <c r="D23" s="19"/>
      <c r="E23" s="19"/>
      <c r="F23" s="19"/>
      <c r="G23" s="19"/>
      <c r="H23" s="19"/>
      <c r="I23" s="19"/>
      <c r="J23" s="19"/>
      <c r="K23" s="19"/>
      <c r="L23" s="19"/>
      <c r="M23" s="19"/>
      <c r="N23" s="19"/>
      <c r="O23" s="19"/>
      <c r="P23" s="19"/>
      <c r="Q23" s="19"/>
      <c r="R23" s="19"/>
    </row>
    <row r="24" spans="2:18" x14ac:dyDescent="0.3">
      <c r="B24" s="197"/>
    </row>
    <row r="25" spans="2:18" x14ac:dyDescent="0.3">
      <c r="B25" s="197" t="s">
        <v>65</v>
      </c>
    </row>
    <row r="26" spans="2:18" x14ac:dyDescent="0.3">
      <c r="B26" s="197"/>
      <c r="G26" s="43"/>
      <c r="H26" s="43"/>
      <c r="I26" s="43"/>
      <c r="J26" s="43"/>
      <c r="K26" s="43"/>
      <c r="L26" s="43"/>
      <c r="M26" s="43"/>
      <c r="N26" s="43"/>
      <c r="O26" s="43"/>
      <c r="P26" s="43"/>
      <c r="Q26" s="43"/>
      <c r="R26" s="43"/>
    </row>
    <row r="27" spans="2:18" x14ac:dyDescent="0.3">
      <c r="B27" s="197"/>
      <c r="D27">
        <v>2015</v>
      </c>
      <c r="E27">
        <v>2016</v>
      </c>
      <c r="F27">
        <v>2017</v>
      </c>
      <c r="G27">
        <v>2018</v>
      </c>
      <c r="H27">
        <v>2019</v>
      </c>
      <c r="I27">
        <v>2020</v>
      </c>
      <c r="J27">
        <v>2021</v>
      </c>
      <c r="K27">
        <v>2022</v>
      </c>
      <c r="L27">
        <v>2023</v>
      </c>
      <c r="M27">
        <v>2024</v>
      </c>
      <c r="N27">
        <v>2025</v>
      </c>
      <c r="O27">
        <v>2026</v>
      </c>
      <c r="P27">
        <v>2027</v>
      </c>
      <c r="Q27">
        <v>2028</v>
      </c>
      <c r="R27">
        <v>2029</v>
      </c>
    </row>
    <row r="28" spans="2:18" x14ac:dyDescent="0.3">
      <c r="B28" s="198" t="s">
        <v>878</v>
      </c>
      <c r="C28" s="194" t="s">
        <v>440</v>
      </c>
      <c r="D28" s="195">
        <f>SUMIFS('[7]Potential Stds'!$Q$7:$Q$150,'[7]Potential Stds'!$I$7:$I$150,Conservative!D$17,'[7]Potential Stds'!$C$7:$C$150,Conservative!$C28,'[7]Potential Stds'!$A$7:$A$150,$B$25)+SUMIFS('[7]Potential Stds'!$Q$7:$Q$150,'[7]Potential Stds'!$I$7:$I$150,Conservative!D$17,'[7]Potential Stds'!$C$7:$C$150,"split",'[7]Potential Stds'!$A$7:$A$150,$B$25)/2</f>
        <v>0</v>
      </c>
      <c r="E28" s="195">
        <f>D28+SUMIFS('[7]Potential Stds'!$Q$7:$Q$150,'[7]Potential Stds'!$I$7:$I$150,Conservative!E$17,'[7]Potential Stds'!$C$7:$C$150,Conservative!$C28,'[7]Potential Stds'!$A$7:$A$150,$B$25)+SUMIFS('[7]Potential Stds'!$Q$7:$Q$150,'[7]Potential Stds'!$I$7:$I$150,Conservative!E$17,'[7]Potential Stds'!$C$7:$C$150,"split",'[7]Potential Stds'!$A$7:$A$150,$B$25)/2</f>
        <v>0</v>
      </c>
      <c r="F28" s="195">
        <f>E28+SUMIFS('[7]Potential Stds'!$Q$7:$Q$150,'[7]Potential Stds'!$I$7:$I$150,Conservative!F$17,'[7]Potential Stds'!$C$7:$C$150,Conservative!$C28,'[7]Potential Stds'!$A$7:$A$150,$B$25)+SUMIFS('[7]Potential Stds'!$Q$7:$Q$150,'[7]Potential Stds'!$I$7:$I$150,Conservative!F$17,'[7]Potential Stds'!$C$7:$C$150,"split",'[7]Potential Stds'!$A$7:$A$150,$B$25)/2</f>
        <v>0</v>
      </c>
      <c r="G28" s="195">
        <f>F28+SUMIFS('[7]Potential Stds'!$Q$7:$Q$150,'[7]Potential Stds'!$I$7:$I$150,Conservative!G$17,'[7]Potential Stds'!$C$7:$C$150,Conservative!$C28,'[7]Potential Stds'!$A$7:$A$150,$B$25)+SUMIFS('[7]Potential Stds'!$Q$7:$Q$150,'[7]Potential Stds'!$I$7:$I$150,Conservative!G$17,'[7]Potential Stds'!$C$7:$C$150,"split",'[7]Potential Stds'!$A$7:$A$150,$B$25)/2</f>
        <v>0</v>
      </c>
      <c r="H28" s="195">
        <f>G28+SUMIFS('[7]Potential Stds'!$Q$7:$Q$150,'[7]Potential Stds'!$I$7:$I$150,Conservative!H$17,'[7]Potential Stds'!$C$7:$C$150,Conservative!$C28,'[7]Potential Stds'!$A$7:$A$150,$B$25)+SUMIFS('[7]Potential Stds'!$Q$7:$Q$150,'[7]Potential Stds'!$I$7:$I$150,Conservative!H$17,'[7]Potential Stds'!$C$7:$C$150,"split",'[7]Potential Stds'!$A$7:$A$150,$B$25)/2</f>
        <v>0</v>
      </c>
      <c r="I28" s="195">
        <f>H28+SUMIFS('[7]Potential Stds'!$Q$7:$Q$150,'[7]Potential Stds'!$I$7:$I$150,Conservative!I$17,'[7]Potential Stds'!$C$7:$C$150,Conservative!$C28,'[7]Potential Stds'!$A$7:$A$150,$B$25)+SUMIFS('[7]Potential Stds'!$Q$7:$Q$150,'[7]Potential Stds'!$I$7:$I$150,Conservative!I$17,'[7]Potential Stds'!$C$7:$C$150,"split",'[7]Potential Stds'!$A$7:$A$150,$B$25)/2</f>
        <v>0</v>
      </c>
      <c r="J28" s="195">
        <f>I28+SUMIFS('[7]Potential Stds'!$Q$7:$Q$150,'[7]Potential Stds'!$I$7:$I$150,Conservative!J$17,'[7]Potential Stds'!$C$7:$C$150,Conservative!$C28,'[7]Potential Stds'!$A$7:$A$150,$B$25)+SUMIFS('[7]Potential Stds'!$Q$7:$Q$150,'[7]Potential Stds'!$I$7:$I$150,Conservative!J$17,'[7]Potential Stds'!$C$7:$C$150,"split",'[7]Potential Stds'!$A$7:$A$150,$B$25)/2</f>
        <v>0</v>
      </c>
      <c r="K28" s="195">
        <f>J28+SUMIFS('[7]Potential Stds'!$Q$7:$Q$150,'[7]Potential Stds'!$I$7:$I$150,Conservative!K$17,'[7]Potential Stds'!$C$7:$C$150,Conservative!$C28,'[7]Potential Stds'!$A$7:$A$150,$B$25)+SUMIFS('[7]Potential Stds'!$Q$7:$Q$150,'[7]Potential Stds'!$I$7:$I$150,Conservative!K$17,'[7]Potential Stds'!$C$7:$C$150,"split",'[7]Potential Stds'!$A$7:$A$150,$B$25)/2</f>
        <v>0</v>
      </c>
      <c r="L28" s="195">
        <f>K28+SUMIFS('[7]Potential Stds'!$Q$7:$Q$150,'[7]Potential Stds'!$I$7:$I$150,Conservative!L$17,'[7]Potential Stds'!$C$7:$C$150,Conservative!$C28,'[7]Potential Stds'!$A$7:$A$150,$B$25)+SUMIFS('[7]Potential Stds'!$Q$7:$Q$150,'[7]Potential Stds'!$I$7:$I$150,Conservative!L$17,'[7]Potential Stds'!$C$7:$C$150,"split",'[7]Potential Stds'!$A$7:$A$150,$B$25)/2</f>
        <v>0</v>
      </c>
      <c r="M28" s="195">
        <f>L28+SUMIFS('[7]Potential Stds'!$Q$7:$Q$150,'[7]Potential Stds'!$I$7:$I$150,Conservative!M$17,'[7]Potential Stds'!$C$7:$C$150,Conservative!$C28,'[7]Potential Stds'!$A$7:$A$150,$B$25)+SUMIFS('[7]Potential Stds'!$Q$7:$Q$150,'[7]Potential Stds'!$I$7:$I$150,Conservative!M$17,'[7]Potential Stds'!$C$7:$C$150,"split",'[7]Potential Stds'!$A$7:$A$150,$B$25)/2</f>
        <v>159.31050000000002</v>
      </c>
      <c r="N28" s="195">
        <f>M28+SUMIFS('[7]Potential Stds'!$Q$7:$Q$150,'[7]Potential Stds'!$I$7:$I$150,Conservative!N$17,'[7]Potential Stds'!$C$7:$C$150,Conservative!$C28,'[7]Potential Stds'!$A$7:$A$150,$B$25)+SUMIFS('[7]Potential Stds'!$Q$7:$Q$150,'[7]Potential Stds'!$I$7:$I$150,Conservative!N$17,'[7]Potential Stds'!$C$7:$C$150,"split",'[7]Potential Stds'!$A$7:$A$150,$B$25)/2</f>
        <v>159.31050000000002</v>
      </c>
      <c r="O28" s="195">
        <f>N28+SUMIFS('[7]Potential Stds'!$Q$7:$Q$150,'[7]Potential Stds'!$I$7:$I$150,Conservative!O$17,'[7]Potential Stds'!$C$7:$C$150,Conservative!$C28,'[7]Potential Stds'!$A$7:$A$150,$B$25)+SUMIFS('[7]Potential Stds'!$Q$7:$Q$150,'[7]Potential Stds'!$I$7:$I$150,Conservative!O$17,'[7]Potential Stds'!$C$7:$C$150,"split",'[7]Potential Stds'!$A$7:$A$150,$B$25)/2</f>
        <v>159.31050000000002</v>
      </c>
      <c r="P28" s="195">
        <f>O28+SUMIFS('[7]Potential Stds'!$Q$7:$Q$150,'[7]Potential Stds'!$I$7:$I$150,Conservative!P$17,'[7]Potential Stds'!$C$7:$C$150,Conservative!$C28,'[7]Potential Stds'!$A$7:$A$150,$B$25)+SUMIFS('[7]Potential Stds'!$Q$7:$Q$150,'[7]Potential Stds'!$I$7:$I$150,Conservative!P$17,'[7]Potential Stds'!$C$7:$C$150,"split",'[7]Potential Stds'!$A$7:$A$150,$B$25)/2</f>
        <v>159.31050000000002</v>
      </c>
      <c r="Q28" s="195">
        <f>P28+SUMIFS('[7]Potential Stds'!$Q$7:$Q$150,'[7]Potential Stds'!$I$7:$I$150,Conservative!Q$17,'[7]Potential Stds'!$C$7:$C$150,Conservative!$C28,'[7]Potential Stds'!$A$7:$A$150,$B$25)+SUMIFS('[7]Potential Stds'!$Q$7:$Q$150,'[7]Potential Stds'!$I$7:$I$150,Conservative!Q$17,'[7]Potential Stds'!$C$7:$C$150,"split",'[7]Potential Stds'!$A$7:$A$150,$B$25)/2</f>
        <v>159.31050000000002</v>
      </c>
      <c r="R28" s="195">
        <f>Q28+SUMIFS('[7]Potential Stds'!$Q$7:$Q$150,'[7]Potential Stds'!$I$7:$I$150,Conservative!R$17,'[7]Potential Stds'!$C$7:$C$150,Conservative!$C28,'[7]Potential Stds'!$A$7:$A$150,$B$25)+SUMIFS('[7]Potential Stds'!$Q$7:$Q$150,'[7]Potential Stds'!$I$7:$I$150,Conservative!R$17,'[7]Potential Stds'!$C$7:$C$150,"split",'[7]Potential Stds'!$A$7:$A$150,$B$25)/2</f>
        <v>159.31050000000002</v>
      </c>
    </row>
    <row r="29" spans="2:18" x14ac:dyDescent="0.3">
      <c r="B29" s="199"/>
      <c r="C29" s="194" t="s">
        <v>451</v>
      </c>
      <c r="D29" s="195">
        <f>SUMIFS('[7]Potential Stds'!$Q$7:$Q$150,'[7]Potential Stds'!$I$7:$I$150,Conservative!D$17,'[7]Potential Stds'!$C$7:$C$150,Conservative!$C29,'[7]Potential Stds'!$A$7:$A$150,$B$25)+SUMIFS('[7]Potential Stds'!$Q$7:$Q$150,'[7]Potential Stds'!$I$7:$I$150,Conservative!D$17,'[7]Potential Stds'!$C$7:$C$150,"split",'[7]Potential Stds'!$A$7:$A$150,$B$25)/2</f>
        <v>0</v>
      </c>
      <c r="E29" s="195">
        <f>D29+SUMIFS('[7]Potential Stds'!$Q$7:$Q$150,'[7]Potential Stds'!$I$7:$I$150,Conservative!E$17,'[7]Potential Stds'!$C$7:$C$150,Conservative!$C29,'[7]Potential Stds'!$A$7:$A$150,$B$25)+SUMIFS('[7]Potential Stds'!$Q$7:$Q$150,'[7]Potential Stds'!$I$7:$I$150,Conservative!E$17,'[7]Potential Stds'!$C$7:$C$150,"split",'[7]Potential Stds'!$A$7:$A$150,$B$25)/2</f>
        <v>0</v>
      </c>
      <c r="F29" s="195">
        <f>E29+SUMIFS('[7]Potential Stds'!$Q$7:$Q$150,'[7]Potential Stds'!$I$7:$I$150,Conservative!F$17,'[7]Potential Stds'!$C$7:$C$150,Conservative!$C29,'[7]Potential Stds'!$A$7:$A$150,$B$25)+SUMIFS('[7]Potential Stds'!$Q$7:$Q$150,'[7]Potential Stds'!$I$7:$I$150,Conservative!F$17,'[7]Potential Stds'!$C$7:$C$150,"split",'[7]Potential Stds'!$A$7:$A$150,$B$25)/2</f>
        <v>0</v>
      </c>
      <c r="G29" s="195">
        <f>F29+SUMIFS('[7]Potential Stds'!$Q$7:$Q$150,'[7]Potential Stds'!$I$7:$I$150,Conservative!G$17,'[7]Potential Stds'!$C$7:$C$150,Conservative!$C29,'[7]Potential Stds'!$A$7:$A$150,$B$25)+SUMIFS('[7]Potential Stds'!$Q$7:$Q$150,'[7]Potential Stds'!$I$7:$I$150,Conservative!G$17,'[7]Potential Stds'!$C$7:$C$150,"split",'[7]Potential Stds'!$A$7:$A$150,$B$25)/2</f>
        <v>0</v>
      </c>
      <c r="H29" s="195">
        <f>G29+SUMIFS('[7]Potential Stds'!$Q$7:$Q$150,'[7]Potential Stds'!$I$7:$I$150,Conservative!H$17,'[7]Potential Stds'!$C$7:$C$150,Conservative!$C29,'[7]Potential Stds'!$A$7:$A$150,$B$25)+SUMIFS('[7]Potential Stds'!$Q$7:$Q$150,'[7]Potential Stds'!$I$7:$I$150,Conservative!H$17,'[7]Potential Stds'!$C$7:$C$150,"split",'[7]Potential Stds'!$A$7:$A$150,$B$25)/2</f>
        <v>0</v>
      </c>
      <c r="I29" s="195">
        <f>H29+SUMIFS('[7]Potential Stds'!$Q$7:$Q$150,'[7]Potential Stds'!$I$7:$I$150,Conservative!I$17,'[7]Potential Stds'!$C$7:$C$150,Conservative!$C29,'[7]Potential Stds'!$A$7:$A$150,$B$25)+SUMIFS('[7]Potential Stds'!$Q$7:$Q$150,'[7]Potential Stds'!$I$7:$I$150,Conservative!I$17,'[7]Potential Stds'!$C$7:$C$150,"split",'[7]Potential Stds'!$A$7:$A$150,$B$25)/2</f>
        <v>0</v>
      </c>
      <c r="J29" s="195">
        <f>I29+SUMIFS('[7]Potential Stds'!$Q$7:$Q$150,'[7]Potential Stds'!$I$7:$I$150,Conservative!J$17,'[7]Potential Stds'!$C$7:$C$150,Conservative!$C29,'[7]Potential Stds'!$A$7:$A$150,$B$25)+SUMIFS('[7]Potential Stds'!$Q$7:$Q$150,'[7]Potential Stds'!$I$7:$I$150,Conservative!J$17,'[7]Potential Stds'!$C$7:$C$150,"split",'[7]Potential Stds'!$A$7:$A$150,$B$25)/2</f>
        <v>0</v>
      </c>
      <c r="K29" s="195">
        <f>J29+SUMIFS('[7]Potential Stds'!$Q$7:$Q$150,'[7]Potential Stds'!$I$7:$I$150,Conservative!K$17,'[7]Potential Stds'!$C$7:$C$150,Conservative!$C29,'[7]Potential Stds'!$A$7:$A$150,$B$25)+SUMIFS('[7]Potential Stds'!$Q$7:$Q$150,'[7]Potential Stds'!$I$7:$I$150,Conservative!K$17,'[7]Potential Stds'!$C$7:$C$150,"split",'[7]Potential Stds'!$A$7:$A$150,$B$25)/2</f>
        <v>0</v>
      </c>
      <c r="L29" s="195">
        <f>K29+SUMIFS('[7]Potential Stds'!$Q$7:$Q$150,'[7]Potential Stds'!$I$7:$I$150,Conservative!L$17,'[7]Potential Stds'!$C$7:$C$150,Conservative!$C29,'[7]Potential Stds'!$A$7:$A$150,$B$25)+SUMIFS('[7]Potential Stds'!$Q$7:$Q$150,'[7]Potential Stds'!$I$7:$I$150,Conservative!L$17,'[7]Potential Stds'!$C$7:$C$150,"split",'[7]Potential Stds'!$A$7:$A$150,$B$25)/2</f>
        <v>0</v>
      </c>
      <c r="M29" s="195">
        <f>L29+SUMIFS('[7]Potential Stds'!$Q$7:$Q$150,'[7]Potential Stds'!$I$7:$I$150,Conservative!M$17,'[7]Potential Stds'!$C$7:$C$150,Conservative!$C29,'[7]Potential Stds'!$A$7:$A$150,$B$25)+SUMIFS('[7]Potential Stds'!$Q$7:$Q$150,'[7]Potential Stds'!$I$7:$I$150,Conservative!M$17,'[7]Potential Stds'!$C$7:$C$150,"split",'[7]Potential Stds'!$A$7:$A$150,$B$25)/2</f>
        <v>159.31050000000002</v>
      </c>
      <c r="N29" s="195">
        <f>M29+SUMIFS('[7]Potential Stds'!$Q$7:$Q$150,'[7]Potential Stds'!$I$7:$I$150,Conservative!N$17,'[7]Potential Stds'!$C$7:$C$150,Conservative!$C29,'[7]Potential Stds'!$A$7:$A$150,$B$25)+SUMIFS('[7]Potential Stds'!$Q$7:$Q$150,'[7]Potential Stds'!$I$7:$I$150,Conservative!N$17,'[7]Potential Stds'!$C$7:$C$150,"split",'[7]Potential Stds'!$A$7:$A$150,$B$25)/2</f>
        <v>159.31050000000002</v>
      </c>
      <c r="O29" s="195">
        <f>N29+SUMIFS('[7]Potential Stds'!$Q$7:$Q$150,'[7]Potential Stds'!$I$7:$I$150,Conservative!O$17,'[7]Potential Stds'!$C$7:$C$150,Conservative!$C29,'[7]Potential Stds'!$A$7:$A$150,$B$25)+SUMIFS('[7]Potential Stds'!$Q$7:$Q$150,'[7]Potential Stds'!$I$7:$I$150,Conservative!O$17,'[7]Potential Stds'!$C$7:$C$150,"split",'[7]Potential Stds'!$A$7:$A$150,$B$25)/2</f>
        <v>159.31050000000002</v>
      </c>
      <c r="P29" s="195">
        <f>O29+SUMIFS('[7]Potential Stds'!$Q$7:$Q$150,'[7]Potential Stds'!$I$7:$I$150,Conservative!P$17,'[7]Potential Stds'!$C$7:$C$150,Conservative!$C29,'[7]Potential Stds'!$A$7:$A$150,$B$25)+SUMIFS('[7]Potential Stds'!$Q$7:$Q$150,'[7]Potential Stds'!$I$7:$I$150,Conservative!P$17,'[7]Potential Stds'!$C$7:$C$150,"split",'[7]Potential Stds'!$A$7:$A$150,$B$25)/2</f>
        <v>159.31050000000002</v>
      </c>
      <c r="Q29" s="195">
        <f>P29+SUMIFS('[7]Potential Stds'!$Q$7:$Q$150,'[7]Potential Stds'!$I$7:$I$150,Conservative!Q$17,'[7]Potential Stds'!$C$7:$C$150,Conservative!$C29,'[7]Potential Stds'!$A$7:$A$150,$B$25)+SUMIFS('[7]Potential Stds'!$Q$7:$Q$150,'[7]Potential Stds'!$I$7:$I$150,Conservative!Q$17,'[7]Potential Stds'!$C$7:$C$150,"split",'[7]Potential Stds'!$A$7:$A$150,$B$25)/2</f>
        <v>159.31050000000002</v>
      </c>
      <c r="R29" s="195">
        <f>Q29+SUMIFS('[7]Potential Stds'!$Q$7:$Q$150,'[7]Potential Stds'!$I$7:$I$150,Conservative!R$17,'[7]Potential Stds'!$C$7:$C$150,Conservative!$C29,'[7]Potential Stds'!$A$7:$A$150,$B$25)+SUMIFS('[7]Potential Stds'!$Q$7:$Q$150,'[7]Potential Stds'!$I$7:$I$150,Conservative!R$17,'[7]Potential Stds'!$C$7:$C$150,"split",'[7]Potential Stds'!$A$7:$A$150,$B$25)/2</f>
        <v>159.31050000000002</v>
      </c>
    </row>
    <row r="30" spans="2:18" x14ac:dyDescent="0.3">
      <c r="B30" s="200"/>
      <c r="C30" s="194"/>
      <c r="D30" s="195"/>
      <c r="E30" s="195"/>
      <c r="F30" s="195"/>
      <c r="G30" s="195"/>
      <c r="H30" s="195"/>
      <c r="I30" s="195"/>
      <c r="J30" s="195"/>
      <c r="K30" s="195"/>
      <c r="L30" s="195"/>
      <c r="M30" s="195"/>
      <c r="N30" s="195"/>
      <c r="O30" s="195"/>
      <c r="P30" s="195"/>
      <c r="Q30" s="195"/>
      <c r="R30" s="195"/>
    </row>
    <row r="31" spans="2:18" x14ac:dyDescent="0.3">
      <c r="B31" s="198" t="s">
        <v>879</v>
      </c>
      <c r="C31" s="194" t="s">
        <v>440</v>
      </c>
      <c r="D31" s="195">
        <f>SUMIFS('[7]Potential Stds'!$R$7:$R$150,'[7]Potential Stds'!$I$7:$I$150,Conservative!D$17,'[7]Potential Stds'!$C$7:$C$150,Conservative!$C31,'[7]Potential Stds'!$A$7:$A$150,$B$25)+SUMIFS('[7]Potential Stds'!$R$7:$R$150,'[7]Potential Stds'!$I$7:$I$150,Conservative!D$17,'[7]Potential Stds'!$C$7:$C$150,"split",'[7]Potential Stds'!$A$7:$A$150,$B$25)/2</f>
        <v>0</v>
      </c>
      <c r="E31" s="195">
        <f>D31+SUMIFS('[7]Potential Stds'!$R$7:$R$150,'[7]Potential Stds'!$I$7:$I$150,Conservative!E$17,'[7]Potential Stds'!$C$7:$C$150,Conservative!$C31,'[7]Potential Stds'!$A$7:$A$150,$B$25)+SUMIFS('[7]Potential Stds'!$R$7:$R$150,'[7]Potential Stds'!$I$7:$I$150,Conservative!E$17,'[7]Potential Stds'!$C$7:$C$150,"split",'[7]Potential Stds'!$A$7:$A$150,$B$25)/2</f>
        <v>0</v>
      </c>
      <c r="F31" s="195">
        <f>E31+SUMIFS('[7]Potential Stds'!$R$7:$R$150,'[7]Potential Stds'!$I$7:$I$150,Conservative!F$17,'[7]Potential Stds'!$C$7:$C$150,Conservative!$C31,'[7]Potential Stds'!$A$7:$A$150,$B$25)+SUMIFS('[7]Potential Stds'!$R$7:$R$150,'[7]Potential Stds'!$I$7:$I$150,Conservative!F$17,'[7]Potential Stds'!$C$7:$C$150,"split",'[7]Potential Stds'!$A$7:$A$150,$B$25)/2</f>
        <v>0</v>
      </c>
      <c r="G31" s="195">
        <f>F31+SUMIFS('[7]Potential Stds'!$R$7:$R$150,'[7]Potential Stds'!$I$7:$I$150,Conservative!G$17,'[7]Potential Stds'!$C$7:$C$150,Conservative!$C31,'[7]Potential Stds'!$A$7:$A$150,$B$25)+SUMIFS('[7]Potential Stds'!$R$7:$R$150,'[7]Potential Stds'!$I$7:$I$150,Conservative!G$17,'[7]Potential Stds'!$C$7:$C$150,"split",'[7]Potential Stds'!$A$7:$A$150,$B$25)/2</f>
        <v>0</v>
      </c>
      <c r="H31" s="195">
        <f>G31+SUMIFS('[7]Potential Stds'!$R$7:$R$150,'[7]Potential Stds'!$I$7:$I$150,Conservative!H$17,'[7]Potential Stds'!$C$7:$C$150,Conservative!$C31,'[7]Potential Stds'!$A$7:$A$150,$B$25)+SUMIFS('[7]Potential Stds'!$R$7:$R$150,'[7]Potential Stds'!$I$7:$I$150,Conservative!H$17,'[7]Potential Stds'!$C$7:$C$150,"split",'[7]Potential Stds'!$A$7:$A$150,$B$25)/2</f>
        <v>0</v>
      </c>
      <c r="I31" s="195">
        <f>H31+SUMIFS('[7]Potential Stds'!$R$7:$R$150,'[7]Potential Stds'!$I$7:$I$150,Conservative!I$17,'[7]Potential Stds'!$C$7:$C$150,Conservative!$C31,'[7]Potential Stds'!$A$7:$A$150,$B$25)+SUMIFS('[7]Potential Stds'!$R$7:$R$150,'[7]Potential Stds'!$I$7:$I$150,Conservative!I$17,'[7]Potential Stds'!$C$7:$C$150,"split",'[7]Potential Stds'!$A$7:$A$150,$B$25)/2</f>
        <v>0</v>
      </c>
      <c r="J31" s="195">
        <f>I31+SUMIFS('[7]Potential Stds'!$R$7:$R$150,'[7]Potential Stds'!$I$7:$I$150,Conservative!J$17,'[7]Potential Stds'!$C$7:$C$150,Conservative!$C31,'[7]Potential Stds'!$A$7:$A$150,$B$25)+SUMIFS('[7]Potential Stds'!$R$7:$R$150,'[7]Potential Stds'!$I$7:$I$150,Conservative!J$17,'[7]Potential Stds'!$C$7:$C$150,"split",'[7]Potential Stds'!$A$7:$A$150,$B$25)/2</f>
        <v>0</v>
      </c>
      <c r="K31" s="195">
        <f>J31+SUMIFS('[7]Potential Stds'!$R$7:$R$150,'[7]Potential Stds'!$I$7:$I$150,Conservative!K$17,'[7]Potential Stds'!$C$7:$C$150,Conservative!$C31,'[7]Potential Stds'!$A$7:$A$150,$B$25)+SUMIFS('[7]Potential Stds'!$R$7:$R$150,'[7]Potential Stds'!$I$7:$I$150,Conservative!K$17,'[7]Potential Stds'!$C$7:$C$150,"split",'[7]Potential Stds'!$A$7:$A$150,$B$25)/2</f>
        <v>0</v>
      </c>
      <c r="L31" s="195">
        <f>K31+SUMIFS('[7]Potential Stds'!$R$7:$R$150,'[7]Potential Stds'!$I$7:$I$150,Conservative!L$17,'[7]Potential Stds'!$C$7:$C$150,Conservative!$C31,'[7]Potential Stds'!$A$7:$A$150,$B$25)+SUMIFS('[7]Potential Stds'!$R$7:$R$150,'[7]Potential Stds'!$I$7:$I$150,Conservative!L$17,'[7]Potential Stds'!$C$7:$C$150,"split",'[7]Potential Stds'!$A$7:$A$150,$B$25)/2</f>
        <v>0</v>
      </c>
      <c r="M31" s="195">
        <f>L31+SUMIFS('[7]Potential Stds'!$R$7:$R$150,'[7]Potential Stds'!$I$7:$I$150,Conservative!M$17,'[7]Potential Stds'!$C$7:$C$150,Conservative!$C31,'[7]Potential Stds'!$A$7:$A$150,$B$25)+SUMIFS('[7]Potential Stds'!$R$7:$R$150,'[7]Potential Stds'!$I$7:$I$150,Conservative!M$17,'[7]Potential Stds'!$C$7:$C$150,"split",'[7]Potential Stds'!$A$7:$A$150,$B$25)/2</f>
        <v>0</v>
      </c>
      <c r="N31" s="195">
        <f>M31+SUMIFS('[7]Potential Stds'!$R$7:$R$150,'[7]Potential Stds'!$I$7:$I$150,Conservative!N$17,'[7]Potential Stds'!$C$7:$C$150,Conservative!$C31,'[7]Potential Stds'!$A$7:$A$150,$B$25)+SUMIFS('[7]Potential Stds'!$R$7:$R$150,'[7]Potential Stds'!$I$7:$I$150,Conservative!N$17,'[7]Potential Stds'!$C$7:$C$150,"split",'[7]Potential Stds'!$A$7:$A$150,$B$25)/2</f>
        <v>0</v>
      </c>
      <c r="O31" s="195">
        <f>N31+SUMIFS('[7]Potential Stds'!$R$7:$R$150,'[7]Potential Stds'!$I$7:$I$150,Conservative!O$17,'[7]Potential Stds'!$C$7:$C$150,Conservative!$C31,'[7]Potential Stds'!$A$7:$A$150,$B$25)+SUMIFS('[7]Potential Stds'!$R$7:$R$150,'[7]Potential Stds'!$I$7:$I$150,Conservative!O$17,'[7]Potential Stds'!$C$7:$C$150,"split",'[7]Potential Stds'!$A$7:$A$150,$B$25)/2</f>
        <v>0</v>
      </c>
      <c r="P31" s="195">
        <f>O31+SUMIFS('[7]Potential Stds'!$R$7:$R$150,'[7]Potential Stds'!$I$7:$I$150,Conservative!P$17,'[7]Potential Stds'!$C$7:$C$150,Conservative!$C31,'[7]Potential Stds'!$A$7:$A$150,$B$25)+SUMIFS('[7]Potential Stds'!$R$7:$R$150,'[7]Potential Stds'!$I$7:$I$150,Conservative!P$17,'[7]Potential Stds'!$C$7:$C$150,"split",'[7]Potential Stds'!$A$7:$A$150,$B$25)/2</f>
        <v>0</v>
      </c>
      <c r="Q31" s="195">
        <f>P31+SUMIFS('[7]Potential Stds'!$R$7:$R$150,'[7]Potential Stds'!$I$7:$I$150,Conservative!Q$17,'[7]Potential Stds'!$C$7:$C$150,Conservative!$C31,'[7]Potential Stds'!$A$7:$A$150,$B$25)+SUMIFS('[7]Potential Stds'!$R$7:$R$150,'[7]Potential Stds'!$I$7:$I$150,Conservative!Q$17,'[7]Potential Stds'!$C$7:$C$150,"split",'[7]Potential Stds'!$A$7:$A$150,$B$25)/2</f>
        <v>0</v>
      </c>
      <c r="R31" s="195">
        <f>Q31+SUMIFS('[7]Potential Stds'!$R$7:$R$150,'[7]Potential Stds'!$I$7:$I$150,Conservative!R$17,'[7]Potential Stds'!$C$7:$C$150,Conservative!$C31,'[7]Potential Stds'!$A$7:$A$150,$B$25)+SUMIFS('[7]Potential Stds'!$R$7:$R$150,'[7]Potential Stds'!$I$7:$I$150,Conservative!R$17,'[7]Potential Stds'!$C$7:$C$150,"split",'[7]Potential Stds'!$A$7:$A$150,$B$25)/2</f>
        <v>0</v>
      </c>
    </row>
    <row r="32" spans="2:18" x14ac:dyDescent="0.3">
      <c r="B32" s="199"/>
      <c r="C32" s="194" t="s">
        <v>451</v>
      </c>
      <c r="D32" s="195">
        <f>SUMIFS('[7]Potential Stds'!$R$7:$R$150,'[7]Potential Stds'!$I$7:$I$150,Conservative!D$17,'[7]Potential Stds'!$C$7:$C$150,Conservative!$C32,'[7]Potential Stds'!$A$7:$A$150,$B$25)+SUMIFS('[7]Potential Stds'!$R$7:$R$150,'[7]Potential Stds'!$I$7:$I$150,Conservative!D$17,'[7]Potential Stds'!$C$7:$C$150,"split",'[7]Potential Stds'!$A$7:$A$150,$B$25)/2</f>
        <v>0</v>
      </c>
      <c r="E32" s="195">
        <f>D32+SUMIFS('[7]Potential Stds'!$R$7:$R$150,'[7]Potential Stds'!$I$7:$I$150,Conservative!E$17,'[7]Potential Stds'!$C$7:$C$150,Conservative!$C32,'[7]Potential Stds'!$A$7:$A$150,$B$25)+SUMIFS('[7]Potential Stds'!$R$7:$R$150,'[7]Potential Stds'!$I$7:$I$150,Conservative!E$17,'[7]Potential Stds'!$C$7:$C$150,"split",'[7]Potential Stds'!$A$7:$A$150,$B$25)/2</f>
        <v>0</v>
      </c>
      <c r="F32" s="195">
        <f>E32+SUMIFS('[7]Potential Stds'!$R$7:$R$150,'[7]Potential Stds'!$I$7:$I$150,Conservative!F$17,'[7]Potential Stds'!$C$7:$C$150,Conservative!$C32,'[7]Potential Stds'!$A$7:$A$150,$B$25)+SUMIFS('[7]Potential Stds'!$R$7:$R$150,'[7]Potential Stds'!$I$7:$I$150,Conservative!F$17,'[7]Potential Stds'!$C$7:$C$150,"split",'[7]Potential Stds'!$A$7:$A$150,$B$25)/2</f>
        <v>0</v>
      </c>
      <c r="G32" s="195">
        <f>F32+SUMIFS('[7]Potential Stds'!$R$7:$R$150,'[7]Potential Stds'!$I$7:$I$150,Conservative!G$17,'[7]Potential Stds'!$C$7:$C$150,Conservative!$C32,'[7]Potential Stds'!$A$7:$A$150,$B$25)+SUMIFS('[7]Potential Stds'!$R$7:$R$150,'[7]Potential Stds'!$I$7:$I$150,Conservative!G$17,'[7]Potential Stds'!$C$7:$C$150,"split",'[7]Potential Stds'!$A$7:$A$150,$B$25)/2</f>
        <v>0</v>
      </c>
      <c r="H32" s="195">
        <f>G32+SUMIFS('[7]Potential Stds'!$R$7:$R$150,'[7]Potential Stds'!$I$7:$I$150,Conservative!H$17,'[7]Potential Stds'!$C$7:$C$150,Conservative!$C32,'[7]Potential Stds'!$A$7:$A$150,$B$25)+SUMIFS('[7]Potential Stds'!$R$7:$R$150,'[7]Potential Stds'!$I$7:$I$150,Conservative!H$17,'[7]Potential Stds'!$C$7:$C$150,"split",'[7]Potential Stds'!$A$7:$A$150,$B$25)/2</f>
        <v>0</v>
      </c>
      <c r="I32" s="195">
        <f>H32+SUMIFS('[7]Potential Stds'!$R$7:$R$150,'[7]Potential Stds'!$I$7:$I$150,Conservative!I$17,'[7]Potential Stds'!$C$7:$C$150,Conservative!$C32,'[7]Potential Stds'!$A$7:$A$150,$B$25)+SUMIFS('[7]Potential Stds'!$R$7:$R$150,'[7]Potential Stds'!$I$7:$I$150,Conservative!I$17,'[7]Potential Stds'!$C$7:$C$150,"split",'[7]Potential Stds'!$A$7:$A$150,$B$25)/2</f>
        <v>0</v>
      </c>
      <c r="J32" s="195">
        <f>I32+SUMIFS('[7]Potential Stds'!$R$7:$R$150,'[7]Potential Stds'!$I$7:$I$150,Conservative!J$17,'[7]Potential Stds'!$C$7:$C$150,Conservative!$C32,'[7]Potential Stds'!$A$7:$A$150,$B$25)+SUMIFS('[7]Potential Stds'!$R$7:$R$150,'[7]Potential Stds'!$I$7:$I$150,Conservative!J$17,'[7]Potential Stds'!$C$7:$C$150,"split",'[7]Potential Stds'!$A$7:$A$150,$B$25)/2</f>
        <v>0</v>
      </c>
      <c r="K32" s="195">
        <f>J32+SUMIFS('[7]Potential Stds'!$R$7:$R$150,'[7]Potential Stds'!$I$7:$I$150,Conservative!K$17,'[7]Potential Stds'!$C$7:$C$150,Conservative!$C32,'[7]Potential Stds'!$A$7:$A$150,$B$25)+SUMIFS('[7]Potential Stds'!$R$7:$R$150,'[7]Potential Stds'!$I$7:$I$150,Conservative!K$17,'[7]Potential Stds'!$C$7:$C$150,"split",'[7]Potential Stds'!$A$7:$A$150,$B$25)/2</f>
        <v>0</v>
      </c>
      <c r="L32" s="195">
        <f>K32+SUMIFS('[7]Potential Stds'!$R$7:$R$150,'[7]Potential Stds'!$I$7:$I$150,Conservative!L$17,'[7]Potential Stds'!$C$7:$C$150,Conservative!$C32,'[7]Potential Stds'!$A$7:$A$150,$B$25)+SUMIFS('[7]Potential Stds'!$R$7:$R$150,'[7]Potential Stds'!$I$7:$I$150,Conservative!L$17,'[7]Potential Stds'!$C$7:$C$150,"split",'[7]Potential Stds'!$A$7:$A$150,$B$25)/2</f>
        <v>0</v>
      </c>
      <c r="M32" s="195">
        <f>L32+SUMIFS('[7]Potential Stds'!$R$7:$R$150,'[7]Potential Stds'!$I$7:$I$150,Conservative!M$17,'[7]Potential Stds'!$C$7:$C$150,Conservative!$C32,'[7]Potential Stds'!$A$7:$A$150,$B$25)+SUMIFS('[7]Potential Stds'!$R$7:$R$150,'[7]Potential Stds'!$I$7:$I$150,Conservative!M$17,'[7]Potential Stds'!$C$7:$C$150,"split",'[7]Potential Stds'!$A$7:$A$150,$B$25)/2</f>
        <v>0</v>
      </c>
      <c r="N32" s="195">
        <f>M32+SUMIFS('[7]Potential Stds'!$R$7:$R$150,'[7]Potential Stds'!$I$7:$I$150,Conservative!N$17,'[7]Potential Stds'!$C$7:$C$150,Conservative!$C32,'[7]Potential Stds'!$A$7:$A$150,$B$25)+SUMIFS('[7]Potential Stds'!$R$7:$R$150,'[7]Potential Stds'!$I$7:$I$150,Conservative!N$17,'[7]Potential Stds'!$C$7:$C$150,"split",'[7]Potential Stds'!$A$7:$A$150,$B$25)/2</f>
        <v>0</v>
      </c>
      <c r="O32" s="195">
        <f>N32+SUMIFS('[7]Potential Stds'!$R$7:$R$150,'[7]Potential Stds'!$I$7:$I$150,Conservative!O$17,'[7]Potential Stds'!$C$7:$C$150,Conservative!$C32,'[7]Potential Stds'!$A$7:$A$150,$B$25)+SUMIFS('[7]Potential Stds'!$R$7:$R$150,'[7]Potential Stds'!$I$7:$I$150,Conservative!O$17,'[7]Potential Stds'!$C$7:$C$150,"split",'[7]Potential Stds'!$A$7:$A$150,$B$25)/2</f>
        <v>0</v>
      </c>
      <c r="P32" s="195">
        <f>O32+SUMIFS('[7]Potential Stds'!$R$7:$R$150,'[7]Potential Stds'!$I$7:$I$150,Conservative!P$17,'[7]Potential Stds'!$C$7:$C$150,Conservative!$C32,'[7]Potential Stds'!$A$7:$A$150,$B$25)+SUMIFS('[7]Potential Stds'!$R$7:$R$150,'[7]Potential Stds'!$I$7:$I$150,Conservative!P$17,'[7]Potential Stds'!$C$7:$C$150,"split",'[7]Potential Stds'!$A$7:$A$150,$B$25)/2</f>
        <v>0</v>
      </c>
      <c r="Q32" s="195">
        <f>P32+SUMIFS('[7]Potential Stds'!$R$7:$R$150,'[7]Potential Stds'!$I$7:$I$150,Conservative!Q$17,'[7]Potential Stds'!$C$7:$C$150,Conservative!$C32,'[7]Potential Stds'!$A$7:$A$150,$B$25)+SUMIFS('[7]Potential Stds'!$R$7:$R$150,'[7]Potential Stds'!$I$7:$I$150,Conservative!Q$17,'[7]Potential Stds'!$C$7:$C$150,"split",'[7]Potential Stds'!$A$7:$A$150,$B$25)/2</f>
        <v>0</v>
      </c>
      <c r="R32" s="195">
        <f>Q32+SUMIFS('[7]Potential Stds'!$R$7:$R$150,'[7]Potential Stds'!$I$7:$I$150,Conservative!R$17,'[7]Potential Stds'!$C$7:$C$150,Conservative!$C32,'[7]Potential Stds'!$A$7:$A$150,$B$25)+SUMIFS('[7]Potential Stds'!$R$7:$R$150,'[7]Potential Stds'!$I$7:$I$150,Conservative!R$17,'[7]Potential Stds'!$C$7:$C$150,"split",'[7]Potential Stds'!$A$7:$A$150,$B$25)/2</f>
        <v>0</v>
      </c>
    </row>
    <row r="33" spans="2:18" x14ac:dyDescent="0.3">
      <c r="B33" s="197"/>
      <c r="D33" s="19"/>
      <c r="E33" s="19"/>
      <c r="F33" s="19"/>
      <c r="G33" s="19"/>
      <c r="H33" s="19"/>
      <c r="I33" s="19"/>
      <c r="J33" s="19"/>
      <c r="K33" s="19"/>
      <c r="L33" s="19"/>
      <c r="M33" s="19"/>
      <c r="N33" s="19"/>
      <c r="O33" s="19"/>
      <c r="P33" s="19"/>
      <c r="Q33" s="19"/>
      <c r="R33" s="19"/>
    </row>
    <row r="34" spans="2:18" x14ac:dyDescent="0.3">
      <c r="B34" s="197" t="s">
        <v>462</v>
      </c>
    </row>
    <row r="35" spans="2:18" x14ac:dyDescent="0.3">
      <c r="B35" s="197"/>
      <c r="G35" s="43"/>
      <c r="H35" s="43"/>
      <c r="I35" s="43"/>
      <c r="J35" s="43"/>
      <c r="K35" s="43"/>
      <c r="L35" s="43"/>
      <c r="M35" s="43"/>
      <c r="N35" s="43"/>
      <c r="O35" s="43"/>
      <c r="P35" s="43"/>
      <c r="Q35" s="43"/>
      <c r="R35" s="43"/>
    </row>
    <row r="36" spans="2:18" x14ac:dyDescent="0.3">
      <c r="B36" s="197"/>
      <c r="D36">
        <v>2015</v>
      </c>
      <c r="E36">
        <v>2016</v>
      </c>
      <c r="F36">
        <v>2017</v>
      </c>
      <c r="G36">
        <v>2018</v>
      </c>
      <c r="H36">
        <v>2019</v>
      </c>
      <c r="I36">
        <v>2020</v>
      </c>
      <c r="J36">
        <v>2021</v>
      </c>
      <c r="K36">
        <v>2022</v>
      </c>
      <c r="L36">
        <v>2023</v>
      </c>
      <c r="M36">
        <v>2024</v>
      </c>
      <c r="N36">
        <v>2025</v>
      </c>
      <c r="O36">
        <v>2026</v>
      </c>
      <c r="P36">
        <v>2027</v>
      </c>
      <c r="Q36">
        <v>2028</v>
      </c>
      <c r="R36">
        <v>2029</v>
      </c>
    </row>
    <row r="37" spans="2:18" x14ac:dyDescent="0.3">
      <c r="B37" s="201" t="s">
        <v>878</v>
      </c>
      <c r="C37" s="192" t="s">
        <v>440</v>
      </c>
      <c r="D37" s="193">
        <f>SUMIFS('[7]Potential Stds'!$Q$7:$Q$150,'[7]Potential Stds'!$I$7:$I$150,Conservative!D$17,'[7]Potential Stds'!$C$7:$C$150,Conservative!$C37,'[7]Potential Stds'!$A$7:$A$150,$B$34)+SUMIFS('[7]Potential Stds'!$Q$7:$Q$150,'[7]Potential Stds'!$I$7:$I$150,Conservative!D$17,'[7]Potential Stds'!$C$7:$C$150,"split",'[7]Potential Stds'!$A$7:$A$150,$B$34)/2</f>
        <v>0</v>
      </c>
      <c r="E37" s="193">
        <f>D37+SUMIFS('[7]Potential Stds'!$Q$7:$Q$150,'[7]Potential Stds'!$I$7:$I$150,Conservative!E$17,'[7]Potential Stds'!$C$7:$C$150,Conservative!$C37,'[7]Potential Stds'!$A$7:$A$150,$B$34)+SUMIFS('[7]Potential Stds'!$Q$7:$Q$150,'[7]Potential Stds'!$I$7:$I$150,Conservative!E$17,'[7]Potential Stds'!$C$7:$C$150,"split",'[7]Potential Stds'!$A$7:$A$150,$B$34)/2</f>
        <v>0</v>
      </c>
      <c r="F37" s="193">
        <f>E37+SUMIFS('[7]Potential Stds'!$Q$7:$Q$150,'[7]Potential Stds'!$I$7:$I$150,Conservative!F$17,'[7]Potential Stds'!$C$7:$C$150,Conservative!$C37,'[7]Potential Stds'!$A$7:$A$150,$B$34)+SUMIFS('[7]Potential Stds'!$Q$7:$Q$150,'[7]Potential Stds'!$I$7:$I$150,Conservative!F$17,'[7]Potential Stds'!$C$7:$C$150,"split",'[7]Potential Stds'!$A$7:$A$150,$B$34)/2</f>
        <v>0</v>
      </c>
      <c r="G37" s="193">
        <f>F37+SUMIFS('[7]Potential Stds'!$Q$7:$Q$150,'[7]Potential Stds'!$I$7:$I$150,Conservative!G$17,'[7]Potential Stds'!$C$7:$C$150,Conservative!$C37,'[7]Potential Stds'!$A$7:$A$150,$B$34)+SUMIFS('[7]Potential Stds'!$Q$7:$Q$150,'[7]Potential Stds'!$I$7:$I$150,Conservative!G$17,'[7]Potential Stds'!$C$7:$C$150,"split",'[7]Potential Stds'!$A$7:$A$150,$B$34)/2</f>
        <v>0</v>
      </c>
      <c r="H37" s="193">
        <f>G37+SUMIFS('[7]Potential Stds'!$Q$7:$Q$150,'[7]Potential Stds'!$I$7:$I$150,Conservative!H$17,'[7]Potential Stds'!$C$7:$C$150,Conservative!$C37,'[7]Potential Stds'!$A$7:$A$150,$B$34)+SUMIFS('[7]Potential Stds'!$Q$7:$Q$150,'[7]Potential Stds'!$I$7:$I$150,Conservative!H$17,'[7]Potential Stds'!$C$7:$C$150,"split",'[7]Potential Stds'!$A$7:$A$150,$B$34)/2</f>
        <v>0</v>
      </c>
      <c r="I37" s="193">
        <f>H37+SUMIFS('[7]Potential Stds'!$Q$7:$Q$150,'[7]Potential Stds'!$I$7:$I$150,Conservative!I$17,'[7]Potential Stds'!$C$7:$C$150,Conservative!$C37,'[7]Potential Stds'!$A$7:$A$150,$B$34)+SUMIFS('[7]Potential Stds'!$Q$7:$Q$150,'[7]Potential Stds'!$I$7:$I$150,Conservative!I$17,'[7]Potential Stds'!$C$7:$C$150,"split",'[7]Potential Stds'!$A$7:$A$150,$B$34)/2</f>
        <v>0</v>
      </c>
      <c r="J37" s="193">
        <f>I37+SUMIFS('[7]Potential Stds'!$Q$7:$Q$150,'[7]Potential Stds'!$I$7:$I$150,Conservative!J$17,'[7]Potential Stds'!$C$7:$C$150,Conservative!$C37,'[7]Potential Stds'!$A$7:$A$150,$B$34)+SUMIFS('[7]Potential Stds'!$Q$7:$Q$150,'[7]Potential Stds'!$I$7:$I$150,Conservative!J$17,'[7]Potential Stds'!$C$7:$C$150,"split",'[7]Potential Stds'!$A$7:$A$150,$B$34)/2</f>
        <v>0</v>
      </c>
      <c r="K37" s="193">
        <f>J37+SUMIFS('[7]Potential Stds'!$Q$7:$Q$150,'[7]Potential Stds'!$I$7:$I$150,Conservative!K$17,'[7]Potential Stds'!$C$7:$C$150,Conservative!$C37,'[7]Potential Stds'!$A$7:$A$150,$B$34)+SUMIFS('[7]Potential Stds'!$Q$7:$Q$150,'[7]Potential Stds'!$I$7:$I$150,Conservative!K$17,'[7]Potential Stds'!$C$7:$C$150,"split",'[7]Potential Stds'!$A$7:$A$150,$B$34)/2</f>
        <v>0</v>
      </c>
      <c r="L37" s="193">
        <f>K37+SUMIFS('[7]Potential Stds'!$Q$7:$Q$150,'[7]Potential Stds'!$I$7:$I$150,Conservative!L$17,'[7]Potential Stds'!$C$7:$C$150,Conservative!$C37,'[7]Potential Stds'!$A$7:$A$150,$B$34)+SUMIFS('[7]Potential Stds'!$Q$7:$Q$150,'[7]Potential Stds'!$I$7:$I$150,Conservative!L$17,'[7]Potential Stds'!$C$7:$C$150,"split",'[7]Potential Stds'!$A$7:$A$150,$B$34)/2</f>
        <v>0</v>
      </c>
      <c r="M37" s="193">
        <f>L37+SUMIFS('[7]Potential Stds'!$Q$7:$Q$150,'[7]Potential Stds'!$I$7:$I$150,Conservative!M$17,'[7]Potential Stds'!$C$7:$C$150,Conservative!$C37,'[7]Potential Stds'!$A$7:$A$150,$B$34)+SUMIFS('[7]Potential Stds'!$Q$7:$Q$150,'[7]Potential Stds'!$I$7:$I$150,Conservative!M$17,'[7]Potential Stds'!$C$7:$C$150,"split",'[7]Potential Stds'!$A$7:$A$150,$B$34)/2</f>
        <v>22.888800000000003</v>
      </c>
      <c r="N37" s="193">
        <f>M37+SUMIFS('[7]Potential Stds'!$Q$7:$Q$150,'[7]Potential Stds'!$I$7:$I$150,Conservative!N$17,'[7]Potential Stds'!$C$7:$C$150,Conservative!$C37,'[7]Potential Stds'!$A$7:$A$150,$B$34)+SUMIFS('[7]Potential Stds'!$Q$7:$Q$150,'[7]Potential Stds'!$I$7:$I$150,Conservative!N$17,'[7]Potential Stds'!$C$7:$C$150,"split",'[7]Potential Stds'!$A$7:$A$150,$B$34)/2</f>
        <v>504.10899000000006</v>
      </c>
      <c r="O37" s="193">
        <f>N37+SUMIFS('[7]Potential Stds'!$Q$7:$Q$150,'[7]Potential Stds'!$I$7:$I$150,Conservative!O$17,'[7]Potential Stds'!$C$7:$C$150,Conservative!$C37,'[7]Potential Stds'!$A$7:$A$150,$B$34)+SUMIFS('[7]Potential Stds'!$Q$7:$Q$150,'[7]Potential Stds'!$I$7:$I$150,Conservative!O$17,'[7]Potential Stds'!$C$7:$C$150,"split",'[7]Potential Stds'!$A$7:$A$150,$B$34)/2</f>
        <v>668.88999000000013</v>
      </c>
      <c r="P37" s="193">
        <f>O37+SUMIFS('[7]Potential Stds'!$Q$7:$Q$150,'[7]Potential Stds'!$I$7:$I$150,Conservative!P$17,'[7]Potential Stds'!$C$7:$C$150,Conservative!$C37,'[7]Potential Stds'!$A$7:$A$150,$B$34)+SUMIFS('[7]Potential Stds'!$Q$7:$Q$150,'[7]Potential Stds'!$I$7:$I$150,Conservative!P$17,'[7]Potential Stds'!$C$7:$C$150,"split",'[7]Potential Stds'!$A$7:$A$150,$B$34)/2</f>
        <v>677.91699000000017</v>
      </c>
      <c r="Q37" s="193">
        <f>P37+SUMIFS('[7]Potential Stds'!$Q$7:$Q$150,'[7]Potential Stds'!$I$7:$I$150,Conservative!Q$17,'[7]Potential Stds'!$C$7:$C$150,Conservative!$C37,'[7]Potential Stds'!$A$7:$A$150,$B$34)+SUMIFS('[7]Potential Stds'!$Q$7:$Q$150,'[7]Potential Stds'!$I$7:$I$150,Conservative!Q$17,'[7]Potential Stds'!$C$7:$C$150,"split",'[7]Potential Stds'!$A$7:$A$150,$B$34)/2</f>
        <v>677.91699000000017</v>
      </c>
      <c r="R37" s="193">
        <f>Q37+SUMIFS('[7]Potential Stds'!$Q$7:$Q$150,'[7]Potential Stds'!$I$7:$I$150,Conservative!R$17,'[7]Potential Stds'!$C$7:$C$150,Conservative!$C37,'[7]Potential Stds'!$A$7:$A$150,$B$34)+SUMIFS('[7]Potential Stds'!$Q$7:$Q$150,'[7]Potential Stds'!$I$7:$I$150,Conservative!R$17,'[7]Potential Stds'!$C$7:$C$150,"split",'[7]Potential Stds'!$A$7:$A$150,$B$34)/2</f>
        <v>690.70779000000016</v>
      </c>
    </row>
    <row r="38" spans="2:18" x14ac:dyDescent="0.3">
      <c r="B38" s="201"/>
      <c r="C38" s="192" t="s">
        <v>451</v>
      </c>
      <c r="D38" s="193">
        <f>SUMIFS('[7]Potential Stds'!$Q$7:$Q$150,'[7]Potential Stds'!$I$7:$I$150,Conservative!D$17,'[7]Potential Stds'!$C$7:$C$150,Conservative!$C38,'[7]Potential Stds'!$A$7:$A$150,$B$34)+SUMIFS('[7]Potential Stds'!$Q$7:$Q$150,'[7]Potential Stds'!$I$7:$I$150,Conservative!D$17,'[7]Potential Stds'!$C$7:$C$150,"split",'[7]Potential Stds'!$A$7:$A$150,$B$34)/2</f>
        <v>0</v>
      </c>
      <c r="E38" s="193">
        <f>D38+SUMIFS('[7]Potential Stds'!$Q$7:$Q$150,'[7]Potential Stds'!$I$7:$I$150,Conservative!E$17,'[7]Potential Stds'!$C$7:$C$150,Conservative!$C38,'[7]Potential Stds'!$A$7:$A$150,$B$34)+SUMIFS('[7]Potential Stds'!$Q$7:$Q$150,'[7]Potential Stds'!$I$7:$I$150,Conservative!E$17,'[7]Potential Stds'!$C$7:$C$150,"split",'[7]Potential Stds'!$A$7:$A$150,$B$34)/2</f>
        <v>0</v>
      </c>
      <c r="F38" s="193">
        <f>E38+SUMIFS('[7]Potential Stds'!$Q$7:$Q$150,'[7]Potential Stds'!$I$7:$I$150,Conservative!F$17,'[7]Potential Stds'!$C$7:$C$150,Conservative!$C38,'[7]Potential Stds'!$A$7:$A$150,$B$34)+SUMIFS('[7]Potential Stds'!$Q$7:$Q$150,'[7]Potential Stds'!$I$7:$I$150,Conservative!F$17,'[7]Potential Stds'!$C$7:$C$150,"split",'[7]Potential Stds'!$A$7:$A$150,$B$34)/2</f>
        <v>0</v>
      </c>
      <c r="G38" s="193">
        <f>F38+SUMIFS('[7]Potential Stds'!$Q$7:$Q$150,'[7]Potential Stds'!$I$7:$I$150,Conservative!G$17,'[7]Potential Stds'!$C$7:$C$150,Conservative!$C38,'[7]Potential Stds'!$A$7:$A$150,$B$34)+SUMIFS('[7]Potential Stds'!$Q$7:$Q$150,'[7]Potential Stds'!$I$7:$I$150,Conservative!G$17,'[7]Potential Stds'!$C$7:$C$150,"split",'[7]Potential Stds'!$A$7:$A$150,$B$34)/2</f>
        <v>0</v>
      </c>
      <c r="H38" s="193">
        <f>G38+SUMIFS('[7]Potential Stds'!$Q$7:$Q$150,'[7]Potential Stds'!$I$7:$I$150,Conservative!H$17,'[7]Potential Stds'!$C$7:$C$150,Conservative!$C38,'[7]Potential Stds'!$A$7:$A$150,$B$34)+SUMIFS('[7]Potential Stds'!$Q$7:$Q$150,'[7]Potential Stds'!$I$7:$I$150,Conservative!H$17,'[7]Potential Stds'!$C$7:$C$150,"split",'[7]Potential Stds'!$A$7:$A$150,$B$34)/2</f>
        <v>0</v>
      </c>
      <c r="I38" s="193">
        <f>H38+SUMIFS('[7]Potential Stds'!$Q$7:$Q$150,'[7]Potential Stds'!$I$7:$I$150,Conservative!I$17,'[7]Potential Stds'!$C$7:$C$150,Conservative!$C38,'[7]Potential Stds'!$A$7:$A$150,$B$34)+SUMIFS('[7]Potential Stds'!$Q$7:$Q$150,'[7]Potential Stds'!$I$7:$I$150,Conservative!I$17,'[7]Potential Stds'!$C$7:$C$150,"split",'[7]Potential Stds'!$A$7:$A$150,$B$34)/2</f>
        <v>0</v>
      </c>
      <c r="J38" s="193">
        <f>I38+SUMIFS('[7]Potential Stds'!$Q$7:$Q$150,'[7]Potential Stds'!$I$7:$I$150,Conservative!J$17,'[7]Potential Stds'!$C$7:$C$150,Conservative!$C38,'[7]Potential Stds'!$A$7:$A$150,$B$34)+SUMIFS('[7]Potential Stds'!$Q$7:$Q$150,'[7]Potential Stds'!$I$7:$I$150,Conservative!J$17,'[7]Potential Stds'!$C$7:$C$150,"split",'[7]Potential Stds'!$A$7:$A$150,$B$34)/2</f>
        <v>0</v>
      </c>
      <c r="K38" s="193">
        <f>J38+SUMIFS('[7]Potential Stds'!$Q$7:$Q$150,'[7]Potential Stds'!$I$7:$I$150,Conservative!K$17,'[7]Potential Stds'!$C$7:$C$150,Conservative!$C38,'[7]Potential Stds'!$A$7:$A$150,$B$34)+SUMIFS('[7]Potential Stds'!$Q$7:$Q$150,'[7]Potential Stds'!$I$7:$I$150,Conservative!K$17,'[7]Potential Stds'!$C$7:$C$150,"split",'[7]Potential Stds'!$A$7:$A$150,$B$34)/2</f>
        <v>0</v>
      </c>
      <c r="L38" s="193">
        <f>K38+SUMIFS('[7]Potential Stds'!$Q$7:$Q$150,'[7]Potential Stds'!$I$7:$I$150,Conservative!L$17,'[7]Potential Stds'!$C$7:$C$150,Conservative!$C38,'[7]Potential Stds'!$A$7:$A$150,$B$34)+SUMIFS('[7]Potential Stds'!$Q$7:$Q$150,'[7]Potential Stds'!$I$7:$I$150,Conservative!L$17,'[7]Potential Stds'!$C$7:$C$150,"split",'[7]Potential Stds'!$A$7:$A$150,$B$34)/2</f>
        <v>0</v>
      </c>
      <c r="M38" s="193">
        <f>L38+SUMIFS('[7]Potential Stds'!$Q$7:$Q$150,'[7]Potential Stds'!$I$7:$I$150,Conservative!M$17,'[7]Potential Stds'!$C$7:$C$150,Conservative!$C38,'[7]Potential Stds'!$A$7:$A$150,$B$34)+SUMIFS('[7]Potential Stds'!$Q$7:$Q$150,'[7]Potential Stds'!$I$7:$I$150,Conservative!M$17,'[7]Potential Stds'!$C$7:$C$150,"split",'[7]Potential Stds'!$A$7:$A$150,$B$34)/2</f>
        <v>0</v>
      </c>
      <c r="N38" s="193">
        <f>M38+SUMIFS('[7]Potential Stds'!$Q$7:$Q$150,'[7]Potential Stds'!$I$7:$I$150,Conservative!N$17,'[7]Potential Stds'!$C$7:$C$150,Conservative!$C38,'[7]Potential Stds'!$A$7:$A$150,$B$34)+SUMIFS('[7]Potential Stds'!$Q$7:$Q$150,'[7]Potential Stds'!$I$7:$I$150,Conservative!N$17,'[7]Potential Stds'!$C$7:$C$150,"split",'[7]Potential Stds'!$A$7:$A$150,$B$34)/2</f>
        <v>23.962859999999999</v>
      </c>
      <c r="O38" s="193">
        <f>N38+SUMIFS('[7]Potential Stds'!$Q$7:$Q$150,'[7]Potential Stds'!$I$7:$I$150,Conservative!O$17,'[7]Potential Stds'!$C$7:$C$150,Conservative!$C38,'[7]Potential Stds'!$A$7:$A$150,$B$34)+SUMIFS('[7]Potential Stds'!$Q$7:$Q$150,'[7]Potential Stds'!$I$7:$I$150,Conservative!O$17,'[7]Potential Stds'!$C$7:$C$150,"split",'[7]Potential Stds'!$A$7:$A$150,$B$34)/2</f>
        <v>23.962859999999999</v>
      </c>
      <c r="P38" s="193">
        <f>O38+SUMIFS('[7]Potential Stds'!$Q$7:$Q$150,'[7]Potential Stds'!$I$7:$I$150,Conservative!P$17,'[7]Potential Stds'!$C$7:$C$150,Conservative!$C38,'[7]Potential Stds'!$A$7:$A$150,$B$34)+SUMIFS('[7]Potential Stds'!$Q$7:$Q$150,'[7]Potential Stds'!$I$7:$I$150,Conservative!P$17,'[7]Potential Stds'!$C$7:$C$150,"split",'[7]Potential Stds'!$A$7:$A$150,$B$34)/2</f>
        <v>181.23767999999998</v>
      </c>
      <c r="Q38" s="193">
        <f>P38+SUMIFS('[7]Potential Stds'!$Q$7:$Q$150,'[7]Potential Stds'!$I$7:$I$150,Conservative!Q$17,'[7]Potential Stds'!$C$7:$C$150,Conservative!$C38,'[7]Potential Stds'!$A$7:$A$150,$B$34)+SUMIFS('[7]Potential Stds'!$Q$7:$Q$150,'[7]Potential Stds'!$I$7:$I$150,Conservative!Q$17,'[7]Potential Stds'!$C$7:$C$150,"split",'[7]Potential Stds'!$A$7:$A$150,$B$34)/2</f>
        <v>199.87307999999999</v>
      </c>
      <c r="R38" s="193">
        <f>Q38+SUMIFS('[7]Potential Stds'!$Q$7:$Q$150,'[7]Potential Stds'!$I$7:$I$150,Conservative!R$17,'[7]Potential Stds'!$C$7:$C$150,Conservative!$C38,'[7]Potential Stds'!$A$7:$A$150,$B$34)+SUMIFS('[7]Potential Stds'!$Q$7:$Q$150,'[7]Potential Stds'!$I$7:$I$150,Conservative!R$17,'[7]Potential Stds'!$C$7:$C$150,"split",'[7]Potential Stds'!$A$7:$A$150,$B$34)/2</f>
        <v>234.16649999999998</v>
      </c>
    </row>
    <row r="39" spans="2:18" x14ac:dyDescent="0.3">
      <c r="B39" s="202"/>
      <c r="C39" s="192"/>
      <c r="D39" s="193"/>
      <c r="E39" s="193"/>
      <c r="F39" s="193"/>
      <c r="G39" s="193"/>
      <c r="H39" s="193"/>
      <c r="I39" s="193"/>
      <c r="J39" s="193"/>
      <c r="K39" s="193"/>
      <c r="L39" s="193"/>
      <c r="M39" s="193"/>
      <c r="N39" s="193"/>
      <c r="O39" s="193"/>
      <c r="P39" s="193"/>
      <c r="Q39" s="193"/>
      <c r="R39" s="193"/>
    </row>
    <row r="40" spans="2:18" x14ac:dyDescent="0.3">
      <c r="B40" s="201" t="s">
        <v>879</v>
      </c>
      <c r="C40" s="192" t="s">
        <v>440</v>
      </c>
      <c r="D40" s="193">
        <f>SUMIFS('[7]Potential Stds'!$R$7:$R$150,'[7]Potential Stds'!$I$7:$I$150,Conservative!D$17,'[7]Potential Stds'!$C$7:$C$150,Conservative!$C40,'[7]Potential Stds'!$A$7:$A$150,$B$34)+SUMIFS('[7]Potential Stds'!$R$7:$R$150,'[7]Potential Stds'!$I$7:$I$150,Conservative!D$17,'[7]Potential Stds'!$C$7:$C$150,"split",'[7]Potential Stds'!$A$7:$A$150,$B$34)/2</f>
        <v>0</v>
      </c>
      <c r="E40" s="193">
        <f>D40+SUMIFS('[7]Potential Stds'!$R$7:$R$150,'[7]Potential Stds'!$I$7:$I$150,Conservative!E$17,'[7]Potential Stds'!$C$7:$C$150,Conservative!$C40,'[7]Potential Stds'!$A$7:$A$150,$B$34)+SUMIFS('[7]Potential Stds'!$R$7:$R$150,'[7]Potential Stds'!$I$7:$I$150,Conservative!E$17,'[7]Potential Stds'!$C$7:$C$150,"split",'[7]Potential Stds'!$A$7:$A$150,$B$34)/2</f>
        <v>0</v>
      </c>
      <c r="F40" s="193">
        <f>E40+SUMIFS('[7]Potential Stds'!$R$7:$R$150,'[7]Potential Stds'!$I$7:$I$150,Conservative!F$17,'[7]Potential Stds'!$C$7:$C$150,Conservative!$C40,'[7]Potential Stds'!$A$7:$A$150,$B$34)+SUMIFS('[7]Potential Stds'!$R$7:$R$150,'[7]Potential Stds'!$I$7:$I$150,Conservative!F$17,'[7]Potential Stds'!$C$7:$C$150,"split",'[7]Potential Stds'!$A$7:$A$150,$B$34)/2</f>
        <v>0</v>
      </c>
      <c r="G40" s="193">
        <f>F40+SUMIFS('[7]Potential Stds'!$R$7:$R$150,'[7]Potential Stds'!$I$7:$I$150,Conservative!G$17,'[7]Potential Stds'!$C$7:$C$150,Conservative!$C40,'[7]Potential Stds'!$A$7:$A$150,$B$34)+SUMIFS('[7]Potential Stds'!$R$7:$R$150,'[7]Potential Stds'!$I$7:$I$150,Conservative!G$17,'[7]Potential Stds'!$C$7:$C$150,"split",'[7]Potential Stds'!$A$7:$A$150,$B$34)/2</f>
        <v>0</v>
      </c>
      <c r="H40" s="193">
        <f>G40+SUMIFS('[7]Potential Stds'!$R$7:$R$150,'[7]Potential Stds'!$I$7:$I$150,Conservative!H$17,'[7]Potential Stds'!$C$7:$C$150,Conservative!$C40,'[7]Potential Stds'!$A$7:$A$150,$B$34)+SUMIFS('[7]Potential Stds'!$R$7:$R$150,'[7]Potential Stds'!$I$7:$I$150,Conservative!H$17,'[7]Potential Stds'!$C$7:$C$150,"split",'[7]Potential Stds'!$A$7:$A$150,$B$34)/2</f>
        <v>0</v>
      </c>
      <c r="I40" s="193">
        <f>H40+SUMIFS('[7]Potential Stds'!$R$7:$R$150,'[7]Potential Stds'!$I$7:$I$150,Conservative!I$17,'[7]Potential Stds'!$C$7:$C$150,Conservative!$C40,'[7]Potential Stds'!$A$7:$A$150,$B$34)+SUMIFS('[7]Potential Stds'!$R$7:$R$150,'[7]Potential Stds'!$I$7:$I$150,Conservative!I$17,'[7]Potential Stds'!$C$7:$C$150,"split",'[7]Potential Stds'!$A$7:$A$150,$B$34)/2</f>
        <v>0</v>
      </c>
      <c r="J40" s="193">
        <f>I40+SUMIFS('[7]Potential Stds'!$R$7:$R$150,'[7]Potential Stds'!$I$7:$I$150,Conservative!J$17,'[7]Potential Stds'!$C$7:$C$150,Conservative!$C40,'[7]Potential Stds'!$A$7:$A$150,$B$34)+SUMIFS('[7]Potential Stds'!$R$7:$R$150,'[7]Potential Stds'!$I$7:$I$150,Conservative!J$17,'[7]Potential Stds'!$C$7:$C$150,"split",'[7]Potential Stds'!$A$7:$A$150,$B$34)/2</f>
        <v>0</v>
      </c>
      <c r="K40" s="193">
        <f>J40+SUMIFS('[7]Potential Stds'!$R$7:$R$150,'[7]Potential Stds'!$I$7:$I$150,Conservative!K$17,'[7]Potential Stds'!$C$7:$C$150,Conservative!$C40,'[7]Potential Stds'!$A$7:$A$150,$B$34)+SUMIFS('[7]Potential Stds'!$R$7:$R$150,'[7]Potential Stds'!$I$7:$I$150,Conservative!K$17,'[7]Potential Stds'!$C$7:$C$150,"split",'[7]Potential Stds'!$A$7:$A$150,$B$34)/2</f>
        <v>0</v>
      </c>
      <c r="L40" s="193">
        <f>K40+SUMIFS('[7]Potential Stds'!$R$7:$R$150,'[7]Potential Stds'!$I$7:$I$150,Conservative!L$17,'[7]Potential Stds'!$C$7:$C$150,Conservative!$C40,'[7]Potential Stds'!$A$7:$A$150,$B$34)+SUMIFS('[7]Potential Stds'!$R$7:$R$150,'[7]Potential Stds'!$I$7:$I$150,Conservative!L$17,'[7]Potential Stds'!$C$7:$C$150,"split",'[7]Potential Stds'!$A$7:$A$150,$B$34)/2</f>
        <v>0</v>
      </c>
      <c r="M40" s="193">
        <f>L40+SUMIFS('[7]Potential Stds'!$R$7:$R$150,'[7]Potential Stds'!$I$7:$I$150,Conservative!M$17,'[7]Potential Stds'!$C$7:$C$150,Conservative!$C40,'[7]Potential Stds'!$A$7:$A$150,$B$34)+SUMIFS('[7]Potential Stds'!$R$7:$R$150,'[7]Potential Stds'!$I$7:$I$150,Conservative!M$17,'[7]Potential Stds'!$C$7:$C$150,"split",'[7]Potential Stds'!$A$7:$A$150,$B$34)/2</f>
        <v>1.2392999999999998</v>
      </c>
      <c r="N40" s="193">
        <f>M40+SUMIFS('[7]Potential Stds'!$R$7:$R$150,'[7]Potential Stds'!$I$7:$I$150,Conservative!N$17,'[7]Potential Stds'!$C$7:$C$150,Conservative!$C40,'[7]Potential Stds'!$A$7:$A$150,$B$34)+SUMIFS('[7]Potential Stds'!$R$7:$R$150,'[7]Potential Stds'!$I$7:$I$150,Conservative!N$17,'[7]Potential Stds'!$C$7:$C$150,"split",'[7]Potential Stds'!$A$7:$A$150,$B$34)/2</f>
        <v>15.078149999999999</v>
      </c>
      <c r="O40" s="193">
        <f>N40+SUMIFS('[7]Potential Stds'!$R$7:$R$150,'[7]Potential Stds'!$I$7:$I$150,Conservative!O$17,'[7]Potential Stds'!$C$7:$C$150,Conservative!$C40,'[7]Potential Stds'!$A$7:$A$150,$B$34)+SUMIFS('[7]Potential Stds'!$R$7:$R$150,'[7]Potential Stds'!$I$7:$I$150,Conservative!O$17,'[7]Potential Stds'!$C$7:$C$150,"split",'[7]Potential Stds'!$A$7:$A$150,$B$34)/2</f>
        <v>16.684649999999998</v>
      </c>
      <c r="P40" s="193">
        <f>O40+SUMIFS('[7]Potential Stds'!$R$7:$R$150,'[7]Potential Stds'!$I$7:$I$150,Conservative!P$17,'[7]Potential Stds'!$C$7:$C$150,Conservative!$C40,'[7]Potential Stds'!$A$7:$A$150,$B$34)+SUMIFS('[7]Potential Stds'!$R$7:$R$150,'[7]Potential Stds'!$I$7:$I$150,Conservative!P$17,'[7]Potential Stds'!$C$7:$C$150,"split",'[7]Potential Stds'!$A$7:$A$150,$B$34)/2</f>
        <v>16.684649999999998</v>
      </c>
      <c r="Q40" s="193">
        <f>P40+SUMIFS('[7]Potential Stds'!$R$7:$R$150,'[7]Potential Stds'!$I$7:$I$150,Conservative!Q$17,'[7]Potential Stds'!$C$7:$C$150,Conservative!$C40,'[7]Potential Stds'!$A$7:$A$150,$B$34)+SUMIFS('[7]Potential Stds'!$R$7:$R$150,'[7]Potential Stds'!$I$7:$I$150,Conservative!Q$17,'[7]Potential Stds'!$C$7:$C$150,"split",'[7]Potential Stds'!$A$7:$A$150,$B$34)/2</f>
        <v>16.684649999999998</v>
      </c>
      <c r="R40" s="193">
        <f>Q40+SUMIFS('[7]Potential Stds'!$R$7:$R$150,'[7]Potential Stds'!$I$7:$I$150,Conservative!R$17,'[7]Potential Stds'!$C$7:$C$150,Conservative!$C40,'[7]Potential Stds'!$A$7:$A$150,$B$34)+SUMIFS('[7]Potential Stds'!$R$7:$R$150,'[7]Potential Stds'!$I$7:$I$150,Conservative!R$17,'[7]Potential Stds'!$C$7:$C$150,"split",'[7]Potential Stds'!$A$7:$A$150,$B$34)/2</f>
        <v>16.684649999999998</v>
      </c>
    </row>
    <row r="41" spans="2:18" x14ac:dyDescent="0.3">
      <c r="B41" s="201"/>
      <c r="C41" s="192" t="s">
        <v>451</v>
      </c>
      <c r="D41" s="193">
        <f>SUMIFS('[7]Potential Stds'!$R$7:$R$150,'[7]Potential Stds'!$I$7:$I$150,Conservative!D$17,'[7]Potential Stds'!$C$7:$C$150,Conservative!$C41,'[7]Potential Stds'!$A$7:$A$150,$B$34)+SUMIFS('[7]Potential Stds'!$R$7:$R$150,'[7]Potential Stds'!$I$7:$I$150,Conservative!D$17,'[7]Potential Stds'!$C$7:$C$150,"split",'[7]Potential Stds'!$A$7:$A$150,$B$34)/2</f>
        <v>0</v>
      </c>
      <c r="E41" s="193">
        <f>D41+SUMIFS('[7]Potential Stds'!$R$7:$R$150,'[7]Potential Stds'!$I$7:$I$150,Conservative!E$17,'[7]Potential Stds'!$C$7:$C$150,Conservative!$C41,'[7]Potential Stds'!$A$7:$A$150,$B$34)+SUMIFS('[7]Potential Stds'!$R$7:$R$150,'[7]Potential Stds'!$I$7:$I$150,Conservative!E$17,'[7]Potential Stds'!$C$7:$C$150,"split",'[7]Potential Stds'!$A$7:$A$150,$B$34)/2</f>
        <v>0</v>
      </c>
      <c r="F41" s="193">
        <f>E41+SUMIFS('[7]Potential Stds'!$R$7:$R$150,'[7]Potential Stds'!$I$7:$I$150,Conservative!F$17,'[7]Potential Stds'!$C$7:$C$150,Conservative!$C41,'[7]Potential Stds'!$A$7:$A$150,$B$34)+SUMIFS('[7]Potential Stds'!$R$7:$R$150,'[7]Potential Stds'!$I$7:$I$150,Conservative!F$17,'[7]Potential Stds'!$C$7:$C$150,"split",'[7]Potential Stds'!$A$7:$A$150,$B$34)/2</f>
        <v>0</v>
      </c>
      <c r="G41" s="193">
        <f>F41+SUMIFS('[7]Potential Stds'!$R$7:$R$150,'[7]Potential Stds'!$I$7:$I$150,Conservative!G$17,'[7]Potential Stds'!$C$7:$C$150,Conservative!$C41,'[7]Potential Stds'!$A$7:$A$150,$B$34)+SUMIFS('[7]Potential Stds'!$R$7:$R$150,'[7]Potential Stds'!$I$7:$I$150,Conservative!G$17,'[7]Potential Stds'!$C$7:$C$150,"split",'[7]Potential Stds'!$A$7:$A$150,$B$34)/2</f>
        <v>0</v>
      </c>
      <c r="H41" s="193">
        <f>G41+SUMIFS('[7]Potential Stds'!$R$7:$R$150,'[7]Potential Stds'!$I$7:$I$150,Conservative!H$17,'[7]Potential Stds'!$C$7:$C$150,Conservative!$C41,'[7]Potential Stds'!$A$7:$A$150,$B$34)+SUMIFS('[7]Potential Stds'!$R$7:$R$150,'[7]Potential Stds'!$I$7:$I$150,Conservative!H$17,'[7]Potential Stds'!$C$7:$C$150,"split",'[7]Potential Stds'!$A$7:$A$150,$B$34)/2</f>
        <v>0</v>
      </c>
      <c r="I41" s="193">
        <f>H41+SUMIFS('[7]Potential Stds'!$R$7:$R$150,'[7]Potential Stds'!$I$7:$I$150,Conservative!I$17,'[7]Potential Stds'!$C$7:$C$150,Conservative!$C41,'[7]Potential Stds'!$A$7:$A$150,$B$34)+SUMIFS('[7]Potential Stds'!$R$7:$R$150,'[7]Potential Stds'!$I$7:$I$150,Conservative!I$17,'[7]Potential Stds'!$C$7:$C$150,"split",'[7]Potential Stds'!$A$7:$A$150,$B$34)/2</f>
        <v>0</v>
      </c>
      <c r="J41" s="193">
        <f>I41+SUMIFS('[7]Potential Stds'!$R$7:$R$150,'[7]Potential Stds'!$I$7:$I$150,Conservative!J$17,'[7]Potential Stds'!$C$7:$C$150,Conservative!$C41,'[7]Potential Stds'!$A$7:$A$150,$B$34)+SUMIFS('[7]Potential Stds'!$R$7:$R$150,'[7]Potential Stds'!$I$7:$I$150,Conservative!J$17,'[7]Potential Stds'!$C$7:$C$150,"split",'[7]Potential Stds'!$A$7:$A$150,$B$34)/2</f>
        <v>0</v>
      </c>
      <c r="K41" s="193">
        <f>J41+SUMIFS('[7]Potential Stds'!$R$7:$R$150,'[7]Potential Stds'!$I$7:$I$150,Conservative!K$17,'[7]Potential Stds'!$C$7:$C$150,Conservative!$C41,'[7]Potential Stds'!$A$7:$A$150,$B$34)+SUMIFS('[7]Potential Stds'!$R$7:$R$150,'[7]Potential Stds'!$I$7:$I$150,Conservative!K$17,'[7]Potential Stds'!$C$7:$C$150,"split",'[7]Potential Stds'!$A$7:$A$150,$B$34)/2</f>
        <v>0</v>
      </c>
      <c r="L41" s="193">
        <f>K41+SUMIFS('[7]Potential Stds'!$R$7:$R$150,'[7]Potential Stds'!$I$7:$I$150,Conservative!L$17,'[7]Potential Stds'!$C$7:$C$150,Conservative!$C41,'[7]Potential Stds'!$A$7:$A$150,$B$34)+SUMIFS('[7]Potential Stds'!$R$7:$R$150,'[7]Potential Stds'!$I$7:$I$150,Conservative!L$17,'[7]Potential Stds'!$C$7:$C$150,"split",'[7]Potential Stds'!$A$7:$A$150,$B$34)/2</f>
        <v>0</v>
      </c>
      <c r="M41" s="193">
        <f>L41+SUMIFS('[7]Potential Stds'!$R$7:$R$150,'[7]Potential Stds'!$I$7:$I$150,Conservative!M$17,'[7]Potential Stds'!$C$7:$C$150,Conservative!$C41,'[7]Potential Stds'!$A$7:$A$150,$B$34)+SUMIFS('[7]Potential Stds'!$R$7:$R$150,'[7]Potential Stds'!$I$7:$I$150,Conservative!M$17,'[7]Potential Stds'!$C$7:$C$150,"split",'[7]Potential Stds'!$A$7:$A$150,$B$34)/2</f>
        <v>0</v>
      </c>
      <c r="N41" s="193">
        <f>M41+SUMIFS('[7]Potential Stds'!$R$7:$R$150,'[7]Potential Stds'!$I$7:$I$150,Conservative!N$17,'[7]Potential Stds'!$C$7:$C$150,Conservative!$C41,'[7]Potential Stds'!$A$7:$A$150,$B$34)+SUMIFS('[7]Potential Stds'!$R$7:$R$150,'[7]Potential Stds'!$I$7:$I$150,Conservative!N$17,'[7]Potential Stds'!$C$7:$C$150,"split",'[7]Potential Stds'!$A$7:$A$150,$B$34)/2</f>
        <v>0</v>
      </c>
      <c r="O41" s="193">
        <f>N41+SUMIFS('[7]Potential Stds'!$R$7:$R$150,'[7]Potential Stds'!$I$7:$I$150,Conservative!O$17,'[7]Potential Stds'!$C$7:$C$150,Conservative!$C41,'[7]Potential Stds'!$A$7:$A$150,$B$34)+SUMIFS('[7]Potential Stds'!$R$7:$R$150,'[7]Potential Stds'!$I$7:$I$150,Conservative!O$17,'[7]Potential Stds'!$C$7:$C$150,"split",'[7]Potential Stds'!$A$7:$A$150,$B$34)/2</f>
        <v>0</v>
      </c>
      <c r="P41" s="193">
        <f>O41+SUMIFS('[7]Potential Stds'!$R$7:$R$150,'[7]Potential Stds'!$I$7:$I$150,Conservative!P$17,'[7]Potential Stds'!$C$7:$C$150,Conservative!$C41,'[7]Potential Stds'!$A$7:$A$150,$B$34)+SUMIFS('[7]Potential Stds'!$R$7:$R$150,'[7]Potential Stds'!$I$7:$I$150,Conservative!P$17,'[7]Potential Stds'!$C$7:$C$150,"split",'[7]Potential Stds'!$A$7:$A$150,$B$34)/2</f>
        <v>0</v>
      </c>
      <c r="Q41" s="193">
        <f>P41+SUMIFS('[7]Potential Stds'!$R$7:$R$150,'[7]Potential Stds'!$I$7:$I$150,Conservative!Q$17,'[7]Potential Stds'!$C$7:$C$150,Conservative!$C41,'[7]Potential Stds'!$A$7:$A$150,$B$34)+SUMIFS('[7]Potential Stds'!$R$7:$R$150,'[7]Potential Stds'!$I$7:$I$150,Conservative!Q$17,'[7]Potential Stds'!$C$7:$C$150,"split",'[7]Potential Stds'!$A$7:$A$150,$B$34)/2</f>
        <v>1.5300000000000001E-2</v>
      </c>
      <c r="R41" s="193">
        <f>Q41+SUMIFS('[7]Potential Stds'!$R$7:$R$150,'[7]Potential Stds'!$I$7:$I$150,Conservative!R$17,'[7]Potential Stds'!$C$7:$C$150,Conservative!$C41,'[7]Potential Stds'!$A$7:$A$150,$B$34)+SUMIFS('[7]Potential Stds'!$R$7:$R$150,'[7]Potential Stds'!$I$7:$I$150,Conservative!R$17,'[7]Potential Stds'!$C$7:$C$150,"split",'[7]Potential Stds'!$A$7:$A$150,$B$34)/2</f>
        <v>1.7288999999999999</v>
      </c>
    </row>
    <row r="42" spans="2:18" x14ac:dyDescent="0.3">
      <c r="B42" s="197"/>
      <c r="D42" s="19"/>
      <c r="E42" s="19"/>
      <c r="F42" s="19"/>
      <c r="G42" s="19"/>
      <c r="H42" s="19"/>
      <c r="I42" s="19"/>
      <c r="J42" s="19"/>
      <c r="K42" s="19"/>
      <c r="L42" s="19"/>
      <c r="M42" s="19"/>
      <c r="N42" s="19"/>
      <c r="O42" s="19"/>
      <c r="P42" s="19"/>
      <c r="Q42" s="19"/>
      <c r="R42" s="19"/>
    </row>
    <row r="43" spans="2:18" x14ac:dyDescent="0.3">
      <c r="B43" s="197"/>
    </row>
    <row r="44" spans="2:18" x14ac:dyDescent="0.3">
      <c r="B44" s="197" t="s">
        <v>462</v>
      </c>
    </row>
    <row r="45" spans="2:18" x14ac:dyDescent="0.3">
      <c r="B45" s="197"/>
      <c r="G45" s="43"/>
      <c r="H45" s="43"/>
      <c r="I45" s="43"/>
      <c r="J45" s="43"/>
      <c r="K45" s="43"/>
      <c r="L45" s="43"/>
      <c r="M45" s="43"/>
      <c r="N45" s="43"/>
      <c r="O45" s="43"/>
      <c r="P45" s="43"/>
      <c r="Q45" s="43"/>
      <c r="R45" s="43"/>
    </row>
    <row r="46" spans="2:18" x14ac:dyDescent="0.3">
      <c r="B46" s="197"/>
      <c r="D46">
        <v>2015</v>
      </c>
      <c r="E46">
        <v>2016</v>
      </c>
      <c r="F46">
        <v>2017</v>
      </c>
      <c r="G46">
        <v>2018</v>
      </c>
      <c r="H46">
        <v>2019</v>
      </c>
      <c r="I46">
        <v>2020</v>
      </c>
      <c r="J46">
        <v>2021</v>
      </c>
      <c r="K46">
        <v>2022</v>
      </c>
      <c r="L46">
        <v>2023</v>
      </c>
      <c r="M46">
        <v>2024</v>
      </c>
      <c r="N46">
        <v>2025</v>
      </c>
      <c r="O46">
        <v>2026</v>
      </c>
      <c r="P46">
        <v>2027</v>
      </c>
      <c r="Q46">
        <v>2028</v>
      </c>
      <c r="R46">
        <v>2029</v>
      </c>
    </row>
    <row r="47" spans="2:18" x14ac:dyDescent="0.3">
      <c r="B47" s="203" t="s">
        <v>876</v>
      </c>
      <c r="C47" s="192" t="s">
        <v>440</v>
      </c>
      <c r="D47" s="193">
        <f>D37</f>
        <v>0</v>
      </c>
      <c r="E47" s="193">
        <f>D47+E37</f>
        <v>0</v>
      </c>
      <c r="F47" s="193">
        <f t="shared" ref="F47:R47" si="0">E47+F37</f>
        <v>0</v>
      </c>
      <c r="G47" s="193">
        <f t="shared" si="0"/>
        <v>0</v>
      </c>
      <c r="H47" s="193">
        <f t="shared" si="0"/>
        <v>0</v>
      </c>
      <c r="I47" s="193">
        <f t="shared" si="0"/>
        <v>0</v>
      </c>
      <c r="J47" s="193">
        <f t="shared" si="0"/>
        <v>0</v>
      </c>
      <c r="K47" s="193">
        <f t="shared" si="0"/>
        <v>0</v>
      </c>
      <c r="L47" s="193">
        <f t="shared" si="0"/>
        <v>0</v>
      </c>
      <c r="M47" s="193">
        <f t="shared" si="0"/>
        <v>22.888800000000003</v>
      </c>
      <c r="N47" s="193">
        <f t="shared" si="0"/>
        <v>526.99779000000012</v>
      </c>
      <c r="O47" s="193">
        <f t="shared" si="0"/>
        <v>1195.8877800000002</v>
      </c>
      <c r="P47" s="193">
        <f t="shared" si="0"/>
        <v>1873.8047700000004</v>
      </c>
      <c r="Q47" s="193">
        <f t="shared" si="0"/>
        <v>2551.7217600000004</v>
      </c>
      <c r="R47" s="193">
        <f t="shared" si="0"/>
        <v>3242.4295500000007</v>
      </c>
    </row>
    <row r="48" spans="2:18" x14ac:dyDescent="0.3">
      <c r="B48" s="203"/>
      <c r="C48" s="192" t="s">
        <v>451</v>
      </c>
      <c r="D48" s="193">
        <f>D38</f>
        <v>0</v>
      </c>
      <c r="E48" s="193">
        <f t="shared" ref="E48:R48" si="1">D48+E38</f>
        <v>0</v>
      </c>
      <c r="F48" s="193">
        <f t="shared" si="1"/>
        <v>0</v>
      </c>
      <c r="G48" s="193">
        <f t="shared" si="1"/>
        <v>0</v>
      </c>
      <c r="H48" s="193">
        <f t="shared" si="1"/>
        <v>0</v>
      </c>
      <c r="I48" s="193">
        <f t="shared" si="1"/>
        <v>0</v>
      </c>
      <c r="J48" s="193">
        <f t="shared" si="1"/>
        <v>0</v>
      </c>
      <c r="K48" s="193">
        <f t="shared" si="1"/>
        <v>0</v>
      </c>
      <c r="L48" s="193">
        <f t="shared" si="1"/>
        <v>0</v>
      </c>
      <c r="M48" s="193">
        <f t="shared" si="1"/>
        <v>0</v>
      </c>
      <c r="N48" s="193">
        <f t="shared" si="1"/>
        <v>23.962859999999999</v>
      </c>
      <c r="O48" s="193">
        <f t="shared" si="1"/>
        <v>47.925719999999998</v>
      </c>
      <c r="P48" s="193">
        <f t="shared" si="1"/>
        <v>229.16339999999997</v>
      </c>
      <c r="Q48" s="193">
        <f t="shared" si="1"/>
        <v>429.03647999999998</v>
      </c>
      <c r="R48" s="193">
        <f t="shared" si="1"/>
        <v>663.20298000000003</v>
      </c>
    </row>
    <row r="49" spans="2:18" x14ac:dyDescent="0.3">
      <c r="B49" s="202"/>
      <c r="C49" s="192"/>
      <c r="D49" s="193"/>
      <c r="E49" s="193">
        <f t="shared" ref="E49:R49" si="2">D49+E39</f>
        <v>0</v>
      </c>
      <c r="F49" s="193">
        <f t="shared" si="2"/>
        <v>0</v>
      </c>
      <c r="G49" s="193">
        <f t="shared" si="2"/>
        <v>0</v>
      </c>
      <c r="H49" s="193">
        <f t="shared" si="2"/>
        <v>0</v>
      </c>
      <c r="I49" s="193">
        <f t="shared" si="2"/>
        <v>0</v>
      </c>
      <c r="J49" s="193">
        <f t="shared" si="2"/>
        <v>0</v>
      </c>
      <c r="K49" s="193">
        <f t="shared" si="2"/>
        <v>0</v>
      </c>
      <c r="L49" s="193">
        <f t="shared" si="2"/>
        <v>0</v>
      </c>
      <c r="M49" s="193">
        <f t="shared" si="2"/>
        <v>0</v>
      </c>
      <c r="N49" s="193">
        <f t="shared" si="2"/>
        <v>0</v>
      </c>
      <c r="O49" s="193">
        <f t="shared" si="2"/>
        <v>0</v>
      </c>
      <c r="P49" s="193">
        <f t="shared" si="2"/>
        <v>0</v>
      </c>
      <c r="Q49" s="193">
        <f t="shared" si="2"/>
        <v>0</v>
      </c>
      <c r="R49" s="193">
        <f t="shared" si="2"/>
        <v>0</v>
      </c>
    </row>
    <row r="50" spans="2:18" x14ac:dyDescent="0.3">
      <c r="B50" s="203" t="s">
        <v>877</v>
      </c>
      <c r="C50" s="192" t="s">
        <v>440</v>
      </c>
      <c r="D50" s="193">
        <f>D40</f>
        <v>0</v>
      </c>
      <c r="E50" s="193">
        <f t="shared" ref="E50:R50" si="3">D50+E40</f>
        <v>0</v>
      </c>
      <c r="F50" s="193">
        <f t="shared" si="3"/>
        <v>0</v>
      </c>
      <c r="G50" s="193">
        <f t="shared" si="3"/>
        <v>0</v>
      </c>
      <c r="H50" s="193">
        <f t="shared" si="3"/>
        <v>0</v>
      </c>
      <c r="I50" s="193">
        <f t="shared" si="3"/>
        <v>0</v>
      </c>
      <c r="J50" s="193">
        <f t="shared" si="3"/>
        <v>0</v>
      </c>
      <c r="K50" s="193">
        <f t="shared" si="3"/>
        <v>0</v>
      </c>
      <c r="L50" s="193">
        <f t="shared" si="3"/>
        <v>0</v>
      </c>
      <c r="M50" s="193">
        <f t="shared" si="3"/>
        <v>1.2392999999999998</v>
      </c>
      <c r="N50" s="193">
        <f t="shared" si="3"/>
        <v>16.317449999999997</v>
      </c>
      <c r="O50" s="193">
        <f t="shared" si="3"/>
        <v>33.002099999999999</v>
      </c>
      <c r="P50" s="193">
        <f t="shared" si="3"/>
        <v>49.686749999999996</v>
      </c>
      <c r="Q50" s="193">
        <f t="shared" si="3"/>
        <v>66.371399999999994</v>
      </c>
      <c r="R50" s="193">
        <f t="shared" si="3"/>
        <v>83.056049999999999</v>
      </c>
    </row>
    <row r="51" spans="2:18" x14ac:dyDescent="0.3">
      <c r="B51" s="203"/>
      <c r="C51" s="192" t="s">
        <v>451</v>
      </c>
      <c r="D51" s="193">
        <f>D41</f>
        <v>0</v>
      </c>
      <c r="E51" s="193">
        <f t="shared" ref="E51:R51" si="4">D51+E41</f>
        <v>0</v>
      </c>
      <c r="F51" s="193">
        <f t="shared" si="4"/>
        <v>0</v>
      </c>
      <c r="G51" s="193">
        <f t="shared" si="4"/>
        <v>0</v>
      </c>
      <c r="H51" s="193">
        <f t="shared" si="4"/>
        <v>0</v>
      </c>
      <c r="I51" s="193">
        <f t="shared" si="4"/>
        <v>0</v>
      </c>
      <c r="J51" s="193">
        <f t="shared" si="4"/>
        <v>0</v>
      </c>
      <c r="K51" s="193">
        <f t="shared" si="4"/>
        <v>0</v>
      </c>
      <c r="L51" s="193">
        <f t="shared" si="4"/>
        <v>0</v>
      </c>
      <c r="M51" s="193">
        <f t="shared" si="4"/>
        <v>0</v>
      </c>
      <c r="N51" s="193">
        <f t="shared" si="4"/>
        <v>0</v>
      </c>
      <c r="O51" s="193">
        <f t="shared" si="4"/>
        <v>0</v>
      </c>
      <c r="P51" s="193">
        <f t="shared" si="4"/>
        <v>0</v>
      </c>
      <c r="Q51" s="193">
        <f t="shared" si="4"/>
        <v>1.5300000000000001E-2</v>
      </c>
      <c r="R51" s="193">
        <f t="shared" si="4"/>
        <v>1.7442</v>
      </c>
    </row>
  </sheetData>
  <mergeCells count="8">
    <mergeCell ref="B40:B41"/>
    <mergeCell ref="B47:B48"/>
    <mergeCell ref="B50:B51"/>
    <mergeCell ref="B18:B19"/>
    <mergeCell ref="B21:B22"/>
    <mergeCell ref="B28:B29"/>
    <mergeCell ref="B31:B32"/>
    <mergeCell ref="B37:B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J51"/>
  <sheetViews>
    <sheetView windowProtection="1" zoomScale="55" zoomScaleNormal="55" workbookViewId="0">
      <selection activeCell="D31" sqref="D31"/>
    </sheetView>
  </sheetViews>
  <sheetFormatPr defaultColWidth="8.88671875" defaultRowHeight="14.4" x14ac:dyDescent="0.3"/>
  <cols>
    <col min="2" max="2" width="60.6640625" bestFit="1" customWidth="1"/>
    <col min="3" max="18" width="13.5546875" customWidth="1"/>
    <col min="21" max="21" width="14.6640625" customWidth="1"/>
  </cols>
  <sheetData>
    <row r="1" spans="2:33" ht="23.4" x14ac:dyDescent="0.45">
      <c r="B1" s="101" t="s">
        <v>774</v>
      </c>
      <c r="C1" s="101" t="str">
        <f>'Program Analysis'!C3</f>
        <v>Federal Appliance Standards</v>
      </c>
      <c r="V1" s="152"/>
      <c r="W1" s="152"/>
      <c r="X1" s="152"/>
      <c r="Y1" s="152"/>
      <c r="Z1" s="152"/>
      <c r="AA1" s="152"/>
      <c r="AB1" s="152"/>
      <c r="AC1" s="152"/>
      <c r="AD1" s="152"/>
      <c r="AE1" s="152"/>
      <c r="AF1" s="152"/>
      <c r="AG1" s="152"/>
    </row>
    <row r="2" spans="2:33" ht="23.4" x14ac:dyDescent="0.45">
      <c r="B2" s="101" t="s">
        <v>775</v>
      </c>
      <c r="C2" s="101" t="s">
        <v>783</v>
      </c>
    </row>
    <row r="4" spans="2:33" x14ac:dyDescent="0.3">
      <c r="B4" s="150" t="s">
        <v>829</v>
      </c>
      <c r="C4" t="s">
        <v>717</v>
      </c>
    </row>
    <row r="5" spans="2:33" x14ac:dyDescent="0.3">
      <c r="C5" t="s">
        <v>420</v>
      </c>
    </row>
    <row r="6" spans="2:33" x14ac:dyDescent="0.3">
      <c r="C6" t="s">
        <v>831</v>
      </c>
    </row>
    <row r="7" spans="2:33" x14ac:dyDescent="0.3">
      <c r="C7" t="s">
        <v>832</v>
      </c>
    </row>
    <row r="8" spans="2:33" x14ac:dyDescent="0.3">
      <c r="C8" t="s">
        <v>833</v>
      </c>
    </row>
    <row r="9" spans="2:33" x14ac:dyDescent="0.3">
      <c r="C9" t="s">
        <v>718</v>
      </c>
    </row>
    <row r="11" spans="2:33" x14ac:dyDescent="0.3">
      <c r="B11" s="150" t="s">
        <v>788</v>
      </c>
      <c r="C11" s="163">
        <v>1</v>
      </c>
      <c r="D11" t="s">
        <v>830</v>
      </c>
    </row>
    <row r="12" spans="2:33" x14ac:dyDescent="0.3">
      <c r="C12" s="115"/>
    </row>
    <row r="15" spans="2:33" x14ac:dyDescent="0.3">
      <c r="B15" s="23" t="s">
        <v>836</v>
      </c>
      <c r="C15" s="23"/>
      <c r="D15" s="23"/>
      <c r="E15" s="23"/>
      <c r="F15" s="23"/>
      <c r="G15" s="23"/>
      <c r="H15" s="23"/>
      <c r="I15" s="23"/>
      <c r="J15" s="23"/>
      <c r="K15" s="23"/>
      <c r="L15" s="23"/>
      <c r="M15" s="23"/>
      <c r="N15" s="23"/>
      <c r="O15" s="23"/>
      <c r="P15" s="23"/>
      <c r="Q15" s="23"/>
      <c r="R15" s="23"/>
    </row>
    <row r="16" spans="2:33" x14ac:dyDescent="0.3">
      <c r="B16" s="23"/>
      <c r="C16" s="23"/>
      <c r="D16" s="46"/>
      <c r="E16" s="46"/>
      <c r="F16" s="46"/>
      <c r="G16" s="46"/>
      <c r="H16" s="46"/>
      <c r="I16" s="46"/>
      <c r="J16" s="46"/>
      <c r="K16" s="46"/>
      <c r="L16" s="46"/>
      <c r="M16" s="46"/>
      <c r="N16" s="46"/>
      <c r="O16" s="46"/>
      <c r="P16" s="46"/>
      <c r="Q16" s="46"/>
      <c r="R16" s="46"/>
    </row>
    <row r="17" spans="2:36" x14ac:dyDescent="0.3">
      <c r="B17" s="23"/>
      <c r="C17" s="23"/>
      <c r="D17" s="23">
        <v>2015</v>
      </c>
      <c r="E17" s="23">
        <v>2016</v>
      </c>
      <c r="F17" s="23">
        <v>2017</v>
      </c>
      <c r="G17" s="23">
        <v>2018</v>
      </c>
      <c r="H17" s="23">
        <v>2019</v>
      </c>
      <c r="I17" s="23">
        <v>2020</v>
      </c>
      <c r="J17" s="23">
        <v>2021</v>
      </c>
      <c r="K17" s="23">
        <v>2022</v>
      </c>
      <c r="L17" s="23">
        <v>2023</v>
      </c>
      <c r="M17" s="23">
        <v>2024</v>
      </c>
      <c r="N17" s="23">
        <v>2025</v>
      </c>
      <c r="O17" s="23">
        <v>2026</v>
      </c>
      <c r="P17" s="23">
        <v>2027</v>
      </c>
      <c r="Q17" s="23">
        <v>2028</v>
      </c>
      <c r="R17" s="23">
        <v>2029</v>
      </c>
    </row>
    <row r="18" spans="2:36" s="151" customFormat="1" x14ac:dyDescent="0.3">
      <c r="B18" s="198" t="s">
        <v>878</v>
      </c>
      <c r="C18" s="194" t="s">
        <v>440</v>
      </c>
      <c r="D18" s="195">
        <f>SUMIFS('[7]Potential Stds'!$U$7:$U$150,'[7]Potential Stds'!$I$7:$I$150,Aggressive!D$17,'[7]Potential Stds'!$C$7:$C$150,Aggressive!$C18)+SUMIFS('[7]Potential Stds'!$U$7:$U$150,'[7]Potential Stds'!$I$7:$I$150,Aggressive!D$17,'[7]Potential Stds'!$C$7:$C$150,"split")/2</f>
        <v>0</v>
      </c>
      <c r="E18" s="195">
        <f>D18+SUMIFS('[7]Potential Stds'!$U$7:$U$150,'[7]Potential Stds'!$I$7:$I$150,Aggressive!E$17,'[7]Potential Stds'!$C$7:$C$150,Aggressive!$C18)+SUMIFS('[7]Potential Stds'!$U$7:$U$150,'[7]Potential Stds'!$I$7:$I$150,Aggressive!E$17,'[7]Potential Stds'!$C$7:$C$150,"split")/2</f>
        <v>0</v>
      </c>
      <c r="F18" s="195">
        <f>E18+SUMIFS('[7]Potential Stds'!$U$7:$U$150,'[7]Potential Stds'!$I$7:$I$150,Aggressive!F$17,'[7]Potential Stds'!$C$7:$C$150,Aggressive!$C18)+SUMIFS('[7]Potential Stds'!$U$7:$U$150,'[7]Potential Stds'!$I$7:$I$150,Aggressive!F$17,'[7]Potential Stds'!$C$7:$C$150,"split")/2</f>
        <v>0</v>
      </c>
      <c r="G18" s="195">
        <f>F18+SUMIFS('[7]Potential Stds'!$U$7:$U$150,'[7]Potential Stds'!$I$7:$I$150,Aggressive!G$17,'[7]Potential Stds'!$C$7:$C$150,Aggressive!$C18)+SUMIFS('[7]Potential Stds'!$U$7:$U$150,'[7]Potential Stds'!$I$7:$I$150,Aggressive!G$17,'[7]Potential Stds'!$C$7:$C$150,"split")/2</f>
        <v>0</v>
      </c>
      <c r="H18" s="195">
        <f>G18+SUMIFS('[7]Potential Stds'!$U$7:$U$150,'[7]Potential Stds'!$I$7:$I$150,Aggressive!H$17,'[7]Potential Stds'!$C$7:$C$150,Aggressive!$C18)+SUMIFS('[7]Potential Stds'!$U$7:$U$150,'[7]Potential Stds'!$I$7:$I$150,Aggressive!H$17,'[7]Potential Stds'!$C$7:$C$150,"split")/2</f>
        <v>0</v>
      </c>
      <c r="I18" s="195">
        <f>H18+SUMIFS('[7]Potential Stds'!$U$7:$U$150,'[7]Potential Stds'!$I$7:$I$150,Aggressive!I$17,'[7]Potential Stds'!$C$7:$C$150,Aggressive!$C18)+SUMIFS('[7]Potential Stds'!$U$7:$U$150,'[7]Potential Stds'!$I$7:$I$150,Aggressive!I$17,'[7]Potential Stds'!$C$7:$C$150,"split")/2</f>
        <v>180.58823529411765</v>
      </c>
      <c r="J18" s="195">
        <f>I18+SUMIFS('[7]Potential Stds'!$U$7:$U$150,'[7]Potential Stds'!$I$7:$I$150,Aggressive!J$17,'[7]Potential Stds'!$C$7:$C$150,Aggressive!$C18)+SUMIFS('[7]Potential Stds'!$U$7:$U$150,'[7]Potential Stds'!$I$7:$I$150,Aggressive!J$17,'[7]Potential Stds'!$C$7:$C$150,"split")/2</f>
        <v>270.01058134114055</v>
      </c>
      <c r="K18" s="195">
        <f>J18+SUMIFS('[7]Potential Stds'!$U$7:$U$150,'[7]Potential Stds'!$I$7:$I$150,Aggressive!K$17,'[7]Potential Stds'!$C$7:$C$150,Aggressive!$C18)+SUMIFS('[7]Potential Stds'!$U$7:$U$150,'[7]Potential Stds'!$I$7:$I$150,Aggressive!K$17,'[7]Potential Stds'!$C$7:$C$150,"split")/2</f>
        <v>270.01058134114055</v>
      </c>
      <c r="L18" s="195">
        <f>K18+SUMIFS('[7]Potential Stds'!$U$7:$U$150,'[7]Potential Stds'!$I$7:$I$150,Aggressive!L$17,'[7]Potential Stds'!$C$7:$C$150,Aggressive!$C18)+SUMIFS('[7]Potential Stds'!$U$7:$U$150,'[7]Potential Stds'!$I$7:$I$150,Aggressive!L$17,'[7]Potential Stds'!$C$7:$C$150,"split")/2</f>
        <v>270.01058134114055</v>
      </c>
      <c r="M18" s="195">
        <f>L18+SUMIFS('[7]Potential Stds'!$U$7:$U$150,'[7]Potential Stds'!$I$7:$I$150,Aggressive!M$17,'[7]Potential Stds'!$C$7:$C$150,Aggressive!$C18)+SUMIFS('[7]Potential Stds'!$U$7:$U$150,'[7]Potential Stds'!$I$7:$I$150,Aggressive!M$17,'[7]Potential Stds'!$C$7:$C$150,"split")/2</f>
        <v>456.2490813411406</v>
      </c>
      <c r="N18" s="195">
        <f>M18+SUMIFS('[7]Potential Stds'!$U$7:$U$150,'[7]Potential Stds'!$I$7:$I$150,Aggressive!N$17,'[7]Potential Stds'!$C$7:$C$150,Aggressive!$C18)+SUMIFS('[7]Potential Stds'!$U$7:$U$150,'[7]Potential Stds'!$I$7:$I$150,Aggressive!N$17,'[7]Potential Stds'!$C$7:$C$150,"split")/2</f>
        <v>1022.3904813411406</v>
      </c>
      <c r="O18" s="195">
        <f>N18+SUMIFS('[7]Potential Stds'!$U$7:$U$150,'[7]Potential Stds'!$I$7:$I$150,Aggressive!O$17,'[7]Potential Stds'!$C$7:$C$150,Aggressive!$C18)+SUMIFS('[7]Potential Stds'!$U$7:$U$150,'[7]Potential Stds'!$I$7:$I$150,Aggressive!O$17,'[7]Potential Stds'!$C$7:$C$150,"split")/2</f>
        <v>1216.2504813411406</v>
      </c>
      <c r="P18" s="195">
        <f>O18+SUMIFS('[7]Potential Stds'!$U$7:$U$150,'[7]Potential Stds'!$I$7:$I$150,Aggressive!P$17,'[7]Potential Stds'!$C$7:$C$150,Aggressive!$C18)+SUMIFS('[7]Potential Stds'!$U$7:$U$150,'[7]Potential Stds'!$I$7:$I$150,Aggressive!P$17,'[7]Potential Stds'!$C$7:$C$150,"split")/2</f>
        <v>1547.7454090823171</v>
      </c>
      <c r="Q18" s="195">
        <f>P18+SUMIFS('[7]Potential Stds'!$U$7:$U$150,'[7]Potential Stds'!$I$7:$I$150,Aggressive!Q$17,'[7]Potential Stds'!$C$7:$C$150,Aggressive!$C18)+SUMIFS('[7]Potential Stds'!$U$7:$U$150,'[7]Potential Stds'!$I$7:$I$150,Aggressive!Q$17,'[7]Potential Stds'!$C$7:$C$150,"split")/2</f>
        <v>1547.7454090823171</v>
      </c>
      <c r="R18" s="195">
        <f>Q18+SUMIFS('[7]Potential Stds'!$U$7:$U$150,'[7]Potential Stds'!$I$7:$I$150,Aggressive!R$17,'[7]Potential Stds'!$C$7:$C$150,Aggressive!$C18)+SUMIFS('[7]Potential Stds'!$U$7:$U$150,'[7]Potential Stds'!$I$7:$I$150,Aggressive!R$17,'[7]Potential Stds'!$C$7:$C$150,"split")/2</f>
        <v>1614.629809082317</v>
      </c>
      <c r="S18"/>
      <c r="U18"/>
      <c r="V18"/>
      <c r="W18"/>
      <c r="X18"/>
      <c r="Y18"/>
      <c r="Z18"/>
      <c r="AA18"/>
      <c r="AB18"/>
      <c r="AC18"/>
      <c r="AD18"/>
      <c r="AE18"/>
      <c r="AF18"/>
      <c r="AG18"/>
      <c r="AH18"/>
      <c r="AI18"/>
      <c r="AJ18"/>
    </row>
    <row r="19" spans="2:36" x14ac:dyDescent="0.3">
      <c r="B19" s="199"/>
      <c r="C19" s="194" t="s">
        <v>451</v>
      </c>
      <c r="D19" s="195">
        <f>SUMIFS('[7]Potential Stds'!$U$7:$U$150,'[7]Potential Stds'!$I$7:$I$150,Aggressive!D$17,'[7]Potential Stds'!$C$7:$C$150,Aggressive!$C19)+SUMIFS('[7]Potential Stds'!$U$7:$U$150,'[7]Potential Stds'!$I$7:$I$150,Aggressive!D$17,'[7]Potential Stds'!$C$7:$C$150,"split")/2</f>
        <v>0</v>
      </c>
      <c r="E19" s="195">
        <f>D19+SUMIFS('[7]Potential Stds'!$U$7:$U$150,'[7]Potential Stds'!$I$7:$I$150,Aggressive!E$17,'[7]Potential Stds'!$C$7:$C$150,Aggressive!$C19)+SUMIFS('[7]Potential Stds'!$U$7:$U$150,'[7]Potential Stds'!$I$7:$I$150,Aggressive!E$17,'[7]Potential Stds'!$C$7:$C$150,"split")/2</f>
        <v>0</v>
      </c>
      <c r="F19" s="195">
        <f>E19+SUMIFS('[7]Potential Stds'!$U$7:$U$150,'[7]Potential Stds'!$I$7:$I$150,Aggressive!F$17,'[7]Potential Stds'!$C$7:$C$150,Aggressive!$C19)+SUMIFS('[7]Potential Stds'!$U$7:$U$150,'[7]Potential Stds'!$I$7:$I$150,Aggressive!F$17,'[7]Potential Stds'!$C$7:$C$150,"split")/2</f>
        <v>0</v>
      </c>
      <c r="G19" s="195">
        <f>F19+SUMIFS('[7]Potential Stds'!$U$7:$U$150,'[7]Potential Stds'!$I$7:$I$150,Aggressive!G$17,'[7]Potential Stds'!$C$7:$C$150,Aggressive!$C19)+SUMIFS('[7]Potential Stds'!$U$7:$U$150,'[7]Potential Stds'!$I$7:$I$150,Aggressive!G$17,'[7]Potential Stds'!$C$7:$C$150,"split")/2</f>
        <v>0</v>
      </c>
      <c r="H19" s="195">
        <f>G19+SUMIFS('[7]Potential Stds'!$U$7:$U$150,'[7]Potential Stds'!$I$7:$I$150,Aggressive!H$17,'[7]Potential Stds'!$C$7:$C$150,Aggressive!$C19)+SUMIFS('[7]Potential Stds'!$U$7:$U$150,'[7]Potential Stds'!$I$7:$I$150,Aggressive!H$17,'[7]Potential Stds'!$C$7:$C$150,"split")/2</f>
        <v>0</v>
      </c>
      <c r="I19" s="195">
        <f>H19+SUMIFS('[7]Potential Stds'!$U$7:$U$150,'[7]Potential Stds'!$I$7:$I$150,Aggressive!I$17,'[7]Potential Stds'!$C$7:$C$150,Aggressive!$C19)+SUMIFS('[7]Potential Stds'!$U$7:$U$150,'[7]Potential Stds'!$I$7:$I$150,Aggressive!I$17,'[7]Potential Stds'!$C$7:$C$150,"split")/2</f>
        <v>180.58823529411765</v>
      </c>
      <c r="J19" s="195">
        <f>I19+SUMIFS('[7]Potential Stds'!$U$7:$U$150,'[7]Potential Stds'!$I$7:$I$150,Aggressive!J$17,'[7]Potential Stds'!$C$7:$C$150,Aggressive!$C19)+SUMIFS('[7]Potential Stds'!$U$7:$U$150,'[7]Potential Stds'!$I$7:$I$150,Aggressive!J$17,'[7]Potential Stds'!$C$7:$C$150,"split")/2</f>
        <v>270.94469898819938</v>
      </c>
      <c r="K19" s="195">
        <f>J19+SUMIFS('[7]Potential Stds'!$U$7:$U$150,'[7]Potential Stds'!$I$7:$I$150,Aggressive!K$17,'[7]Potential Stds'!$C$7:$C$150,Aggressive!$C19)+SUMIFS('[7]Potential Stds'!$U$7:$U$150,'[7]Potential Stds'!$I$7:$I$150,Aggressive!K$17,'[7]Potential Stds'!$C$7:$C$150,"split")/2</f>
        <v>270.94469898819938</v>
      </c>
      <c r="L19" s="195">
        <f>K19+SUMIFS('[7]Potential Stds'!$U$7:$U$150,'[7]Potential Stds'!$I$7:$I$150,Aggressive!L$17,'[7]Potential Stds'!$C$7:$C$150,Aggressive!$C19)+SUMIFS('[7]Potential Stds'!$U$7:$U$150,'[7]Potential Stds'!$I$7:$I$150,Aggressive!L$17,'[7]Potential Stds'!$C$7:$C$150,"split")/2</f>
        <v>270.94469898819938</v>
      </c>
      <c r="M19" s="195">
        <f>L19+SUMIFS('[7]Potential Stds'!$U$7:$U$150,'[7]Potential Stds'!$I$7:$I$150,Aggressive!M$17,'[7]Potential Stds'!$C$7:$C$150,Aggressive!$C19)+SUMIFS('[7]Potential Stds'!$U$7:$U$150,'[7]Potential Stds'!$I$7:$I$150,Aggressive!M$17,'[7]Potential Stds'!$C$7:$C$150,"split")/2</f>
        <v>586.0901989881994</v>
      </c>
      <c r="N19" s="195">
        <f>M19+SUMIFS('[7]Potential Stds'!$U$7:$U$150,'[7]Potential Stds'!$I$7:$I$150,Aggressive!N$17,'[7]Potential Stds'!$C$7:$C$150,Aggressive!$C19)+SUMIFS('[7]Potential Stds'!$U$7:$U$150,'[7]Potential Stds'!$I$7:$I$150,Aggressive!N$17,'[7]Potential Stds'!$C$7:$C$150,"split")/2</f>
        <v>636.39464188679733</v>
      </c>
      <c r="O19" s="195">
        <f>N19+SUMIFS('[7]Potential Stds'!$U$7:$U$150,'[7]Potential Stds'!$I$7:$I$150,Aggressive!O$17,'[7]Potential Stds'!$C$7:$C$150,Aggressive!$C19)+SUMIFS('[7]Potential Stds'!$U$7:$U$150,'[7]Potential Stds'!$I$7:$I$150,Aggressive!O$17,'[7]Potential Stds'!$C$7:$C$150,"split")/2</f>
        <v>765.02264188679737</v>
      </c>
      <c r="P19" s="195">
        <f>O19+SUMIFS('[7]Potential Stds'!$U$7:$U$150,'[7]Potential Stds'!$I$7:$I$150,Aggressive!P$17,'[7]Potential Stds'!$C$7:$C$150,Aggressive!$C19)+SUMIFS('[7]Potential Stds'!$U$7:$U$150,'[7]Potential Stds'!$I$7:$I$150,Aggressive!P$17,'[7]Potential Stds'!$C$7:$C$150,"split")/2</f>
        <v>1259.8906654162092</v>
      </c>
      <c r="Q19" s="195">
        <f>P19+SUMIFS('[7]Potential Stds'!$U$7:$U$150,'[7]Potential Stds'!$I$7:$I$150,Aggressive!Q$17,'[7]Potential Stds'!$C$7:$C$150,Aggressive!$C19)+SUMIFS('[7]Potential Stds'!$U$7:$U$150,'[7]Potential Stds'!$I$7:$I$150,Aggressive!Q$17,'[7]Potential Stds'!$C$7:$C$150,"split")/2</f>
        <v>1316.1802654162093</v>
      </c>
      <c r="R19" s="195">
        <f>Q19+SUMIFS('[7]Potential Stds'!$U$7:$U$150,'[7]Potential Stds'!$I$7:$I$150,Aggressive!R$17,'[7]Potential Stds'!$C$7:$C$150,Aggressive!$C19)+SUMIFS('[7]Potential Stds'!$U$7:$U$150,'[7]Potential Stds'!$I$7:$I$150,Aggressive!R$17,'[7]Potential Stds'!$C$7:$C$150,"split")/2</f>
        <v>1356.5254654162093</v>
      </c>
    </row>
    <row r="20" spans="2:36" x14ac:dyDescent="0.3">
      <c r="B20" s="200"/>
      <c r="C20" s="194"/>
      <c r="D20" s="195"/>
      <c r="E20" s="195"/>
      <c r="F20" s="195"/>
      <c r="G20" s="195"/>
      <c r="H20" s="195"/>
      <c r="I20" s="195"/>
      <c r="J20" s="195"/>
      <c r="K20" s="195"/>
      <c r="L20" s="195"/>
      <c r="M20" s="195"/>
      <c r="N20" s="195"/>
      <c r="O20" s="195"/>
      <c r="P20" s="195"/>
      <c r="Q20" s="195"/>
      <c r="R20" s="195"/>
    </row>
    <row r="21" spans="2:36" x14ac:dyDescent="0.3">
      <c r="B21" s="198" t="s">
        <v>879</v>
      </c>
      <c r="C21" s="194" t="s">
        <v>440</v>
      </c>
      <c r="D21" s="195">
        <f>SUMIFS('[7]Potential Stds'!$V$7:$V$150,'[7]Potential Stds'!$I$7:$I$150,Aggressive!D$17,'[7]Potential Stds'!$C$7:$C$150,Aggressive!$C21)+SUMIFS('[7]Potential Stds'!$V$7:$V$150,'[7]Potential Stds'!$I$7:$I$150,Aggressive!D$17,'[7]Potential Stds'!$C$7:$C$150,"split")/2</f>
        <v>0</v>
      </c>
      <c r="E21" s="195">
        <f>D21+SUMIFS('[7]Potential Stds'!$V$7:$V$150,'[7]Potential Stds'!$I$7:$I$150,Aggressive!E$17,'[7]Potential Stds'!$C$7:$C$150,Aggressive!$C21)+SUMIFS('[7]Potential Stds'!$V$7:$V$150,'[7]Potential Stds'!$I$7:$I$150,Aggressive!E$17,'[7]Potential Stds'!$C$7:$C$150,"split")/2</f>
        <v>0</v>
      </c>
      <c r="F21" s="195">
        <f>E21+SUMIFS('[7]Potential Stds'!$V$7:$V$150,'[7]Potential Stds'!$I$7:$I$150,Aggressive!F$17,'[7]Potential Stds'!$C$7:$C$150,Aggressive!$C21)+SUMIFS('[7]Potential Stds'!$V$7:$V$150,'[7]Potential Stds'!$I$7:$I$150,Aggressive!F$17,'[7]Potential Stds'!$C$7:$C$150,"split")/2</f>
        <v>0</v>
      </c>
      <c r="G21" s="195">
        <f>F21+SUMIFS('[7]Potential Stds'!$V$7:$V$150,'[7]Potential Stds'!$I$7:$I$150,Aggressive!G$17,'[7]Potential Stds'!$C$7:$C$150,Aggressive!$C21)+SUMIFS('[7]Potential Stds'!$V$7:$V$150,'[7]Potential Stds'!$I$7:$I$150,Aggressive!G$17,'[7]Potential Stds'!$C$7:$C$150,"split")/2</f>
        <v>0</v>
      </c>
      <c r="H21" s="195">
        <f>G21+SUMIFS('[7]Potential Stds'!$V$7:$V$150,'[7]Potential Stds'!$I$7:$I$150,Aggressive!H$17,'[7]Potential Stds'!$C$7:$C$150,Aggressive!$C21)+SUMIFS('[7]Potential Stds'!$V$7:$V$150,'[7]Potential Stds'!$I$7:$I$150,Aggressive!H$17,'[7]Potential Stds'!$C$7:$C$150,"split")/2</f>
        <v>0</v>
      </c>
      <c r="I21" s="195">
        <f>H21+SUMIFS('[7]Potential Stds'!$V$7:$V$150,'[7]Potential Stds'!$I$7:$I$150,Aggressive!I$17,'[7]Potential Stds'!$C$7:$C$150,Aggressive!$C21)+SUMIFS('[7]Potential Stds'!$V$7:$V$150,'[7]Potential Stds'!$I$7:$I$150,Aggressive!I$17,'[7]Potential Stds'!$C$7:$C$150,"split")/2</f>
        <v>0</v>
      </c>
      <c r="J21" s="195">
        <f>I21+SUMIFS('[7]Potential Stds'!$V$7:$V$150,'[7]Potential Stds'!$I$7:$I$150,Aggressive!J$17,'[7]Potential Stds'!$C$7:$C$150,Aggressive!$C21)+SUMIFS('[7]Potential Stds'!$V$7:$V$150,'[7]Potential Stds'!$I$7:$I$150,Aggressive!J$17,'[7]Potential Stds'!$C$7:$C$150,"split")/2</f>
        <v>0</v>
      </c>
      <c r="K21" s="195">
        <f>J21+SUMIFS('[7]Potential Stds'!$V$7:$V$150,'[7]Potential Stds'!$I$7:$I$150,Aggressive!K$17,'[7]Potential Stds'!$C$7:$C$150,Aggressive!$C21)+SUMIFS('[7]Potential Stds'!$V$7:$V$150,'[7]Potential Stds'!$I$7:$I$150,Aggressive!K$17,'[7]Potential Stds'!$C$7:$C$150,"split")/2</f>
        <v>0</v>
      </c>
      <c r="L21" s="195">
        <f>K21+SUMIFS('[7]Potential Stds'!$V$7:$V$150,'[7]Potential Stds'!$I$7:$I$150,Aggressive!L$17,'[7]Potential Stds'!$C$7:$C$150,Aggressive!$C21)+SUMIFS('[7]Potential Stds'!$V$7:$V$150,'[7]Potential Stds'!$I$7:$I$150,Aggressive!L$17,'[7]Potential Stds'!$C$7:$C$150,"split")/2</f>
        <v>0</v>
      </c>
      <c r="M21" s="195">
        <f>L21+SUMIFS('[7]Potential Stds'!$V$7:$V$150,'[7]Potential Stds'!$I$7:$I$150,Aggressive!M$17,'[7]Potential Stds'!$C$7:$C$150,Aggressive!$C21)+SUMIFS('[7]Potential Stds'!$V$7:$V$150,'[7]Potential Stds'!$I$7:$I$150,Aggressive!M$17,'[7]Potential Stds'!$C$7:$C$150,"split")/2</f>
        <v>1.458</v>
      </c>
      <c r="N21" s="195">
        <f>M21+SUMIFS('[7]Potential Stds'!$V$7:$V$150,'[7]Potential Stds'!$I$7:$I$150,Aggressive!N$17,'[7]Potential Stds'!$C$7:$C$150,Aggressive!$C21)+SUMIFS('[7]Potential Stds'!$V$7:$V$150,'[7]Potential Stds'!$I$7:$I$150,Aggressive!N$17,'[7]Potential Stds'!$C$7:$C$150,"split")/2</f>
        <v>17.739000000000001</v>
      </c>
      <c r="O21" s="195">
        <f>N21+SUMIFS('[7]Potential Stds'!$V$7:$V$150,'[7]Potential Stds'!$I$7:$I$150,Aggressive!O$17,'[7]Potential Stds'!$C$7:$C$150,Aggressive!$C21)+SUMIFS('[7]Potential Stds'!$V$7:$V$150,'[7]Potential Stds'!$I$7:$I$150,Aggressive!O$17,'[7]Potential Stds'!$C$7:$C$150,"split")/2</f>
        <v>19.629000000000001</v>
      </c>
      <c r="P21" s="195">
        <f>O21+SUMIFS('[7]Potential Stds'!$V$7:$V$150,'[7]Potential Stds'!$I$7:$I$150,Aggressive!P$17,'[7]Potential Stds'!$C$7:$C$150,Aggressive!$C21)+SUMIFS('[7]Potential Stds'!$V$7:$V$150,'[7]Potential Stds'!$I$7:$I$150,Aggressive!P$17,'[7]Potential Stds'!$C$7:$C$150,"split")/2</f>
        <v>19.629000000000001</v>
      </c>
      <c r="Q21" s="195">
        <f>P21+SUMIFS('[7]Potential Stds'!$V$7:$V$150,'[7]Potential Stds'!$I$7:$I$150,Aggressive!Q$17,'[7]Potential Stds'!$C$7:$C$150,Aggressive!$C21)+SUMIFS('[7]Potential Stds'!$V$7:$V$150,'[7]Potential Stds'!$I$7:$I$150,Aggressive!Q$17,'[7]Potential Stds'!$C$7:$C$150,"split")/2</f>
        <v>19.629000000000001</v>
      </c>
      <c r="R21" s="195">
        <f>Q21+SUMIFS('[7]Potential Stds'!$V$7:$V$150,'[7]Potential Stds'!$I$7:$I$150,Aggressive!R$17,'[7]Potential Stds'!$C$7:$C$150,Aggressive!$C21)+SUMIFS('[7]Potential Stds'!$V$7:$V$150,'[7]Potential Stds'!$I$7:$I$150,Aggressive!R$17,'[7]Potential Stds'!$C$7:$C$150,"split")/2</f>
        <v>19.629000000000001</v>
      </c>
    </row>
    <row r="22" spans="2:36" x14ac:dyDescent="0.3">
      <c r="B22" s="199"/>
      <c r="C22" s="194" t="s">
        <v>451</v>
      </c>
      <c r="D22" s="195">
        <f>SUMIFS('[7]Potential Stds'!$V$7:$V$150,'[7]Potential Stds'!$I$7:$I$150,Aggressive!D$17,'[7]Potential Stds'!$C$7:$C$150,Aggressive!$C22)+SUMIFS('[7]Potential Stds'!$V$7:$V$150,'[7]Potential Stds'!$I$7:$I$150,Aggressive!D$17,'[7]Potential Stds'!$C$7:$C$150,"split")/2</f>
        <v>0</v>
      </c>
      <c r="E22" s="195">
        <f>D22+SUMIFS('[7]Potential Stds'!$V$7:$V$150,'[7]Potential Stds'!$I$7:$I$150,Aggressive!E$17,'[7]Potential Stds'!$C$7:$C$150,Aggressive!$C22)+SUMIFS('[7]Potential Stds'!$V$7:$V$150,'[7]Potential Stds'!$I$7:$I$150,Aggressive!E$17,'[7]Potential Stds'!$C$7:$C$150,"split")/2</f>
        <v>0</v>
      </c>
      <c r="F22" s="195">
        <f>E22+SUMIFS('[7]Potential Stds'!$V$7:$V$150,'[7]Potential Stds'!$I$7:$I$150,Aggressive!F$17,'[7]Potential Stds'!$C$7:$C$150,Aggressive!$C22)+SUMIFS('[7]Potential Stds'!$V$7:$V$150,'[7]Potential Stds'!$I$7:$I$150,Aggressive!F$17,'[7]Potential Stds'!$C$7:$C$150,"split")/2</f>
        <v>0</v>
      </c>
      <c r="G22" s="195">
        <f>F22+SUMIFS('[7]Potential Stds'!$V$7:$V$150,'[7]Potential Stds'!$I$7:$I$150,Aggressive!G$17,'[7]Potential Stds'!$C$7:$C$150,Aggressive!$C22)+SUMIFS('[7]Potential Stds'!$V$7:$V$150,'[7]Potential Stds'!$I$7:$I$150,Aggressive!G$17,'[7]Potential Stds'!$C$7:$C$150,"split")/2</f>
        <v>0</v>
      </c>
      <c r="H22" s="195">
        <f>G22+SUMIFS('[7]Potential Stds'!$V$7:$V$150,'[7]Potential Stds'!$I$7:$I$150,Aggressive!H$17,'[7]Potential Stds'!$C$7:$C$150,Aggressive!$C22)+SUMIFS('[7]Potential Stds'!$V$7:$V$150,'[7]Potential Stds'!$I$7:$I$150,Aggressive!H$17,'[7]Potential Stds'!$C$7:$C$150,"split")/2</f>
        <v>0</v>
      </c>
      <c r="I22" s="195">
        <f>H22+SUMIFS('[7]Potential Stds'!$V$7:$V$150,'[7]Potential Stds'!$I$7:$I$150,Aggressive!I$17,'[7]Potential Stds'!$C$7:$C$150,Aggressive!$C22)+SUMIFS('[7]Potential Stds'!$V$7:$V$150,'[7]Potential Stds'!$I$7:$I$150,Aggressive!I$17,'[7]Potential Stds'!$C$7:$C$150,"split")/2</f>
        <v>0</v>
      </c>
      <c r="J22" s="195">
        <f>I22+SUMIFS('[7]Potential Stds'!$V$7:$V$150,'[7]Potential Stds'!$I$7:$I$150,Aggressive!J$17,'[7]Potential Stds'!$C$7:$C$150,Aggressive!$C22)+SUMIFS('[7]Potential Stds'!$V$7:$V$150,'[7]Potential Stds'!$I$7:$I$150,Aggressive!J$17,'[7]Potential Stds'!$C$7:$C$150,"split")/2</f>
        <v>0</v>
      </c>
      <c r="K22" s="195">
        <f>J22+SUMIFS('[7]Potential Stds'!$V$7:$V$150,'[7]Potential Stds'!$I$7:$I$150,Aggressive!K$17,'[7]Potential Stds'!$C$7:$C$150,Aggressive!$C22)+SUMIFS('[7]Potential Stds'!$V$7:$V$150,'[7]Potential Stds'!$I$7:$I$150,Aggressive!K$17,'[7]Potential Stds'!$C$7:$C$150,"split")/2</f>
        <v>1.4190059614073554E-2</v>
      </c>
      <c r="L22" s="195">
        <f>K22+SUMIFS('[7]Potential Stds'!$V$7:$V$150,'[7]Potential Stds'!$I$7:$I$150,Aggressive!L$17,'[7]Potential Stds'!$C$7:$C$150,Aggressive!$C22)+SUMIFS('[7]Potential Stds'!$V$7:$V$150,'[7]Potential Stds'!$I$7:$I$150,Aggressive!L$17,'[7]Potential Stds'!$C$7:$C$150,"split")/2</f>
        <v>1.4190059614073554E-2</v>
      </c>
      <c r="M22" s="195">
        <f>L22+SUMIFS('[7]Potential Stds'!$V$7:$V$150,'[7]Potential Stds'!$I$7:$I$150,Aggressive!M$17,'[7]Potential Stds'!$C$7:$C$150,Aggressive!$C22)+SUMIFS('[7]Potential Stds'!$V$7:$V$150,'[7]Potential Stds'!$I$7:$I$150,Aggressive!M$17,'[7]Potential Stds'!$C$7:$C$150,"split")/2</f>
        <v>1.4190059614073554E-2</v>
      </c>
      <c r="N22" s="195">
        <f>M22+SUMIFS('[7]Potential Stds'!$V$7:$V$150,'[7]Potential Stds'!$I$7:$I$150,Aggressive!N$17,'[7]Potential Stds'!$C$7:$C$150,Aggressive!$C22)+SUMIFS('[7]Potential Stds'!$V$7:$V$150,'[7]Potential Stds'!$I$7:$I$150,Aggressive!N$17,'[7]Potential Stds'!$C$7:$C$150,"split")/2</f>
        <v>1.4190059614073554E-2</v>
      </c>
      <c r="O22" s="195">
        <f>N22+SUMIFS('[7]Potential Stds'!$V$7:$V$150,'[7]Potential Stds'!$I$7:$I$150,Aggressive!O$17,'[7]Potential Stds'!$C$7:$C$150,Aggressive!$C22)+SUMIFS('[7]Potential Stds'!$V$7:$V$150,'[7]Potential Stds'!$I$7:$I$150,Aggressive!O$17,'[7]Potential Stds'!$C$7:$C$150,"split")/2</f>
        <v>1.4190059614073554E-2</v>
      </c>
      <c r="P22" s="195">
        <f>O22+SUMIFS('[7]Potential Stds'!$V$7:$V$150,'[7]Potential Stds'!$I$7:$I$150,Aggressive!P$17,'[7]Potential Stds'!$C$7:$C$150,Aggressive!$C22)+SUMIFS('[7]Potential Stds'!$V$7:$V$150,'[7]Potential Stds'!$I$7:$I$150,Aggressive!P$17,'[7]Potential Stds'!$C$7:$C$150,"split")/2</f>
        <v>1.4190059614073554E-2</v>
      </c>
      <c r="Q22" s="195">
        <f>P22+SUMIFS('[7]Potential Stds'!$V$7:$V$150,'[7]Potential Stds'!$I$7:$I$150,Aggressive!Q$17,'[7]Potential Stds'!$C$7:$C$150,Aggressive!$C22)+SUMIFS('[7]Potential Stds'!$V$7:$V$150,'[7]Potential Stds'!$I$7:$I$150,Aggressive!Q$17,'[7]Potential Stds'!$C$7:$C$150,"split")/2</f>
        <v>3.2190059614073556E-2</v>
      </c>
      <c r="R22" s="195">
        <f>Q22+SUMIFS('[7]Potential Stds'!$V$7:$V$150,'[7]Potential Stds'!$I$7:$I$150,Aggressive!R$17,'[7]Potential Stds'!$C$7:$C$150,Aggressive!$C22)+SUMIFS('[7]Potential Stds'!$V$7:$V$150,'[7]Potential Stds'!$I$7:$I$150,Aggressive!R$17,'[7]Potential Stds'!$C$7:$C$150,"split")/2</f>
        <v>3.1281900596140737</v>
      </c>
    </row>
    <row r="23" spans="2:36" x14ac:dyDescent="0.3">
      <c r="B23" s="197"/>
      <c r="C23" s="23"/>
      <c r="D23" s="191"/>
      <c r="E23" s="191"/>
      <c r="F23" s="191"/>
      <c r="G23" s="191"/>
      <c r="H23" s="191"/>
      <c r="I23" s="191"/>
      <c r="J23" s="191"/>
      <c r="K23" s="191"/>
      <c r="L23" s="191"/>
      <c r="M23" s="191"/>
      <c r="N23" s="191"/>
      <c r="O23" s="191"/>
      <c r="P23" s="191"/>
      <c r="Q23" s="191"/>
      <c r="R23" s="191"/>
    </row>
    <row r="24" spans="2:36" x14ac:dyDescent="0.3">
      <c r="B24" s="197"/>
      <c r="C24" s="23"/>
      <c r="D24" s="23"/>
      <c r="E24" s="23"/>
      <c r="F24" s="23"/>
      <c r="G24" s="23"/>
      <c r="H24" s="23"/>
      <c r="I24" s="23"/>
      <c r="J24" s="23"/>
      <c r="K24" s="23"/>
      <c r="L24" s="23"/>
      <c r="M24" s="23"/>
      <c r="N24" s="23"/>
      <c r="O24" s="23"/>
      <c r="P24" s="23"/>
      <c r="Q24" s="23"/>
      <c r="R24" s="23"/>
    </row>
    <row r="25" spans="2:36" x14ac:dyDescent="0.3">
      <c r="B25" s="197" t="s">
        <v>65</v>
      </c>
      <c r="C25" s="23"/>
      <c r="D25" s="23"/>
      <c r="E25" s="23"/>
      <c r="F25" s="23"/>
      <c r="G25" s="23"/>
      <c r="H25" s="23"/>
      <c r="I25" s="23"/>
      <c r="J25" s="23"/>
      <c r="K25" s="23"/>
      <c r="L25" s="23"/>
      <c r="M25" s="23"/>
      <c r="N25" s="23"/>
      <c r="O25" s="23"/>
      <c r="P25" s="23"/>
      <c r="Q25" s="23"/>
      <c r="R25" s="23"/>
    </row>
    <row r="26" spans="2:36" x14ac:dyDescent="0.3">
      <c r="B26" s="197"/>
      <c r="C26" s="23"/>
      <c r="D26" s="23"/>
      <c r="E26" s="23"/>
      <c r="F26" s="23"/>
      <c r="G26" s="46"/>
      <c r="H26" s="46"/>
      <c r="I26" s="46"/>
      <c r="J26" s="46"/>
      <c r="K26" s="46"/>
      <c r="L26" s="46"/>
      <c r="M26" s="46"/>
      <c r="N26" s="46"/>
      <c r="O26" s="46"/>
      <c r="P26" s="46"/>
      <c r="Q26" s="46"/>
      <c r="R26" s="46"/>
    </row>
    <row r="27" spans="2:36" x14ac:dyDescent="0.3">
      <c r="B27" s="197"/>
      <c r="C27" s="23"/>
      <c r="D27" s="23">
        <v>2015</v>
      </c>
      <c r="E27" s="23">
        <v>2016</v>
      </c>
      <c r="F27" s="23">
        <v>2017</v>
      </c>
      <c r="G27" s="23">
        <v>2018</v>
      </c>
      <c r="H27" s="23">
        <v>2019</v>
      </c>
      <c r="I27" s="23">
        <v>2020</v>
      </c>
      <c r="J27" s="23">
        <v>2021</v>
      </c>
      <c r="K27" s="23">
        <v>2022</v>
      </c>
      <c r="L27" s="23">
        <v>2023</v>
      </c>
      <c r="M27" s="23">
        <v>2024</v>
      </c>
      <c r="N27" s="23">
        <v>2025</v>
      </c>
      <c r="O27" s="23">
        <v>2026</v>
      </c>
      <c r="P27" s="23">
        <v>2027</v>
      </c>
      <c r="Q27" s="23">
        <v>2028</v>
      </c>
      <c r="R27" s="23">
        <v>2029</v>
      </c>
    </row>
    <row r="28" spans="2:36" x14ac:dyDescent="0.3">
      <c r="B28" s="198" t="s">
        <v>878</v>
      </c>
      <c r="C28" s="194" t="s">
        <v>440</v>
      </c>
      <c r="D28" s="195">
        <f>SUMIFS('[7]Potential Stds'!$U$7:$U$150,'[7]Potential Stds'!$I$7:$I$150,Aggressive!D$17,'[7]Potential Stds'!$C$7:$C$150,Aggressive!$C28,'[7]Potential Stds'!$A$7:$A$150,$B$25)+SUMIFS('[7]Potential Stds'!$U$7:$U$150,'[7]Potential Stds'!$I$7:$I$150,Aggressive!D$17,'[7]Potential Stds'!$C$7:$C$150,"split",'[7]Potential Stds'!$A$7:$A$150,$B$25)/2</f>
        <v>0</v>
      </c>
      <c r="E28" s="195">
        <f>D28+SUMIFS('[7]Potential Stds'!$U$7:$U$150,'[7]Potential Stds'!$I$7:$I$150,Aggressive!E$17,'[7]Potential Stds'!$C$7:$C$150,Aggressive!$C28,'[7]Potential Stds'!$A$7:$A$150,$B$25)+SUMIFS('[7]Potential Stds'!$U$7:$U$150,'[7]Potential Stds'!$I$7:$I$150,Aggressive!E$17,'[7]Potential Stds'!$C$7:$C$150,"split",'[7]Potential Stds'!$A$7:$A$150,$B$25)/2</f>
        <v>0</v>
      </c>
      <c r="F28" s="195">
        <f>E28+SUMIFS('[7]Potential Stds'!$U$7:$U$150,'[7]Potential Stds'!$I$7:$I$150,Aggressive!F$17,'[7]Potential Stds'!$C$7:$C$150,Aggressive!$C28,'[7]Potential Stds'!$A$7:$A$150,$B$25)+SUMIFS('[7]Potential Stds'!$U$7:$U$150,'[7]Potential Stds'!$I$7:$I$150,Aggressive!F$17,'[7]Potential Stds'!$C$7:$C$150,"split",'[7]Potential Stds'!$A$7:$A$150,$B$25)/2</f>
        <v>0</v>
      </c>
      <c r="G28" s="195">
        <f>F28+SUMIFS('[7]Potential Stds'!$U$7:$U$150,'[7]Potential Stds'!$I$7:$I$150,Aggressive!G$17,'[7]Potential Stds'!$C$7:$C$150,Aggressive!$C28,'[7]Potential Stds'!$A$7:$A$150,$B$25)+SUMIFS('[7]Potential Stds'!$U$7:$U$150,'[7]Potential Stds'!$I$7:$I$150,Aggressive!G$17,'[7]Potential Stds'!$C$7:$C$150,"split",'[7]Potential Stds'!$A$7:$A$150,$B$25)/2</f>
        <v>0</v>
      </c>
      <c r="H28" s="195">
        <f>G28+SUMIFS('[7]Potential Stds'!$U$7:$U$150,'[7]Potential Stds'!$I$7:$I$150,Aggressive!H$17,'[7]Potential Stds'!$C$7:$C$150,Aggressive!$C28,'[7]Potential Stds'!$A$7:$A$150,$B$25)+SUMIFS('[7]Potential Stds'!$U$7:$U$150,'[7]Potential Stds'!$I$7:$I$150,Aggressive!H$17,'[7]Potential Stds'!$C$7:$C$150,"split",'[7]Potential Stds'!$A$7:$A$150,$B$25)/2</f>
        <v>0</v>
      </c>
      <c r="I28" s="195">
        <f>H28+SUMIFS('[7]Potential Stds'!$U$7:$U$150,'[7]Potential Stds'!$I$7:$I$150,Aggressive!I$17,'[7]Potential Stds'!$C$7:$C$150,Aggressive!$C28,'[7]Potential Stds'!$A$7:$A$150,$B$25)+SUMIFS('[7]Potential Stds'!$U$7:$U$150,'[7]Potential Stds'!$I$7:$I$150,Aggressive!I$17,'[7]Potential Stds'!$C$7:$C$150,"split",'[7]Potential Stds'!$A$7:$A$150,$B$25)/2</f>
        <v>180.58823529411765</v>
      </c>
      <c r="J28" s="195">
        <f>I28+SUMIFS('[7]Potential Stds'!$U$7:$U$150,'[7]Potential Stds'!$I$7:$I$150,Aggressive!J$17,'[7]Potential Stds'!$C$7:$C$150,Aggressive!$C28,'[7]Potential Stds'!$A$7:$A$150,$B$25)+SUMIFS('[7]Potential Stds'!$U$7:$U$150,'[7]Potential Stds'!$I$7:$I$150,Aggressive!J$17,'[7]Potential Stds'!$C$7:$C$150,"split",'[7]Potential Stds'!$A$7:$A$150,$B$25)/2</f>
        <v>270.01058134114055</v>
      </c>
      <c r="K28" s="195">
        <f>J28+SUMIFS('[7]Potential Stds'!$U$7:$U$150,'[7]Potential Stds'!$I$7:$I$150,Aggressive!K$17,'[7]Potential Stds'!$C$7:$C$150,Aggressive!$C28,'[7]Potential Stds'!$A$7:$A$150,$B$25)+SUMIFS('[7]Potential Stds'!$U$7:$U$150,'[7]Potential Stds'!$I$7:$I$150,Aggressive!K$17,'[7]Potential Stds'!$C$7:$C$150,"split",'[7]Potential Stds'!$A$7:$A$150,$B$25)/2</f>
        <v>270.01058134114055</v>
      </c>
      <c r="L28" s="195">
        <f>K28+SUMIFS('[7]Potential Stds'!$U$7:$U$150,'[7]Potential Stds'!$I$7:$I$150,Aggressive!L$17,'[7]Potential Stds'!$C$7:$C$150,Aggressive!$C28,'[7]Potential Stds'!$A$7:$A$150,$B$25)+SUMIFS('[7]Potential Stds'!$U$7:$U$150,'[7]Potential Stds'!$I$7:$I$150,Aggressive!L$17,'[7]Potential Stds'!$C$7:$C$150,"split",'[7]Potential Stds'!$A$7:$A$150,$B$25)/2</f>
        <v>270.01058134114055</v>
      </c>
      <c r="M28" s="195">
        <f>L28+SUMIFS('[7]Potential Stds'!$U$7:$U$150,'[7]Potential Stds'!$I$7:$I$150,Aggressive!M$17,'[7]Potential Stds'!$C$7:$C$150,Aggressive!$C28,'[7]Potential Stds'!$A$7:$A$150,$B$25)+SUMIFS('[7]Potential Stds'!$U$7:$U$150,'[7]Potential Stds'!$I$7:$I$150,Aggressive!M$17,'[7]Potential Stds'!$C$7:$C$150,"split",'[7]Potential Stds'!$A$7:$A$150,$B$25)/2</f>
        <v>429.3210813411406</v>
      </c>
      <c r="N28" s="195">
        <f>M28+SUMIFS('[7]Potential Stds'!$U$7:$U$150,'[7]Potential Stds'!$I$7:$I$150,Aggressive!N$17,'[7]Potential Stds'!$C$7:$C$150,Aggressive!$C28,'[7]Potential Stds'!$A$7:$A$150,$B$25)+SUMIFS('[7]Potential Stds'!$U$7:$U$150,'[7]Potential Stds'!$I$7:$I$150,Aggressive!N$17,'[7]Potential Stds'!$C$7:$C$150,"split",'[7]Potential Stds'!$A$7:$A$150,$B$25)/2</f>
        <v>429.3210813411406</v>
      </c>
      <c r="O28" s="195">
        <f>N28+SUMIFS('[7]Potential Stds'!$U$7:$U$150,'[7]Potential Stds'!$I$7:$I$150,Aggressive!O$17,'[7]Potential Stds'!$C$7:$C$150,Aggressive!$C28,'[7]Potential Stds'!$A$7:$A$150,$B$25)+SUMIFS('[7]Potential Stds'!$U$7:$U$150,'[7]Potential Stds'!$I$7:$I$150,Aggressive!O$17,'[7]Potential Stds'!$C$7:$C$150,"split",'[7]Potential Stds'!$A$7:$A$150,$B$25)/2</f>
        <v>429.3210813411406</v>
      </c>
      <c r="P28" s="195">
        <f>O28+SUMIFS('[7]Potential Stds'!$U$7:$U$150,'[7]Potential Stds'!$I$7:$I$150,Aggressive!P$17,'[7]Potential Stds'!$C$7:$C$150,Aggressive!$C28,'[7]Potential Stds'!$A$7:$A$150,$B$25)+SUMIFS('[7]Potential Stds'!$U$7:$U$150,'[7]Potential Stds'!$I$7:$I$150,Aggressive!P$17,'[7]Potential Stds'!$C$7:$C$150,"split",'[7]Potential Stds'!$A$7:$A$150,$B$25)/2</f>
        <v>750.196009082317</v>
      </c>
      <c r="Q28" s="195">
        <f>P28+SUMIFS('[7]Potential Stds'!$U$7:$U$150,'[7]Potential Stds'!$I$7:$I$150,Aggressive!Q$17,'[7]Potential Stds'!$C$7:$C$150,Aggressive!$C28,'[7]Potential Stds'!$A$7:$A$150,$B$25)+SUMIFS('[7]Potential Stds'!$U$7:$U$150,'[7]Potential Stds'!$I$7:$I$150,Aggressive!Q$17,'[7]Potential Stds'!$C$7:$C$150,"split",'[7]Potential Stds'!$A$7:$A$150,$B$25)/2</f>
        <v>750.196009082317</v>
      </c>
      <c r="R28" s="195">
        <f>Q28+SUMIFS('[7]Potential Stds'!$U$7:$U$150,'[7]Potential Stds'!$I$7:$I$150,Aggressive!R$17,'[7]Potential Stds'!$C$7:$C$150,Aggressive!$C28,'[7]Potential Stds'!$A$7:$A$150,$B$25)+SUMIFS('[7]Potential Stds'!$U$7:$U$150,'[7]Potential Stds'!$I$7:$I$150,Aggressive!R$17,'[7]Potential Stds'!$C$7:$C$150,"split",'[7]Potential Stds'!$A$7:$A$150,$B$25)/2</f>
        <v>783.85600908231697</v>
      </c>
    </row>
    <row r="29" spans="2:36" x14ac:dyDescent="0.3">
      <c r="B29" s="199"/>
      <c r="C29" s="194" t="s">
        <v>451</v>
      </c>
      <c r="D29" s="195">
        <f>SUMIFS('[7]Potential Stds'!$U$7:$U$150,'[7]Potential Stds'!$I$7:$I$150,Aggressive!D$17,'[7]Potential Stds'!$C$7:$C$150,Aggressive!$C29,'[7]Potential Stds'!$A$7:$A$150,$B$25)+SUMIFS('[7]Potential Stds'!$U$7:$U$150,'[7]Potential Stds'!$I$7:$I$150,Aggressive!D$17,'[7]Potential Stds'!$C$7:$C$150,"split",'[7]Potential Stds'!$A$7:$A$150,$B$25)/2</f>
        <v>0</v>
      </c>
      <c r="E29" s="195">
        <f>D29+SUMIFS('[7]Potential Stds'!$U$7:$U$150,'[7]Potential Stds'!$I$7:$I$150,Aggressive!E$17,'[7]Potential Stds'!$C$7:$C$150,Aggressive!$C29,'[7]Potential Stds'!$A$7:$A$150,$B$25)+SUMIFS('[7]Potential Stds'!$U$7:$U$150,'[7]Potential Stds'!$I$7:$I$150,Aggressive!E$17,'[7]Potential Stds'!$C$7:$C$150,"split",'[7]Potential Stds'!$A$7:$A$150,$B$25)/2</f>
        <v>0</v>
      </c>
      <c r="F29" s="195">
        <f>E29+SUMIFS('[7]Potential Stds'!$U$7:$U$150,'[7]Potential Stds'!$I$7:$I$150,Aggressive!F$17,'[7]Potential Stds'!$C$7:$C$150,Aggressive!$C29,'[7]Potential Stds'!$A$7:$A$150,$B$25)+SUMIFS('[7]Potential Stds'!$U$7:$U$150,'[7]Potential Stds'!$I$7:$I$150,Aggressive!F$17,'[7]Potential Stds'!$C$7:$C$150,"split",'[7]Potential Stds'!$A$7:$A$150,$B$25)/2</f>
        <v>0</v>
      </c>
      <c r="G29" s="195">
        <f>F29+SUMIFS('[7]Potential Stds'!$U$7:$U$150,'[7]Potential Stds'!$I$7:$I$150,Aggressive!G$17,'[7]Potential Stds'!$C$7:$C$150,Aggressive!$C29,'[7]Potential Stds'!$A$7:$A$150,$B$25)+SUMIFS('[7]Potential Stds'!$U$7:$U$150,'[7]Potential Stds'!$I$7:$I$150,Aggressive!G$17,'[7]Potential Stds'!$C$7:$C$150,"split",'[7]Potential Stds'!$A$7:$A$150,$B$25)/2</f>
        <v>0</v>
      </c>
      <c r="H29" s="195">
        <f>G29+SUMIFS('[7]Potential Stds'!$U$7:$U$150,'[7]Potential Stds'!$I$7:$I$150,Aggressive!H$17,'[7]Potential Stds'!$C$7:$C$150,Aggressive!$C29,'[7]Potential Stds'!$A$7:$A$150,$B$25)+SUMIFS('[7]Potential Stds'!$U$7:$U$150,'[7]Potential Stds'!$I$7:$I$150,Aggressive!H$17,'[7]Potential Stds'!$C$7:$C$150,"split",'[7]Potential Stds'!$A$7:$A$150,$B$25)/2</f>
        <v>0</v>
      </c>
      <c r="I29" s="195">
        <f>H29+SUMIFS('[7]Potential Stds'!$U$7:$U$150,'[7]Potential Stds'!$I$7:$I$150,Aggressive!I$17,'[7]Potential Stds'!$C$7:$C$150,Aggressive!$C29,'[7]Potential Stds'!$A$7:$A$150,$B$25)+SUMIFS('[7]Potential Stds'!$U$7:$U$150,'[7]Potential Stds'!$I$7:$I$150,Aggressive!I$17,'[7]Potential Stds'!$C$7:$C$150,"split",'[7]Potential Stds'!$A$7:$A$150,$B$25)/2</f>
        <v>180.58823529411765</v>
      </c>
      <c r="J29" s="195">
        <f>I29+SUMIFS('[7]Potential Stds'!$U$7:$U$150,'[7]Potential Stds'!$I$7:$I$150,Aggressive!J$17,'[7]Potential Stds'!$C$7:$C$150,Aggressive!$C29,'[7]Potential Stds'!$A$7:$A$150,$B$25)+SUMIFS('[7]Potential Stds'!$U$7:$U$150,'[7]Potential Stds'!$I$7:$I$150,Aggressive!J$17,'[7]Potential Stds'!$C$7:$C$150,"split",'[7]Potential Stds'!$A$7:$A$150,$B$25)/2</f>
        <v>270.94469898819938</v>
      </c>
      <c r="K29" s="195">
        <f>J29+SUMIFS('[7]Potential Stds'!$U$7:$U$150,'[7]Potential Stds'!$I$7:$I$150,Aggressive!K$17,'[7]Potential Stds'!$C$7:$C$150,Aggressive!$C29,'[7]Potential Stds'!$A$7:$A$150,$B$25)+SUMIFS('[7]Potential Stds'!$U$7:$U$150,'[7]Potential Stds'!$I$7:$I$150,Aggressive!K$17,'[7]Potential Stds'!$C$7:$C$150,"split",'[7]Potential Stds'!$A$7:$A$150,$B$25)/2</f>
        <v>270.94469898819938</v>
      </c>
      <c r="L29" s="195">
        <f>K29+SUMIFS('[7]Potential Stds'!$U$7:$U$150,'[7]Potential Stds'!$I$7:$I$150,Aggressive!L$17,'[7]Potential Stds'!$C$7:$C$150,Aggressive!$C29,'[7]Potential Stds'!$A$7:$A$150,$B$25)+SUMIFS('[7]Potential Stds'!$U$7:$U$150,'[7]Potential Stds'!$I$7:$I$150,Aggressive!L$17,'[7]Potential Stds'!$C$7:$C$150,"split",'[7]Potential Stds'!$A$7:$A$150,$B$25)/2</f>
        <v>270.94469898819938</v>
      </c>
      <c r="M29" s="195">
        <f>L29+SUMIFS('[7]Potential Stds'!$U$7:$U$150,'[7]Potential Stds'!$I$7:$I$150,Aggressive!M$17,'[7]Potential Stds'!$C$7:$C$150,Aggressive!$C29,'[7]Potential Stds'!$A$7:$A$150,$B$25)+SUMIFS('[7]Potential Stds'!$U$7:$U$150,'[7]Potential Stds'!$I$7:$I$150,Aggressive!M$17,'[7]Potential Stds'!$C$7:$C$150,"split",'[7]Potential Stds'!$A$7:$A$150,$B$25)/2</f>
        <v>586.0901989881994</v>
      </c>
      <c r="N29" s="195">
        <f>M29+SUMIFS('[7]Potential Stds'!$U$7:$U$150,'[7]Potential Stds'!$I$7:$I$150,Aggressive!N$17,'[7]Potential Stds'!$C$7:$C$150,Aggressive!$C29,'[7]Potential Stds'!$A$7:$A$150,$B$25)+SUMIFS('[7]Potential Stds'!$U$7:$U$150,'[7]Potential Stds'!$I$7:$I$150,Aggressive!N$17,'[7]Potential Stds'!$C$7:$C$150,"split",'[7]Potential Stds'!$A$7:$A$150,$B$25)/2</f>
        <v>608.20304188679734</v>
      </c>
      <c r="O29" s="195">
        <f>N29+SUMIFS('[7]Potential Stds'!$U$7:$U$150,'[7]Potential Stds'!$I$7:$I$150,Aggressive!O$17,'[7]Potential Stds'!$C$7:$C$150,Aggressive!$C29,'[7]Potential Stds'!$A$7:$A$150,$B$25)+SUMIFS('[7]Potential Stds'!$U$7:$U$150,'[7]Potential Stds'!$I$7:$I$150,Aggressive!O$17,'[7]Potential Stds'!$C$7:$C$150,"split",'[7]Potential Stds'!$A$7:$A$150,$B$25)/2</f>
        <v>608.20304188679734</v>
      </c>
      <c r="P29" s="195">
        <f>O29+SUMIFS('[7]Potential Stds'!$U$7:$U$150,'[7]Potential Stds'!$I$7:$I$150,Aggressive!P$17,'[7]Potential Stds'!$C$7:$C$150,Aggressive!$C29,'[7]Potential Stds'!$A$7:$A$150,$B$25)+SUMIFS('[7]Potential Stds'!$U$7:$U$150,'[7]Potential Stds'!$I$7:$I$150,Aggressive!P$17,'[7]Potential Stds'!$C$7:$C$150,"split",'[7]Potential Stds'!$A$7:$A$150,$B$25)/2</f>
        <v>918.04186541620913</v>
      </c>
      <c r="Q29" s="195">
        <f>P29+SUMIFS('[7]Potential Stds'!$U$7:$U$150,'[7]Potential Stds'!$I$7:$I$150,Aggressive!Q$17,'[7]Potential Stds'!$C$7:$C$150,Aggressive!$C29,'[7]Potential Stds'!$A$7:$A$150,$B$25)+SUMIFS('[7]Potential Stds'!$U$7:$U$150,'[7]Potential Stds'!$I$7:$I$150,Aggressive!Q$17,'[7]Potential Stds'!$C$7:$C$150,"split",'[7]Potential Stds'!$A$7:$A$150,$B$25)/2</f>
        <v>918.04186541620913</v>
      </c>
      <c r="R29" s="195">
        <f>Q29+SUMIFS('[7]Potential Stds'!$U$7:$U$150,'[7]Potential Stds'!$I$7:$I$150,Aggressive!R$17,'[7]Potential Stds'!$C$7:$C$150,Aggressive!$C29,'[7]Potential Stds'!$A$7:$A$150,$B$25)+SUMIFS('[7]Potential Stds'!$U$7:$U$150,'[7]Potential Stds'!$I$7:$I$150,Aggressive!R$17,'[7]Potential Stds'!$C$7:$C$150,"split",'[7]Potential Stds'!$A$7:$A$150,$B$25)/2</f>
        <v>918.04186541620913</v>
      </c>
    </row>
    <row r="30" spans="2:36" x14ac:dyDescent="0.3">
      <c r="B30" s="200"/>
      <c r="C30" s="194"/>
      <c r="D30" s="195"/>
      <c r="E30" s="195"/>
      <c r="F30" s="195"/>
      <c r="G30" s="195"/>
      <c r="H30" s="195"/>
      <c r="I30" s="195"/>
      <c r="J30" s="195"/>
      <c r="K30" s="195"/>
      <c r="L30" s="195"/>
      <c r="M30" s="195"/>
      <c r="N30" s="195"/>
      <c r="O30" s="195"/>
      <c r="P30" s="195"/>
      <c r="Q30" s="195"/>
      <c r="R30" s="195"/>
    </row>
    <row r="31" spans="2:36" x14ac:dyDescent="0.3">
      <c r="B31" s="198" t="s">
        <v>879</v>
      </c>
      <c r="C31" s="194" t="s">
        <v>440</v>
      </c>
      <c r="D31" s="195">
        <f>SUMIFS('[7]Potential Stds'!$V$7:$V$150,'[7]Potential Stds'!$I$7:$I$150,Aggressive!D$17,'[7]Potential Stds'!$C$7:$C$150,Aggressive!$C31,'[7]Potential Stds'!$A$7:$A$150,$B$25)+SUMIFS('[7]Potential Stds'!$V$7:$V$150,'[7]Potential Stds'!$I$7:$I$150,Aggressive!D$17,'[7]Potential Stds'!$C$7:$C$150,"split",'[7]Potential Stds'!$A$7:$A$150,$B$25)/2</f>
        <v>0</v>
      </c>
      <c r="E31" s="195">
        <f>D31+SUMIFS('[7]Potential Stds'!$V$7:$V$150,'[7]Potential Stds'!$I$7:$I$150,Aggressive!E$17,'[7]Potential Stds'!$C$7:$C$150,Aggressive!$C31,'[7]Potential Stds'!$A$7:$A$150,$B$25)+SUMIFS('[7]Potential Stds'!$V$7:$V$150,'[7]Potential Stds'!$I$7:$I$150,Aggressive!E$17,'[7]Potential Stds'!$C$7:$C$150,"split",'[7]Potential Stds'!$A$7:$A$150,$B$25)/2</f>
        <v>0</v>
      </c>
      <c r="F31" s="195">
        <f>E31+SUMIFS('[7]Potential Stds'!$V$7:$V$150,'[7]Potential Stds'!$I$7:$I$150,Aggressive!F$17,'[7]Potential Stds'!$C$7:$C$150,Aggressive!$C31,'[7]Potential Stds'!$A$7:$A$150,$B$25)+SUMIFS('[7]Potential Stds'!$V$7:$V$150,'[7]Potential Stds'!$I$7:$I$150,Aggressive!F$17,'[7]Potential Stds'!$C$7:$C$150,"split",'[7]Potential Stds'!$A$7:$A$150,$B$25)/2</f>
        <v>0</v>
      </c>
      <c r="G31" s="195">
        <f>F31+SUMIFS('[7]Potential Stds'!$V$7:$V$150,'[7]Potential Stds'!$I$7:$I$150,Aggressive!G$17,'[7]Potential Stds'!$C$7:$C$150,Aggressive!$C31,'[7]Potential Stds'!$A$7:$A$150,$B$25)+SUMIFS('[7]Potential Stds'!$V$7:$V$150,'[7]Potential Stds'!$I$7:$I$150,Aggressive!G$17,'[7]Potential Stds'!$C$7:$C$150,"split",'[7]Potential Stds'!$A$7:$A$150,$B$25)/2</f>
        <v>0</v>
      </c>
      <c r="H31" s="195">
        <f>G31+SUMIFS('[7]Potential Stds'!$V$7:$V$150,'[7]Potential Stds'!$I$7:$I$150,Aggressive!H$17,'[7]Potential Stds'!$C$7:$C$150,Aggressive!$C31,'[7]Potential Stds'!$A$7:$A$150,$B$25)+SUMIFS('[7]Potential Stds'!$V$7:$V$150,'[7]Potential Stds'!$I$7:$I$150,Aggressive!H$17,'[7]Potential Stds'!$C$7:$C$150,"split",'[7]Potential Stds'!$A$7:$A$150,$B$25)/2</f>
        <v>0</v>
      </c>
      <c r="I31" s="195">
        <f>H31+SUMIFS('[7]Potential Stds'!$V$7:$V$150,'[7]Potential Stds'!$I$7:$I$150,Aggressive!I$17,'[7]Potential Stds'!$C$7:$C$150,Aggressive!$C31,'[7]Potential Stds'!$A$7:$A$150,$B$25)+SUMIFS('[7]Potential Stds'!$V$7:$V$150,'[7]Potential Stds'!$I$7:$I$150,Aggressive!I$17,'[7]Potential Stds'!$C$7:$C$150,"split",'[7]Potential Stds'!$A$7:$A$150,$B$25)/2</f>
        <v>0</v>
      </c>
      <c r="J31" s="195">
        <f>I31+SUMIFS('[7]Potential Stds'!$V$7:$V$150,'[7]Potential Stds'!$I$7:$I$150,Aggressive!J$17,'[7]Potential Stds'!$C$7:$C$150,Aggressive!$C31,'[7]Potential Stds'!$A$7:$A$150,$B$25)+SUMIFS('[7]Potential Stds'!$V$7:$V$150,'[7]Potential Stds'!$I$7:$I$150,Aggressive!J$17,'[7]Potential Stds'!$C$7:$C$150,"split",'[7]Potential Stds'!$A$7:$A$150,$B$25)/2</f>
        <v>0</v>
      </c>
      <c r="K31" s="195">
        <f>J31+SUMIFS('[7]Potential Stds'!$V$7:$V$150,'[7]Potential Stds'!$I$7:$I$150,Aggressive!K$17,'[7]Potential Stds'!$C$7:$C$150,Aggressive!$C31,'[7]Potential Stds'!$A$7:$A$150,$B$25)+SUMIFS('[7]Potential Stds'!$V$7:$V$150,'[7]Potential Stds'!$I$7:$I$150,Aggressive!K$17,'[7]Potential Stds'!$C$7:$C$150,"split",'[7]Potential Stds'!$A$7:$A$150,$B$25)/2</f>
        <v>0</v>
      </c>
      <c r="L31" s="195">
        <f>K31+SUMIFS('[7]Potential Stds'!$V$7:$V$150,'[7]Potential Stds'!$I$7:$I$150,Aggressive!L$17,'[7]Potential Stds'!$C$7:$C$150,Aggressive!$C31,'[7]Potential Stds'!$A$7:$A$150,$B$25)+SUMIFS('[7]Potential Stds'!$V$7:$V$150,'[7]Potential Stds'!$I$7:$I$150,Aggressive!L$17,'[7]Potential Stds'!$C$7:$C$150,"split",'[7]Potential Stds'!$A$7:$A$150,$B$25)/2</f>
        <v>0</v>
      </c>
      <c r="M31" s="195">
        <f>L31+SUMIFS('[7]Potential Stds'!$V$7:$V$150,'[7]Potential Stds'!$I$7:$I$150,Aggressive!M$17,'[7]Potential Stds'!$C$7:$C$150,Aggressive!$C31,'[7]Potential Stds'!$A$7:$A$150,$B$25)+SUMIFS('[7]Potential Stds'!$V$7:$V$150,'[7]Potential Stds'!$I$7:$I$150,Aggressive!M$17,'[7]Potential Stds'!$C$7:$C$150,"split",'[7]Potential Stds'!$A$7:$A$150,$B$25)/2</f>
        <v>0</v>
      </c>
      <c r="N31" s="195">
        <f>M31+SUMIFS('[7]Potential Stds'!$V$7:$V$150,'[7]Potential Stds'!$I$7:$I$150,Aggressive!N$17,'[7]Potential Stds'!$C$7:$C$150,Aggressive!$C31,'[7]Potential Stds'!$A$7:$A$150,$B$25)+SUMIFS('[7]Potential Stds'!$V$7:$V$150,'[7]Potential Stds'!$I$7:$I$150,Aggressive!N$17,'[7]Potential Stds'!$C$7:$C$150,"split",'[7]Potential Stds'!$A$7:$A$150,$B$25)/2</f>
        <v>0</v>
      </c>
      <c r="O31" s="195">
        <f>N31+SUMIFS('[7]Potential Stds'!$V$7:$V$150,'[7]Potential Stds'!$I$7:$I$150,Aggressive!O$17,'[7]Potential Stds'!$C$7:$C$150,Aggressive!$C31,'[7]Potential Stds'!$A$7:$A$150,$B$25)+SUMIFS('[7]Potential Stds'!$V$7:$V$150,'[7]Potential Stds'!$I$7:$I$150,Aggressive!O$17,'[7]Potential Stds'!$C$7:$C$150,"split",'[7]Potential Stds'!$A$7:$A$150,$B$25)/2</f>
        <v>0</v>
      </c>
      <c r="P31" s="195">
        <f>O31+SUMIFS('[7]Potential Stds'!$V$7:$V$150,'[7]Potential Stds'!$I$7:$I$150,Aggressive!P$17,'[7]Potential Stds'!$C$7:$C$150,Aggressive!$C31,'[7]Potential Stds'!$A$7:$A$150,$B$25)+SUMIFS('[7]Potential Stds'!$V$7:$V$150,'[7]Potential Stds'!$I$7:$I$150,Aggressive!P$17,'[7]Potential Stds'!$C$7:$C$150,"split",'[7]Potential Stds'!$A$7:$A$150,$B$25)/2</f>
        <v>0</v>
      </c>
      <c r="Q31" s="195">
        <f>P31+SUMIFS('[7]Potential Stds'!$V$7:$V$150,'[7]Potential Stds'!$I$7:$I$150,Aggressive!Q$17,'[7]Potential Stds'!$C$7:$C$150,Aggressive!$C31,'[7]Potential Stds'!$A$7:$A$150,$B$25)+SUMIFS('[7]Potential Stds'!$V$7:$V$150,'[7]Potential Stds'!$I$7:$I$150,Aggressive!Q$17,'[7]Potential Stds'!$C$7:$C$150,"split",'[7]Potential Stds'!$A$7:$A$150,$B$25)/2</f>
        <v>0</v>
      </c>
      <c r="R31" s="195">
        <f>Q31+SUMIFS('[7]Potential Stds'!$V$7:$V$150,'[7]Potential Stds'!$I$7:$I$150,Aggressive!R$17,'[7]Potential Stds'!$C$7:$C$150,Aggressive!$C31,'[7]Potential Stds'!$A$7:$A$150,$B$25)+SUMIFS('[7]Potential Stds'!$V$7:$V$150,'[7]Potential Stds'!$I$7:$I$150,Aggressive!R$17,'[7]Potential Stds'!$C$7:$C$150,"split",'[7]Potential Stds'!$A$7:$A$150,$B$25)/2</f>
        <v>0</v>
      </c>
    </row>
    <row r="32" spans="2:36" x14ac:dyDescent="0.3">
      <c r="B32" s="199"/>
      <c r="C32" s="194" t="s">
        <v>451</v>
      </c>
      <c r="D32" s="195">
        <f>SUMIFS('[7]Potential Stds'!$V$7:$V$150,'[7]Potential Stds'!$I$7:$I$150,Aggressive!D$17,'[7]Potential Stds'!$C$7:$C$150,Aggressive!$C32,'[7]Potential Stds'!$A$7:$A$150,$B$25)+SUMIFS('[7]Potential Stds'!$V$7:$V$150,'[7]Potential Stds'!$I$7:$I$150,Aggressive!D$17,'[7]Potential Stds'!$C$7:$C$150,"split",'[7]Potential Stds'!$A$7:$A$150,$B$25)/2</f>
        <v>0</v>
      </c>
      <c r="E32" s="195">
        <f>D32+SUMIFS('[7]Potential Stds'!$V$7:$V$150,'[7]Potential Stds'!$I$7:$I$150,Aggressive!E$17,'[7]Potential Stds'!$C$7:$C$150,Aggressive!$C32,'[7]Potential Stds'!$A$7:$A$150,$B$25)+SUMIFS('[7]Potential Stds'!$V$7:$V$150,'[7]Potential Stds'!$I$7:$I$150,Aggressive!E$17,'[7]Potential Stds'!$C$7:$C$150,"split",'[7]Potential Stds'!$A$7:$A$150,$B$25)/2</f>
        <v>0</v>
      </c>
      <c r="F32" s="195">
        <f>E32+SUMIFS('[7]Potential Stds'!$V$7:$V$150,'[7]Potential Stds'!$I$7:$I$150,Aggressive!F$17,'[7]Potential Stds'!$C$7:$C$150,Aggressive!$C32,'[7]Potential Stds'!$A$7:$A$150,$B$25)+SUMIFS('[7]Potential Stds'!$V$7:$V$150,'[7]Potential Stds'!$I$7:$I$150,Aggressive!F$17,'[7]Potential Stds'!$C$7:$C$150,"split",'[7]Potential Stds'!$A$7:$A$150,$B$25)/2</f>
        <v>0</v>
      </c>
      <c r="G32" s="195">
        <f>F32+SUMIFS('[7]Potential Stds'!$V$7:$V$150,'[7]Potential Stds'!$I$7:$I$150,Aggressive!G$17,'[7]Potential Stds'!$C$7:$C$150,Aggressive!$C32,'[7]Potential Stds'!$A$7:$A$150,$B$25)+SUMIFS('[7]Potential Stds'!$V$7:$V$150,'[7]Potential Stds'!$I$7:$I$150,Aggressive!G$17,'[7]Potential Stds'!$C$7:$C$150,"split",'[7]Potential Stds'!$A$7:$A$150,$B$25)/2</f>
        <v>0</v>
      </c>
      <c r="H32" s="195">
        <f>G32+SUMIFS('[7]Potential Stds'!$V$7:$V$150,'[7]Potential Stds'!$I$7:$I$150,Aggressive!H$17,'[7]Potential Stds'!$C$7:$C$150,Aggressive!$C32,'[7]Potential Stds'!$A$7:$A$150,$B$25)+SUMIFS('[7]Potential Stds'!$V$7:$V$150,'[7]Potential Stds'!$I$7:$I$150,Aggressive!H$17,'[7]Potential Stds'!$C$7:$C$150,"split",'[7]Potential Stds'!$A$7:$A$150,$B$25)/2</f>
        <v>0</v>
      </c>
      <c r="I32" s="195">
        <f>H32+SUMIFS('[7]Potential Stds'!$V$7:$V$150,'[7]Potential Stds'!$I$7:$I$150,Aggressive!I$17,'[7]Potential Stds'!$C$7:$C$150,Aggressive!$C32,'[7]Potential Stds'!$A$7:$A$150,$B$25)+SUMIFS('[7]Potential Stds'!$V$7:$V$150,'[7]Potential Stds'!$I$7:$I$150,Aggressive!I$17,'[7]Potential Stds'!$C$7:$C$150,"split",'[7]Potential Stds'!$A$7:$A$150,$B$25)/2</f>
        <v>0</v>
      </c>
      <c r="J32" s="195">
        <f>I32+SUMIFS('[7]Potential Stds'!$V$7:$V$150,'[7]Potential Stds'!$I$7:$I$150,Aggressive!J$17,'[7]Potential Stds'!$C$7:$C$150,Aggressive!$C32,'[7]Potential Stds'!$A$7:$A$150,$B$25)+SUMIFS('[7]Potential Stds'!$V$7:$V$150,'[7]Potential Stds'!$I$7:$I$150,Aggressive!J$17,'[7]Potential Stds'!$C$7:$C$150,"split",'[7]Potential Stds'!$A$7:$A$150,$B$25)/2</f>
        <v>0</v>
      </c>
      <c r="K32" s="195">
        <f>J32+SUMIFS('[7]Potential Stds'!$V$7:$V$150,'[7]Potential Stds'!$I$7:$I$150,Aggressive!K$17,'[7]Potential Stds'!$C$7:$C$150,Aggressive!$C32,'[7]Potential Stds'!$A$7:$A$150,$B$25)+SUMIFS('[7]Potential Stds'!$V$7:$V$150,'[7]Potential Stds'!$I$7:$I$150,Aggressive!K$17,'[7]Potential Stds'!$C$7:$C$150,"split",'[7]Potential Stds'!$A$7:$A$150,$B$25)/2</f>
        <v>1.4190059614073554E-2</v>
      </c>
      <c r="L32" s="195">
        <f>K32+SUMIFS('[7]Potential Stds'!$V$7:$V$150,'[7]Potential Stds'!$I$7:$I$150,Aggressive!L$17,'[7]Potential Stds'!$C$7:$C$150,Aggressive!$C32,'[7]Potential Stds'!$A$7:$A$150,$B$25)+SUMIFS('[7]Potential Stds'!$V$7:$V$150,'[7]Potential Stds'!$I$7:$I$150,Aggressive!L$17,'[7]Potential Stds'!$C$7:$C$150,"split",'[7]Potential Stds'!$A$7:$A$150,$B$25)/2</f>
        <v>1.4190059614073554E-2</v>
      </c>
      <c r="M32" s="195">
        <f>L32+SUMIFS('[7]Potential Stds'!$V$7:$V$150,'[7]Potential Stds'!$I$7:$I$150,Aggressive!M$17,'[7]Potential Stds'!$C$7:$C$150,Aggressive!$C32,'[7]Potential Stds'!$A$7:$A$150,$B$25)+SUMIFS('[7]Potential Stds'!$V$7:$V$150,'[7]Potential Stds'!$I$7:$I$150,Aggressive!M$17,'[7]Potential Stds'!$C$7:$C$150,"split",'[7]Potential Stds'!$A$7:$A$150,$B$25)/2</f>
        <v>1.4190059614073554E-2</v>
      </c>
      <c r="N32" s="195">
        <f>M32+SUMIFS('[7]Potential Stds'!$V$7:$V$150,'[7]Potential Stds'!$I$7:$I$150,Aggressive!N$17,'[7]Potential Stds'!$C$7:$C$150,Aggressive!$C32,'[7]Potential Stds'!$A$7:$A$150,$B$25)+SUMIFS('[7]Potential Stds'!$V$7:$V$150,'[7]Potential Stds'!$I$7:$I$150,Aggressive!N$17,'[7]Potential Stds'!$C$7:$C$150,"split",'[7]Potential Stds'!$A$7:$A$150,$B$25)/2</f>
        <v>1.4190059614073554E-2</v>
      </c>
      <c r="O32" s="195">
        <f>N32+SUMIFS('[7]Potential Stds'!$V$7:$V$150,'[7]Potential Stds'!$I$7:$I$150,Aggressive!O$17,'[7]Potential Stds'!$C$7:$C$150,Aggressive!$C32,'[7]Potential Stds'!$A$7:$A$150,$B$25)+SUMIFS('[7]Potential Stds'!$V$7:$V$150,'[7]Potential Stds'!$I$7:$I$150,Aggressive!O$17,'[7]Potential Stds'!$C$7:$C$150,"split",'[7]Potential Stds'!$A$7:$A$150,$B$25)/2</f>
        <v>1.4190059614073554E-2</v>
      </c>
      <c r="P32" s="195">
        <f>O32+SUMIFS('[7]Potential Stds'!$V$7:$V$150,'[7]Potential Stds'!$I$7:$I$150,Aggressive!P$17,'[7]Potential Stds'!$C$7:$C$150,Aggressive!$C32,'[7]Potential Stds'!$A$7:$A$150,$B$25)+SUMIFS('[7]Potential Stds'!$V$7:$V$150,'[7]Potential Stds'!$I$7:$I$150,Aggressive!P$17,'[7]Potential Stds'!$C$7:$C$150,"split",'[7]Potential Stds'!$A$7:$A$150,$B$25)/2</f>
        <v>1.4190059614073554E-2</v>
      </c>
      <c r="Q32" s="195">
        <f>P32+SUMIFS('[7]Potential Stds'!$V$7:$V$150,'[7]Potential Stds'!$I$7:$I$150,Aggressive!Q$17,'[7]Potential Stds'!$C$7:$C$150,Aggressive!$C32,'[7]Potential Stds'!$A$7:$A$150,$B$25)+SUMIFS('[7]Potential Stds'!$V$7:$V$150,'[7]Potential Stds'!$I$7:$I$150,Aggressive!Q$17,'[7]Potential Stds'!$C$7:$C$150,"split",'[7]Potential Stds'!$A$7:$A$150,$B$25)/2</f>
        <v>1.4190059614073554E-2</v>
      </c>
      <c r="R32" s="195">
        <f>Q32+SUMIFS('[7]Potential Stds'!$V$7:$V$150,'[7]Potential Stds'!$I$7:$I$150,Aggressive!R$17,'[7]Potential Stds'!$C$7:$C$150,Aggressive!$C32,'[7]Potential Stds'!$A$7:$A$150,$B$25)+SUMIFS('[7]Potential Stds'!$V$7:$V$150,'[7]Potential Stds'!$I$7:$I$150,Aggressive!R$17,'[7]Potential Stds'!$C$7:$C$150,"split",'[7]Potential Stds'!$A$7:$A$150,$B$25)/2</f>
        <v>1.4190059614073554E-2</v>
      </c>
    </row>
    <row r="33" spans="2:18" x14ac:dyDescent="0.3">
      <c r="B33" s="197"/>
      <c r="C33" s="23"/>
      <c r="D33" s="191"/>
      <c r="E33" s="191"/>
      <c r="F33" s="191"/>
      <c r="G33" s="191"/>
      <c r="H33" s="191"/>
      <c r="I33" s="191"/>
      <c r="J33" s="191"/>
      <c r="K33" s="191"/>
      <c r="L33" s="191"/>
      <c r="M33" s="191"/>
      <c r="N33" s="191"/>
      <c r="O33" s="191"/>
      <c r="P33" s="191"/>
      <c r="Q33" s="191"/>
      <c r="R33" s="191"/>
    </row>
    <row r="34" spans="2:18" x14ac:dyDescent="0.3">
      <c r="B34" s="197" t="s">
        <v>462</v>
      </c>
      <c r="C34" s="23"/>
      <c r="D34" s="23"/>
      <c r="E34" s="23"/>
      <c r="F34" s="23"/>
      <c r="G34" s="23"/>
      <c r="H34" s="23"/>
      <c r="I34" s="23"/>
      <c r="J34" s="23"/>
      <c r="K34" s="23"/>
      <c r="L34" s="23"/>
      <c r="M34" s="23"/>
      <c r="N34" s="23"/>
      <c r="O34" s="23"/>
      <c r="P34" s="23"/>
      <c r="Q34" s="23"/>
      <c r="R34" s="23"/>
    </row>
    <row r="35" spans="2:18" x14ac:dyDescent="0.3">
      <c r="B35" s="197"/>
      <c r="C35" s="23"/>
      <c r="D35" s="23"/>
      <c r="E35" s="23"/>
      <c r="F35" s="23"/>
      <c r="G35" s="46"/>
      <c r="H35" s="46"/>
      <c r="I35" s="46"/>
      <c r="J35" s="46"/>
      <c r="K35" s="46"/>
      <c r="L35" s="46"/>
      <c r="M35" s="46"/>
      <c r="N35" s="46"/>
      <c r="O35" s="46"/>
      <c r="P35" s="46"/>
      <c r="Q35" s="46"/>
      <c r="R35" s="46"/>
    </row>
    <row r="36" spans="2:18" x14ac:dyDescent="0.3">
      <c r="B36" s="197"/>
      <c r="C36" s="23"/>
      <c r="D36" s="23">
        <v>2015</v>
      </c>
      <c r="E36" s="23">
        <v>2016</v>
      </c>
      <c r="F36" s="23">
        <v>2017</v>
      </c>
      <c r="G36" s="23">
        <v>2018</v>
      </c>
      <c r="H36" s="23">
        <v>2019</v>
      </c>
      <c r="I36" s="23">
        <v>2020</v>
      </c>
      <c r="J36" s="23">
        <v>2021</v>
      </c>
      <c r="K36" s="23">
        <v>2022</v>
      </c>
      <c r="L36" s="23">
        <v>2023</v>
      </c>
      <c r="M36" s="23">
        <v>2024</v>
      </c>
      <c r="N36" s="23">
        <v>2025</v>
      </c>
      <c r="O36" s="23">
        <v>2026</v>
      </c>
      <c r="P36" s="23">
        <v>2027</v>
      </c>
      <c r="Q36" s="23">
        <v>2028</v>
      </c>
      <c r="R36" s="23">
        <v>2029</v>
      </c>
    </row>
    <row r="37" spans="2:18" x14ac:dyDescent="0.3">
      <c r="B37" s="201" t="s">
        <v>878</v>
      </c>
      <c r="C37" s="192" t="s">
        <v>440</v>
      </c>
      <c r="D37" s="193">
        <f>SUMIFS('[7]Potential Stds'!$U$7:$U$150,'[7]Potential Stds'!$I$7:$I$150,Aggressive!D$17,'[7]Potential Stds'!$C$7:$C$150,Aggressive!$C37,'[7]Potential Stds'!$A$7:$A$150,$B$34)+SUMIFS('[7]Potential Stds'!$U$7:$U$150,'[7]Potential Stds'!$I$7:$I$150,Aggressive!D$17,'[7]Potential Stds'!$C$7:$C$150,"split",'[7]Potential Stds'!$A$7:$A$150,$B$34)/2</f>
        <v>0</v>
      </c>
      <c r="E37" s="193">
        <f>D37+SUMIFS('[7]Potential Stds'!$U$7:$U$150,'[7]Potential Stds'!$I$7:$I$150,Aggressive!E$17,'[7]Potential Stds'!$C$7:$C$150,Aggressive!$C37,'[7]Potential Stds'!$A$7:$A$150,$B$34)+SUMIFS('[7]Potential Stds'!$U$7:$U$150,'[7]Potential Stds'!$I$7:$I$150,Aggressive!E$17,'[7]Potential Stds'!$C$7:$C$150,"split",'[7]Potential Stds'!$A$7:$A$150,$B$34)/2</f>
        <v>0</v>
      </c>
      <c r="F37" s="193">
        <f>E37+SUMIFS('[7]Potential Stds'!$U$7:$U$150,'[7]Potential Stds'!$I$7:$I$150,Aggressive!F$17,'[7]Potential Stds'!$C$7:$C$150,Aggressive!$C37,'[7]Potential Stds'!$A$7:$A$150,$B$34)+SUMIFS('[7]Potential Stds'!$U$7:$U$150,'[7]Potential Stds'!$I$7:$I$150,Aggressive!F$17,'[7]Potential Stds'!$C$7:$C$150,"split",'[7]Potential Stds'!$A$7:$A$150,$B$34)/2</f>
        <v>0</v>
      </c>
      <c r="G37" s="193">
        <f>F37+SUMIFS('[7]Potential Stds'!$U$7:$U$150,'[7]Potential Stds'!$I$7:$I$150,Aggressive!G$17,'[7]Potential Stds'!$C$7:$C$150,Aggressive!$C37,'[7]Potential Stds'!$A$7:$A$150,$B$34)+SUMIFS('[7]Potential Stds'!$U$7:$U$150,'[7]Potential Stds'!$I$7:$I$150,Aggressive!G$17,'[7]Potential Stds'!$C$7:$C$150,"split",'[7]Potential Stds'!$A$7:$A$150,$B$34)/2</f>
        <v>0</v>
      </c>
      <c r="H37" s="193">
        <f>G37+SUMIFS('[7]Potential Stds'!$U$7:$U$150,'[7]Potential Stds'!$I$7:$I$150,Aggressive!H$17,'[7]Potential Stds'!$C$7:$C$150,Aggressive!$C37,'[7]Potential Stds'!$A$7:$A$150,$B$34)+SUMIFS('[7]Potential Stds'!$U$7:$U$150,'[7]Potential Stds'!$I$7:$I$150,Aggressive!H$17,'[7]Potential Stds'!$C$7:$C$150,"split",'[7]Potential Stds'!$A$7:$A$150,$B$34)/2</f>
        <v>0</v>
      </c>
      <c r="I37" s="193">
        <f>H37+SUMIFS('[7]Potential Stds'!$U$7:$U$150,'[7]Potential Stds'!$I$7:$I$150,Aggressive!I$17,'[7]Potential Stds'!$C$7:$C$150,Aggressive!$C37,'[7]Potential Stds'!$A$7:$A$150,$B$34)+SUMIFS('[7]Potential Stds'!$U$7:$U$150,'[7]Potential Stds'!$I$7:$I$150,Aggressive!I$17,'[7]Potential Stds'!$C$7:$C$150,"split",'[7]Potential Stds'!$A$7:$A$150,$B$34)/2</f>
        <v>0</v>
      </c>
      <c r="J37" s="193">
        <f>I37+SUMIFS('[7]Potential Stds'!$U$7:$U$150,'[7]Potential Stds'!$I$7:$I$150,Aggressive!J$17,'[7]Potential Stds'!$C$7:$C$150,Aggressive!$C37,'[7]Potential Stds'!$A$7:$A$150,$B$34)+SUMIFS('[7]Potential Stds'!$U$7:$U$150,'[7]Potential Stds'!$I$7:$I$150,Aggressive!J$17,'[7]Potential Stds'!$C$7:$C$150,"split",'[7]Potential Stds'!$A$7:$A$150,$B$34)/2</f>
        <v>0</v>
      </c>
      <c r="K37" s="193">
        <f>J37+SUMIFS('[7]Potential Stds'!$U$7:$U$150,'[7]Potential Stds'!$I$7:$I$150,Aggressive!K$17,'[7]Potential Stds'!$C$7:$C$150,Aggressive!$C37,'[7]Potential Stds'!$A$7:$A$150,$B$34)+SUMIFS('[7]Potential Stds'!$U$7:$U$150,'[7]Potential Stds'!$I$7:$I$150,Aggressive!K$17,'[7]Potential Stds'!$C$7:$C$150,"split",'[7]Potential Stds'!$A$7:$A$150,$B$34)/2</f>
        <v>0</v>
      </c>
      <c r="L37" s="193">
        <f>K37+SUMIFS('[7]Potential Stds'!$U$7:$U$150,'[7]Potential Stds'!$I$7:$I$150,Aggressive!L$17,'[7]Potential Stds'!$C$7:$C$150,Aggressive!$C37,'[7]Potential Stds'!$A$7:$A$150,$B$34)+SUMIFS('[7]Potential Stds'!$U$7:$U$150,'[7]Potential Stds'!$I$7:$I$150,Aggressive!L$17,'[7]Potential Stds'!$C$7:$C$150,"split",'[7]Potential Stds'!$A$7:$A$150,$B$34)/2</f>
        <v>0</v>
      </c>
      <c r="M37" s="193">
        <f>L37+SUMIFS('[7]Potential Stds'!$U$7:$U$150,'[7]Potential Stds'!$I$7:$I$150,Aggressive!M$17,'[7]Potential Stds'!$C$7:$C$150,Aggressive!$C37,'[7]Potential Stds'!$A$7:$A$150,$B$34)+SUMIFS('[7]Potential Stds'!$U$7:$U$150,'[7]Potential Stds'!$I$7:$I$150,Aggressive!M$17,'[7]Potential Stds'!$C$7:$C$150,"split",'[7]Potential Stds'!$A$7:$A$150,$B$34)/2</f>
        <v>26.928000000000004</v>
      </c>
      <c r="N37" s="193">
        <f>M37+SUMIFS('[7]Potential Stds'!$U$7:$U$150,'[7]Potential Stds'!$I$7:$I$150,Aggressive!N$17,'[7]Potential Stds'!$C$7:$C$150,Aggressive!$C37,'[7]Potential Stds'!$A$7:$A$150,$B$34)+SUMIFS('[7]Potential Stds'!$U$7:$U$150,'[7]Potential Stds'!$I$7:$I$150,Aggressive!N$17,'[7]Potential Stds'!$C$7:$C$150,"split",'[7]Potential Stds'!$A$7:$A$150,$B$34)/2</f>
        <v>593.06939999999997</v>
      </c>
      <c r="O37" s="193">
        <f>N37+SUMIFS('[7]Potential Stds'!$U$7:$U$150,'[7]Potential Stds'!$I$7:$I$150,Aggressive!O$17,'[7]Potential Stds'!$C$7:$C$150,Aggressive!$C37,'[7]Potential Stds'!$A$7:$A$150,$B$34)+SUMIFS('[7]Potential Stds'!$U$7:$U$150,'[7]Potential Stds'!$I$7:$I$150,Aggressive!O$17,'[7]Potential Stds'!$C$7:$C$150,"split",'[7]Potential Stds'!$A$7:$A$150,$B$34)/2</f>
        <v>786.92939999999999</v>
      </c>
      <c r="P37" s="193">
        <f>O37+SUMIFS('[7]Potential Stds'!$U$7:$U$150,'[7]Potential Stds'!$I$7:$I$150,Aggressive!P$17,'[7]Potential Stds'!$C$7:$C$150,Aggressive!$C37,'[7]Potential Stds'!$A$7:$A$150,$B$34)+SUMIFS('[7]Potential Stds'!$U$7:$U$150,'[7]Potential Stds'!$I$7:$I$150,Aggressive!P$17,'[7]Potential Stds'!$C$7:$C$150,"split",'[7]Potential Stds'!$A$7:$A$150,$B$34)/2</f>
        <v>797.54939999999999</v>
      </c>
      <c r="Q37" s="193">
        <f>P37+SUMIFS('[7]Potential Stds'!$U$7:$U$150,'[7]Potential Stds'!$I$7:$I$150,Aggressive!Q$17,'[7]Potential Stds'!$C$7:$C$150,Aggressive!$C37,'[7]Potential Stds'!$A$7:$A$150,$B$34)+SUMIFS('[7]Potential Stds'!$U$7:$U$150,'[7]Potential Stds'!$I$7:$I$150,Aggressive!Q$17,'[7]Potential Stds'!$C$7:$C$150,"split",'[7]Potential Stds'!$A$7:$A$150,$B$34)/2</f>
        <v>797.54939999999999</v>
      </c>
      <c r="R37" s="193">
        <f>Q37+SUMIFS('[7]Potential Stds'!$U$7:$U$150,'[7]Potential Stds'!$I$7:$I$150,Aggressive!R$17,'[7]Potential Stds'!$C$7:$C$150,Aggressive!$C37,'[7]Potential Stds'!$A$7:$A$150,$B$34)+SUMIFS('[7]Potential Stds'!$U$7:$U$150,'[7]Potential Stds'!$I$7:$I$150,Aggressive!R$17,'[7]Potential Stds'!$C$7:$C$150,"split",'[7]Potential Stds'!$A$7:$A$150,$B$34)/2</f>
        <v>830.77379999999994</v>
      </c>
    </row>
    <row r="38" spans="2:18" x14ac:dyDescent="0.3">
      <c r="B38" s="201"/>
      <c r="C38" s="192" t="s">
        <v>451</v>
      </c>
      <c r="D38" s="193">
        <f>SUMIFS('[7]Potential Stds'!$U$7:$U$150,'[7]Potential Stds'!$I$7:$I$150,Aggressive!D$17,'[7]Potential Stds'!$C$7:$C$150,Aggressive!$C38,'[7]Potential Stds'!$A$7:$A$150,$B$34)+SUMIFS('[7]Potential Stds'!$U$7:$U$150,'[7]Potential Stds'!$I$7:$I$150,Aggressive!D$17,'[7]Potential Stds'!$C$7:$C$150,"split",'[7]Potential Stds'!$A$7:$A$150,$B$34)/2</f>
        <v>0</v>
      </c>
      <c r="E38" s="193">
        <f>D38+SUMIFS('[7]Potential Stds'!$U$7:$U$150,'[7]Potential Stds'!$I$7:$I$150,Aggressive!E$17,'[7]Potential Stds'!$C$7:$C$150,Aggressive!$C38,'[7]Potential Stds'!$A$7:$A$150,$B$34)+SUMIFS('[7]Potential Stds'!$U$7:$U$150,'[7]Potential Stds'!$I$7:$I$150,Aggressive!E$17,'[7]Potential Stds'!$C$7:$C$150,"split",'[7]Potential Stds'!$A$7:$A$150,$B$34)/2</f>
        <v>0</v>
      </c>
      <c r="F38" s="193">
        <f>E38+SUMIFS('[7]Potential Stds'!$U$7:$U$150,'[7]Potential Stds'!$I$7:$I$150,Aggressive!F$17,'[7]Potential Stds'!$C$7:$C$150,Aggressive!$C38,'[7]Potential Stds'!$A$7:$A$150,$B$34)+SUMIFS('[7]Potential Stds'!$U$7:$U$150,'[7]Potential Stds'!$I$7:$I$150,Aggressive!F$17,'[7]Potential Stds'!$C$7:$C$150,"split",'[7]Potential Stds'!$A$7:$A$150,$B$34)/2</f>
        <v>0</v>
      </c>
      <c r="G38" s="193">
        <f>F38+SUMIFS('[7]Potential Stds'!$U$7:$U$150,'[7]Potential Stds'!$I$7:$I$150,Aggressive!G$17,'[7]Potential Stds'!$C$7:$C$150,Aggressive!$C38,'[7]Potential Stds'!$A$7:$A$150,$B$34)+SUMIFS('[7]Potential Stds'!$U$7:$U$150,'[7]Potential Stds'!$I$7:$I$150,Aggressive!G$17,'[7]Potential Stds'!$C$7:$C$150,"split",'[7]Potential Stds'!$A$7:$A$150,$B$34)/2</f>
        <v>0</v>
      </c>
      <c r="H38" s="193">
        <f>G38+SUMIFS('[7]Potential Stds'!$U$7:$U$150,'[7]Potential Stds'!$I$7:$I$150,Aggressive!H$17,'[7]Potential Stds'!$C$7:$C$150,Aggressive!$C38,'[7]Potential Stds'!$A$7:$A$150,$B$34)+SUMIFS('[7]Potential Stds'!$U$7:$U$150,'[7]Potential Stds'!$I$7:$I$150,Aggressive!H$17,'[7]Potential Stds'!$C$7:$C$150,"split",'[7]Potential Stds'!$A$7:$A$150,$B$34)/2</f>
        <v>0</v>
      </c>
      <c r="I38" s="193">
        <f>H38+SUMIFS('[7]Potential Stds'!$U$7:$U$150,'[7]Potential Stds'!$I$7:$I$150,Aggressive!I$17,'[7]Potential Stds'!$C$7:$C$150,Aggressive!$C38,'[7]Potential Stds'!$A$7:$A$150,$B$34)+SUMIFS('[7]Potential Stds'!$U$7:$U$150,'[7]Potential Stds'!$I$7:$I$150,Aggressive!I$17,'[7]Potential Stds'!$C$7:$C$150,"split",'[7]Potential Stds'!$A$7:$A$150,$B$34)/2</f>
        <v>0</v>
      </c>
      <c r="J38" s="193">
        <f>I38+SUMIFS('[7]Potential Stds'!$U$7:$U$150,'[7]Potential Stds'!$I$7:$I$150,Aggressive!J$17,'[7]Potential Stds'!$C$7:$C$150,Aggressive!$C38,'[7]Potential Stds'!$A$7:$A$150,$B$34)+SUMIFS('[7]Potential Stds'!$U$7:$U$150,'[7]Potential Stds'!$I$7:$I$150,Aggressive!J$17,'[7]Potential Stds'!$C$7:$C$150,"split",'[7]Potential Stds'!$A$7:$A$150,$B$34)/2</f>
        <v>0</v>
      </c>
      <c r="K38" s="193">
        <f>J38+SUMIFS('[7]Potential Stds'!$U$7:$U$150,'[7]Potential Stds'!$I$7:$I$150,Aggressive!K$17,'[7]Potential Stds'!$C$7:$C$150,Aggressive!$C38,'[7]Potential Stds'!$A$7:$A$150,$B$34)+SUMIFS('[7]Potential Stds'!$U$7:$U$150,'[7]Potential Stds'!$I$7:$I$150,Aggressive!K$17,'[7]Potential Stds'!$C$7:$C$150,"split",'[7]Potential Stds'!$A$7:$A$150,$B$34)/2</f>
        <v>0</v>
      </c>
      <c r="L38" s="193">
        <f>K38+SUMIFS('[7]Potential Stds'!$U$7:$U$150,'[7]Potential Stds'!$I$7:$I$150,Aggressive!L$17,'[7]Potential Stds'!$C$7:$C$150,Aggressive!$C38,'[7]Potential Stds'!$A$7:$A$150,$B$34)+SUMIFS('[7]Potential Stds'!$U$7:$U$150,'[7]Potential Stds'!$I$7:$I$150,Aggressive!L$17,'[7]Potential Stds'!$C$7:$C$150,"split",'[7]Potential Stds'!$A$7:$A$150,$B$34)/2</f>
        <v>0</v>
      </c>
      <c r="M38" s="193">
        <f>L38+SUMIFS('[7]Potential Stds'!$U$7:$U$150,'[7]Potential Stds'!$I$7:$I$150,Aggressive!M$17,'[7]Potential Stds'!$C$7:$C$150,Aggressive!$C38,'[7]Potential Stds'!$A$7:$A$150,$B$34)+SUMIFS('[7]Potential Stds'!$U$7:$U$150,'[7]Potential Stds'!$I$7:$I$150,Aggressive!M$17,'[7]Potential Stds'!$C$7:$C$150,"split",'[7]Potential Stds'!$A$7:$A$150,$B$34)/2</f>
        <v>0</v>
      </c>
      <c r="N38" s="193">
        <f>M38+SUMIFS('[7]Potential Stds'!$U$7:$U$150,'[7]Potential Stds'!$I$7:$I$150,Aggressive!N$17,'[7]Potential Stds'!$C$7:$C$150,Aggressive!$C38,'[7]Potential Stds'!$A$7:$A$150,$B$34)+SUMIFS('[7]Potential Stds'!$U$7:$U$150,'[7]Potential Stds'!$I$7:$I$150,Aggressive!N$17,'[7]Potential Stds'!$C$7:$C$150,"split",'[7]Potential Stds'!$A$7:$A$150,$B$34)/2</f>
        <v>28.191600000000001</v>
      </c>
      <c r="O38" s="193">
        <f>N38+SUMIFS('[7]Potential Stds'!$U$7:$U$150,'[7]Potential Stds'!$I$7:$I$150,Aggressive!O$17,'[7]Potential Stds'!$C$7:$C$150,Aggressive!$C38,'[7]Potential Stds'!$A$7:$A$150,$B$34)+SUMIFS('[7]Potential Stds'!$U$7:$U$150,'[7]Potential Stds'!$I$7:$I$150,Aggressive!O$17,'[7]Potential Stds'!$C$7:$C$150,"split",'[7]Potential Stds'!$A$7:$A$150,$B$34)/2</f>
        <v>156.81960000000001</v>
      </c>
      <c r="P38" s="193">
        <f>O38+SUMIFS('[7]Potential Stds'!$U$7:$U$150,'[7]Potential Stds'!$I$7:$I$150,Aggressive!P$17,'[7]Potential Stds'!$C$7:$C$150,Aggressive!$C38,'[7]Potential Stds'!$A$7:$A$150,$B$34)+SUMIFS('[7]Potential Stds'!$U$7:$U$150,'[7]Potential Stds'!$I$7:$I$150,Aggressive!P$17,'[7]Potential Stds'!$C$7:$C$150,"split",'[7]Potential Stds'!$A$7:$A$150,$B$34)/2</f>
        <v>341.84879999999998</v>
      </c>
      <c r="Q38" s="193">
        <f>P38+SUMIFS('[7]Potential Stds'!$U$7:$U$150,'[7]Potential Stds'!$I$7:$I$150,Aggressive!Q$17,'[7]Potential Stds'!$C$7:$C$150,Aggressive!$C38,'[7]Potential Stds'!$A$7:$A$150,$B$34)+SUMIFS('[7]Potential Stds'!$U$7:$U$150,'[7]Potential Stds'!$I$7:$I$150,Aggressive!Q$17,'[7]Potential Stds'!$C$7:$C$150,"split",'[7]Potential Stds'!$A$7:$A$150,$B$34)/2</f>
        <v>398.13839999999999</v>
      </c>
      <c r="R38" s="193">
        <f>Q38+SUMIFS('[7]Potential Stds'!$U$7:$U$150,'[7]Potential Stds'!$I$7:$I$150,Aggressive!R$17,'[7]Potential Stds'!$C$7:$C$150,Aggressive!$C38,'[7]Potential Stds'!$A$7:$A$150,$B$34)+SUMIFS('[7]Potential Stds'!$U$7:$U$150,'[7]Potential Stds'!$I$7:$I$150,Aggressive!R$17,'[7]Potential Stds'!$C$7:$C$150,"split",'[7]Potential Stds'!$A$7:$A$150,$B$34)/2</f>
        <v>438.48360000000002</v>
      </c>
    </row>
    <row r="39" spans="2:18" x14ac:dyDescent="0.3">
      <c r="B39" s="202"/>
      <c r="C39" s="192"/>
      <c r="D39" s="193"/>
      <c r="E39" s="193"/>
      <c r="F39" s="193"/>
      <c r="G39" s="193"/>
      <c r="H39" s="193"/>
      <c r="I39" s="193"/>
      <c r="J39" s="193"/>
      <c r="K39" s="193"/>
      <c r="L39" s="193"/>
      <c r="M39" s="193"/>
      <c r="N39" s="193"/>
      <c r="O39" s="193"/>
      <c r="P39" s="193"/>
      <c r="Q39" s="193"/>
      <c r="R39" s="193"/>
    </row>
    <row r="40" spans="2:18" x14ac:dyDescent="0.3">
      <c r="B40" s="201" t="s">
        <v>879</v>
      </c>
      <c r="C40" s="192" t="s">
        <v>440</v>
      </c>
      <c r="D40" s="193">
        <f>SUMIFS('[7]Potential Stds'!$V$7:$V$150,'[7]Potential Stds'!$I$7:$I$150,Aggressive!D$17,'[7]Potential Stds'!$C$7:$C$150,Aggressive!$C40,'[7]Potential Stds'!$A$7:$A$150,$B$34)+SUMIFS('[7]Potential Stds'!$V$7:$V$150,'[7]Potential Stds'!$I$7:$I$150,Aggressive!D$17,'[7]Potential Stds'!$C$7:$C$150,"split",'[7]Potential Stds'!$A$7:$A$150,$B$34)/2</f>
        <v>0</v>
      </c>
      <c r="E40" s="193">
        <f>D40+SUMIFS('[7]Potential Stds'!$V$7:$V$150,'[7]Potential Stds'!$I$7:$I$150,Aggressive!E$17,'[7]Potential Stds'!$C$7:$C$150,Aggressive!$C40,'[7]Potential Stds'!$A$7:$A$150,$B$34)+SUMIFS('[7]Potential Stds'!$V$7:$V$150,'[7]Potential Stds'!$I$7:$I$150,Aggressive!E$17,'[7]Potential Stds'!$C$7:$C$150,"split",'[7]Potential Stds'!$A$7:$A$150,$B$34)/2</f>
        <v>0</v>
      </c>
      <c r="F40" s="193">
        <f>E40+SUMIFS('[7]Potential Stds'!$V$7:$V$150,'[7]Potential Stds'!$I$7:$I$150,Aggressive!F$17,'[7]Potential Stds'!$C$7:$C$150,Aggressive!$C40,'[7]Potential Stds'!$A$7:$A$150,$B$34)+SUMIFS('[7]Potential Stds'!$V$7:$V$150,'[7]Potential Stds'!$I$7:$I$150,Aggressive!F$17,'[7]Potential Stds'!$C$7:$C$150,"split",'[7]Potential Stds'!$A$7:$A$150,$B$34)/2</f>
        <v>0</v>
      </c>
      <c r="G40" s="193">
        <f>F40+SUMIFS('[7]Potential Stds'!$V$7:$V$150,'[7]Potential Stds'!$I$7:$I$150,Aggressive!G$17,'[7]Potential Stds'!$C$7:$C$150,Aggressive!$C40,'[7]Potential Stds'!$A$7:$A$150,$B$34)+SUMIFS('[7]Potential Stds'!$V$7:$V$150,'[7]Potential Stds'!$I$7:$I$150,Aggressive!G$17,'[7]Potential Stds'!$C$7:$C$150,"split",'[7]Potential Stds'!$A$7:$A$150,$B$34)/2</f>
        <v>0</v>
      </c>
      <c r="H40" s="193">
        <f>G40+SUMIFS('[7]Potential Stds'!$V$7:$V$150,'[7]Potential Stds'!$I$7:$I$150,Aggressive!H$17,'[7]Potential Stds'!$C$7:$C$150,Aggressive!$C40,'[7]Potential Stds'!$A$7:$A$150,$B$34)+SUMIFS('[7]Potential Stds'!$V$7:$V$150,'[7]Potential Stds'!$I$7:$I$150,Aggressive!H$17,'[7]Potential Stds'!$C$7:$C$150,"split",'[7]Potential Stds'!$A$7:$A$150,$B$34)/2</f>
        <v>0</v>
      </c>
      <c r="I40" s="193">
        <f>H40+SUMIFS('[7]Potential Stds'!$V$7:$V$150,'[7]Potential Stds'!$I$7:$I$150,Aggressive!I$17,'[7]Potential Stds'!$C$7:$C$150,Aggressive!$C40,'[7]Potential Stds'!$A$7:$A$150,$B$34)+SUMIFS('[7]Potential Stds'!$V$7:$V$150,'[7]Potential Stds'!$I$7:$I$150,Aggressive!I$17,'[7]Potential Stds'!$C$7:$C$150,"split",'[7]Potential Stds'!$A$7:$A$150,$B$34)/2</f>
        <v>0</v>
      </c>
      <c r="J40" s="193">
        <f>I40+SUMIFS('[7]Potential Stds'!$V$7:$V$150,'[7]Potential Stds'!$I$7:$I$150,Aggressive!J$17,'[7]Potential Stds'!$C$7:$C$150,Aggressive!$C40,'[7]Potential Stds'!$A$7:$A$150,$B$34)+SUMIFS('[7]Potential Stds'!$V$7:$V$150,'[7]Potential Stds'!$I$7:$I$150,Aggressive!J$17,'[7]Potential Stds'!$C$7:$C$150,"split",'[7]Potential Stds'!$A$7:$A$150,$B$34)/2</f>
        <v>0</v>
      </c>
      <c r="K40" s="193">
        <f>J40+SUMIFS('[7]Potential Stds'!$V$7:$V$150,'[7]Potential Stds'!$I$7:$I$150,Aggressive!K$17,'[7]Potential Stds'!$C$7:$C$150,Aggressive!$C40,'[7]Potential Stds'!$A$7:$A$150,$B$34)+SUMIFS('[7]Potential Stds'!$V$7:$V$150,'[7]Potential Stds'!$I$7:$I$150,Aggressive!K$17,'[7]Potential Stds'!$C$7:$C$150,"split",'[7]Potential Stds'!$A$7:$A$150,$B$34)/2</f>
        <v>0</v>
      </c>
      <c r="L40" s="193">
        <f>K40+SUMIFS('[7]Potential Stds'!$V$7:$V$150,'[7]Potential Stds'!$I$7:$I$150,Aggressive!L$17,'[7]Potential Stds'!$C$7:$C$150,Aggressive!$C40,'[7]Potential Stds'!$A$7:$A$150,$B$34)+SUMIFS('[7]Potential Stds'!$V$7:$V$150,'[7]Potential Stds'!$I$7:$I$150,Aggressive!L$17,'[7]Potential Stds'!$C$7:$C$150,"split",'[7]Potential Stds'!$A$7:$A$150,$B$34)/2</f>
        <v>0</v>
      </c>
      <c r="M40" s="193">
        <f>L40+SUMIFS('[7]Potential Stds'!$V$7:$V$150,'[7]Potential Stds'!$I$7:$I$150,Aggressive!M$17,'[7]Potential Stds'!$C$7:$C$150,Aggressive!$C40,'[7]Potential Stds'!$A$7:$A$150,$B$34)+SUMIFS('[7]Potential Stds'!$V$7:$V$150,'[7]Potential Stds'!$I$7:$I$150,Aggressive!M$17,'[7]Potential Stds'!$C$7:$C$150,"split",'[7]Potential Stds'!$A$7:$A$150,$B$34)/2</f>
        <v>1.458</v>
      </c>
      <c r="N40" s="193">
        <f>M40+SUMIFS('[7]Potential Stds'!$V$7:$V$150,'[7]Potential Stds'!$I$7:$I$150,Aggressive!N$17,'[7]Potential Stds'!$C$7:$C$150,Aggressive!$C40,'[7]Potential Stds'!$A$7:$A$150,$B$34)+SUMIFS('[7]Potential Stds'!$V$7:$V$150,'[7]Potential Stds'!$I$7:$I$150,Aggressive!N$17,'[7]Potential Stds'!$C$7:$C$150,"split",'[7]Potential Stds'!$A$7:$A$150,$B$34)/2</f>
        <v>17.739000000000001</v>
      </c>
      <c r="O40" s="193">
        <f>N40+SUMIFS('[7]Potential Stds'!$V$7:$V$150,'[7]Potential Stds'!$I$7:$I$150,Aggressive!O$17,'[7]Potential Stds'!$C$7:$C$150,Aggressive!$C40,'[7]Potential Stds'!$A$7:$A$150,$B$34)+SUMIFS('[7]Potential Stds'!$V$7:$V$150,'[7]Potential Stds'!$I$7:$I$150,Aggressive!O$17,'[7]Potential Stds'!$C$7:$C$150,"split",'[7]Potential Stds'!$A$7:$A$150,$B$34)/2</f>
        <v>19.629000000000001</v>
      </c>
      <c r="P40" s="193">
        <f>O40+SUMIFS('[7]Potential Stds'!$V$7:$V$150,'[7]Potential Stds'!$I$7:$I$150,Aggressive!P$17,'[7]Potential Stds'!$C$7:$C$150,Aggressive!$C40,'[7]Potential Stds'!$A$7:$A$150,$B$34)+SUMIFS('[7]Potential Stds'!$V$7:$V$150,'[7]Potential Stds'!$I$7:$I$150,Aggressive!P$17,'[7]Potential Stds'!$C$7:$C$150,"split",'[7]Potential Stds'!$A$7:$A$150,$B$34)/2</f>
        <v>19.629000000000001</v>
      </c>
      <c r="Q40" s="193">
        <f>P40+SUMIFS('[7]Potential Stds'!$V$7:$V$150,'[7]Potential Stds'!$I$7:$I$150,Aggressive!Q$17,'[7]Potential Stds'!$C$7:$C$150,Aggressive!$C40,'[7]Potential Stds'!$A$7:$A$150,$B$34)+SUMIFS('[7]Potential Stds'!$V$7:$V$150,'[7]Potential Stds'!$I$7:$I$150,Aggressive!Q$17,'[7]Potential Stds'!$C$7:$C$150,"split",'[7]Potential Stds'!$A$7:$A$150,$B$34)/2</f>
        <v>19.629000000000001</v>
      </c>
      <c r="R40" s="193">
        <f>Q40+SUMIFS('[7]Potential Stds'!$V$7:$V$150,'[7]Potential Stds'!$I$7:$I$150,Aggressive!R$17,'[7]Potential Stds'!$C$7:$C$150,Aggressive!$C40,'[7]Potential Stds'!$A$7:$A$150,$B$34)+SUMIFS('[7]Potential Stds'!$V$7:$V$150,'[7]Potential Stds'!$I$7:$I$150,Aggressive!R$17,'[7]Potential Stds'!$C$7:$C$150,"split",'[7]Potential Stds'!$A$7:$A$150,$B$34)/2</f>
        <v>19.629000000000001</v>
      </c>
    </row>
    <row r="41" spans="2:18" x14ac:dyDescent="0.3">
      <c r="B41" s="201"/>
      <c r="C41" s="192" t="s">
        <v>451</v>
      </c>
      <c r="D41" s="193">
        <f>SUMIFS('[7]Potential Stds'!$V$7:$V$150,'[7]Potential Stds'!$I$7:$I$150,Aggressive!D$17,'[7]Potential Stds'!$C$7:$C$150,Aggressive!$C41,'[7]Potential Stds'!$A$7:$A$150,$B$34)+SUMIFS('[7]Potential Stds'!$V$7:$V$150,'[7]Potential Stds'!$I$7:$I$150,Aggressive!D$17,'[7]Potential Stds'!$C$7:$C$150,"split",'[7]Potential Stds'!$A$7:$A$150,$B$34)/2</f>
        <v>0</v>
      </c>
      <c r="E41" s="193">
        <f>D41+SUMIFS('[7]Potential Stds'!$V$7:$V$150,'[7]Potential Stds'!$I$7:$I$150,Aggressive!E$17,'[7]Potential Stds'!$C$7:$C$150,Aggressive!$C41,'[7]Potential Stds'!$A$7:$A$150,$B$34)+SUMIFS('[7]Potential Stds'!$V$7:$V$150,'[7]Potential Stds'!$I$7:$I$150,Aggressive!E$17,'[7]Potential Stds'!$C$7:$C$150,"split",'[7]Potential Stds'!$A$7:$A$150,$B$34)/2</f>
        <v>0</v>
      </c>
      <c r="F41" s="193">
        <f>E41+SUMIFS('[7]Potential Stds'!$V$7:$V$150,'[7]Potential Stds'!$I$7:$I$150,Aggressive!F$17,'[7]Potential Stds'!$C$7:$C$150,Aggressive!$C41,'[7]Potential Stds'!$A$7:$A$150,$B$34)+SUMIFS('[7]Potential Stds'!$V$7:$V$150,'[7]Potential Stds'!$I$7:$I$150,Aggressive!F$17,'[7]Potential Stds'!$C$7:$C$150,"split",'[7]Potential Stds'!$A$7:$A$150,$B$34)/2</f>
        <v>0</v>
      </c>
      <c r="G41" s="193">
        <f>F41+SUMIFS('[7]Potential Stds'!$V$7:$V$150,'[7]Potential Stds'!$I$7:$I$150,Aggressive!G$17,'[7]Potential Stds'!$C$7:$C$150,Aggressive!$C41,'[7]Potential Stds'!$A$7:$A$150,$B$34)+SUMIFS('[7]Potential Stds'!$V$7:$V$150,'[7]Potential Stds'!$I$7:$I$150,Aggressive!G$17,'[7]Potential Stds'!$C$7:$C$150,"split",'[7]Potential Stds'!$A$7:$A$150,$B$34)/2</f>
        <v>0</v>
      </c>
      <c r="H41" s="193">
        <f>G41+SUMIFS('[7]Potential Stds'!$V$7:$V$150,'[7]Potential Stds'!$I$7:$I$150,Aggressive!H$17,'[7]Potential Stds'!$C$7:$C$150,Aggressive!$C41,'[7]Potential Stds'!$A$7:$A$150,$B$34)+SUMIFS('[7]Potential Stds'!$V$7:$V$150,'[7]Potential Stds'!$I$7:$I$150,Aggressive!H$17,'[7]Potential Stds'!$C$7:$C$150,"split",'[7]Potential Stds'!$A$7:$A$150,$B$34)/2</f>
        <v>0</v>
      </c>
      <c r="I41" s="193">
        <f>H41+SUMIFS('[7]Potential Stds'!$V$7:$V$150,'[7]Potential Stds'!$I$7:$I$150,Aggressive!I$17,'[7]Potential Stds'!$C$7:$C$150,Aggressive!$C41,'[7]Potential Stds'!$A$7:$A$150,$B$34)+SUMIFS('[7]Potential Stds'!$V$7:$V$150,'[7]Potential Stds'!$I$7:$I$150,Aggressive!I$17,'[7]Potential Stds'!$C$7:$C$150,"split",'[7]Potential Stds'!$A$7:$A$150,$B$34)/2</f>
        <v>0</v>
      </c>
      <c r="J41" s="193">
        <f>I41+SUMIFS('[7]Potential Stds'!$V$7:$V$150,'[7]Potential Stds'!$I$7:$I$150,Aggressive!J$17,'[7]Potential Stds'!$C$7:$C$150,Aggressive!$C41,'[7]Potential Stds'!$A$7:$A$150,$B$34)+SUMIFS('[7]Potential Stds'!$V$7:$V$150,'[7]Potential Stds'!$I$7:$I$150,Aggressive!J$17,'[7]Potential Stds'!$C$7:$C$150,"split",'[7]Potential Stds'!$A$7:$A$150,$B$34)/2</f>
        <v>0</v>
      </c>
      <c r="K41" s="193">
        <f>J41+SUMIFS('[7]Potential Stds'!$V$7:$V$150,'[7]Potential Stds'!$I$7:$I$150,Aggressive!K$17,'[7]Potential Stds'!$C$7:$C$150,Aggressive!$C41,'[7]Potential Stds'!$A$7:$A$150,$B$34)+SUMIFS('[7]Potential Stds'!$V$7:$V$150,'[7]Potential Stds'!$I$7:$I$150,Aggressive!K$17,'[7]Potential Stds'!$C$7:$C$150,"split",'[7]Potential Stds'!$A$7:$A$150,$B$34)/2</f>
        <v>0</v>
      </c>
      <c r="L41" s="193">
        <f>K41+SUMIFS('[7]Potential Stds'!$V$7:$V$150,'[7]Potential Stds'!$I$7:$I$150,Aggressive!L$17,'[7]Potential Stds'!$C$7:$C$150,Aggressive!$C41,'[7]Potential Stds'!$A$7:$A$150,$B$34)+SUMIFS('[7]Potential Stds'!$V$7:$V$150,'[7]Potential Stds'!$I$7:$I$150,Aggressive!L$17,'[7]Potential Stds'!$C$7:$C$150,"split",'[7]Potential Stds'!$A$7:$A$150,$B$34)/2</f>
        <v>0</v>
      </c>
      <c r="M41" s="193">
        <f>L41+SUMIFS('[7]Potential Stds'!$V$7:$V$150,'[7]Potential Stds'!$I$7:$I$150,Aggressive!M$17,'[7]Potential Stds'!$C$7:$C$150,Aggressive!$C41,'[7]Potential Stds'!$A$7:$A$150,$B$34)+SUMIFS('[7]Potential Stds'!$V$7:$V$150,'[7]Potential Stds'!$I$7:$I$150,Aggressive!M$17,'[7]Potential Stds'!$C$7:$C$150,"split",'[7]Potential Stds'!$A$7:$A$150,$B$34)/2</f>
        <v>0</v>
      </c>
      <c r="N41" s="193">
        <f>M41+SUMIFS('[7]Potential Stds'!$V$7:$V$150,'[7]Potential Stds'!$I$7:$I$150,Aggressive!N$17,'[7]Potential Stds'!$C$7:$C$150,Aggressive!$C41,'[7]Potential Stds'!$A$7:$A$150,$B$34)+SUMIFS('[7]Potential Stds'!$V$7:$V$150,'[7]Potential Stds'!$I$7:$I$150,Aggressive!N$17,'[7]Potential Stds'!$C$7:$C$150,"split",'[7]Potential Stds'!$A$7:$A$150,$B$34)/2</f>
        <v>0</v>
      </c>
      <c r="O41" s="193">
        <f>N41+SUMIFS('[7]Potential Stds'!$V$7:$V$150,'[7]Potential Stds'!$I$7:$I$150,Aggressive!O$17,'[7]Potential Stds'!$C$7:$C$150,Aggressive!$C41,'[7]Potential Stds'!$A$7:$A$150,$B$34)+SUMIFS('[7]Potential Stds'!$V$7:$V$150,'[7]Potential Stds'!$I$7:$I$150,Aggressive!O$17,'[7]Potential Stds'!$C$7:$C$150,"split",'[7]Potential Stds'!$A$7:$A$150,$B$34)/2</f>
        <v>0</v>
      </c>
      <c r="P41" s="193">
        <f>O41+SUMIFS('[7]Potential Stds'!$V$7:$V$150,'[7]Potential Stds'!$I$7:$I$150,Aggressive!P$17,'[7]Potential Stds'!$C$7:$C$150,Aggressive!$C41,'[7]Potential Stds'!$A$7:$A$150,$B$34)+SUMIFS('[7]Potential Stds'!$V$7:$V$150,'[7]Potential Stds'!$I$7:$I$150,Aggressive!P$17,'[7]Potential Stds'!$C$7:$C$150,"split",'[7]Potential Stds'!$A$7:$A$150,$B$34)/2</f>
        <v>0</v>
      </c>
      <c r="Q41" s="193">
        <f>P41+SUMIFS('[7]Potential Stds'!$V$7:$V$150,'[7]Potential Stds'!$I$7:$I$150,Aggressive!Q$17,'[7]Potential Stds'!$C$7:$C$150,Aggressive!$C41,'[7]Potential Stds'!$A$7:$A$150,$B$34)+SUMIFS('[7]Potential Stds'!$V$7:$V$150,'[7]Potential Stds'!$I$7:$I$150,Aggressive!Q$17,'[7]Potential Stds'!$C$7:$C$150,"split",'[7]Potential Stds'!$A$7:$A$150,$B$34)/2</f>
        <v>1.8000000000000002E-2</v>
      </c>
      <c r="R41" s="193">
        <f>Q41+SUMIFS('[7]Potential Stds'!$V$7:$V$150,'[7]Potential Stds'!$I$7:$I$150,Aggressive!R$17,'[7]Potential Stds'!$C$7:$C$150,Aggressive!$C41,'[7]Potential Stds'!$A$7:$A$150,$B$34)+SUMIFS('[7]Potential Stds'!$V$7:$V$150,'[7]Potential Stds'!$I$7:$I$150,Aggressive!R$17,'[7]Potential Stds'!$C$7:$C$150,"split",'[7]Potential Stds'!$A$7:$A$150,$B$34)/2</f>
        <v>3.1139999999999999</v>
      </c>
    </row>
    <row r="42" spans="2:18" x14ac:dyDescent="0.3">
      <c r="B42" s="197"/>
      <c r="C42" s="23"/>
      <c r="D42" s="191"/>
      <c r="E42" s="191"/>
      <c r="F42" s="191"/>
      <c r="G42" s="191"/>
      <c r="H42" s="191"/>
      <c r="I42" s="191"/>
      <c r="J42" s="191"/>
      <c r="K42" s="191"/>
      <c r="L42" s="191"/>
      <c r="M42" s="191"/>
      <c r="N42" s="191"/>
      <c r="O42" s="191"/>
      <c r="P42" s="191"/>
      <c r="Q42" s="191"/>
      <c r="R42" s="191"/>
    </row>
    <row r="43" spans="2:18" x14ac:dyDescent="0.3">
      <c r="B43" s="197"/>
      <c r="C43" s="23"/>
      <c r="D43" s="23"/>
      <c r="E43" s="23"/>
      <c r="F43" s="23"/>
      <c r="G43" s="23"/>
      <c r="H43" s="23"/>
      <c r="I43" s="23"/>
      <c r="J43" s="23"/>
      <c r="K43" s="23"/>
      <c r="L43" s="23"/>
      <c r="M43" s="23"/>
      <c r="N43" s="23"/>
      <c r="O43" s="23"/>
      <c r="P43" s="23"/>
      <c r="Q43" s="23"/>
      <c r="R43" s="23"/>
    </row>
    <row r="44" spans="2:18" x14ac:dyDescent="0.3">
      <c r="B44" s="197" t="s">
        <v>462</v>
      </c>
      <c r="C44" s="23"/>
      <c r="D44" s="23"/>
      <c r="E44" s="23"/>
      <c r="F44" s="23"/>
      <c r="G44" s="23"/>
      <c r="H44" s="23"/>
      <c r="I44" s="23"/>
      <c r="J44" s="23"/>
      <c r="K44" s="23"/>
      <c r="L44" s="23"/>
      <c r="M44" s="23"/>
      <c r="N44" s="23"/>
      <c r="O44" s="23"/>
      <c r="P44" s="23"/>
      <c r="Q44" s="23"/>
      <c r="R44" s="23"/>
    </row>
    <row r="45" spans="2:18" x14ac:dyDescent="0.3">
      <c r="B45" s="197"/>
      <c r="C45" s="23"/>
      <c r="D45" s="23"/>
      <c r="E45" s="23"/>
      <c r="F45" s="23"/>
      <c r="G45" s="46"/>
      <c r="H45" s="46"/>
      <c r="I45" s="46"/>
      <c r="J45" s="46"/>
      <c r="K45" s="46"/>
      <c r="L45" s="46"/>
      <c r="M45" s="46"/>
      <c r="N45" s="46"/>
      <c r="O45" s="46"/>
      <c r="P45" s="46"/>
      <c r="Q45" s="46"/>
      <c r="R45" s="46"/>
    </row>
    <row r="46" spans="2:18" x14ac:dyDescent="0.3">
      <c r="B46" s="197"/>
      <c r="C46" s="23"/>
      <c r="D46" s="23">
        <v>2015</v>
      </c>
      <c r="E46" s="23">
        <v>2016</v>
      </c>
      <c r="F46" s="23">
        <v>2017</v>
      </c>
      <c r="G46" s="23">
        <v>2018</v>
      </c>
      <c r="H46" s="23">
        <v>2019</v>
      </c>
      <c r="I46" s="23">
        <v>2020</v>
      </c>
      <c r="J46" s="23">
        <v>2021</v>
      </c>
      <c r="K46" s="23">
        <v>2022</v>
      </c>
      <c r="L46" s="23">
        <v>2023</v>
      </c>
      <c r="M46" s="23">
        <v>2024</v>
      </c>
      <c r="N46" s="23">
        <v>2025</v>
      </c>
      <c r="O46" s="23">
        <v>2026</v>
      </c>
      <c r="P46" s="23">
        <v>2027</v>
      </c>
      <c r="Q46" s="23">
        <v>2028</v>
      </c>
      <c r="R46" s="23">
        <v>2029</v>
      </c>
    </row>
    <row r="47" spans="2:18" x14ac:dyDescent="0.3">
      <c r="B47" s="203" t="s">
        <v>876</v>
      </c>
      <c r="C47" s="192" t="s">
        <v>440</v>
      </c>
      <c r="D47" s="193">
        <f>D37</f>
        <v>0</v>
      </c>
      <c r="E47" s="193">
        <f>D47+E37</f>
        <v>0</v>
      </c>
      <c r="F47" s="193">
        <f t="shared" ref="F47:R47" si="0">E47+F37</f>
        <v>0</v>
      </c>
      <c r="G47" s="193">
        <f t="shared" si="0"/>
        <v>0</v>
      </c>
      <c r="H47" s="193">
        <f t="shared" si="0"/>
        <v>0</v>
      </c>
      <c r="I47" s="193">
        <f t="shared" si="0"/>
        <v>0</v>
      </c>
      <c r="J47" s="193">
        <f t="shared" si="0"/>
        <v>0</v>
      </c>
      <c r="K47" s="193">
        <f t="shared" si="0"/>
        <v>0</v>
      </c>
      <c r="L47" s="193">
        <f t="shared" si="0"/>
        <v>0</v>
      </c>
      <c r="M47" s="193">
        <f t="shared" si="0"/>
        <v>26.928000000000004</v>
      </c>
      <c r="N47" s="193">
        <f t="shared" si="0"/>
        <v>619.99739999999997</v>
      </c>
      <c r="O47" s="193">
        <f t="shared" si="0"/>
        <v>1406.9268</v>
      </c>
      <c r="P47" s="193">
        <f t="shared" si="0"/>
        <v>2204.4762000000001</v>
      </c>
      <c r="Q47" s="193">
        <f t="shared" si="0"/>
        <v>3002.0255999999999</v>
      </c>
      <c r="R47" s="193">
        <f t="shared" si="0"/>
        <v>3832.7993999999999</v>
      </c>
    </row>
    <row r="48" spans="2:18" x14ac:dyDescent="0.3">
      <c r="B48" s="203"/>
      <c r="C48" s="192" t="s">
        <v>451</v>
      </c>
      <c r="D48" s="193">
        <f>D38</f>
        <v>0</v>
      </c>
      <c r="E48" s="193">
        <f t="shared" ref="E48:R48" si="1">D48+E38</f>
        <v>0</v>
      </c>
      <c r="F48" s="193">
        <f t="shared" si="1"/>
        <v>0</v>
      </c>
      <c r="G48" s="193">
        <f t="shared" si="1"/>
        <v>0</v>
      </c>
      <c r="H48" s="193">
        <f t="shared" si="1"/>
        <v>0</v>
      </c>
      <c r="I48" s="193">
        <f t="shared" si="1"/>
        <v>0</v>
      </c>
      <c r="J48" s="193">
        <f t="shared" si="1"/>
        <v>0</v>
      </c>
      <c r="K48" s="193">
        <f t="shared" si="1"/>
        <v>0</v>
      </c>
      <c r="L48" s="193">
        <f t="shared" si="1"/>
        <v>0</v>
      </c>
      <c r="M48" s="193">
        <f t="shared" si="1"/>
        <v>0</v>
      </c>
      <c r="N48" s="193">
        <f t="shared" si="1"/>
        <v>28.191600000000001</v>
      </c>
      <c r="O48" s="193">
        <f t="shared" si="1"/>
        <v>185.0112</v>
      </c>
      <c r="P48" s="193">
        <f t="shared" si="1"/>
        <v>526.86</v>
      </c>
      <c r="Q48" s="193">
        <f t="shared" si="1"/>
        <v>924.99839999999995</v>
      </c>
      <c r="R48" s="193">
        <f t="shared" si="1"/>
        <v>1363.482</v>
      </c>
    </row>
    <row r="49" spans="2:18" x14ac:dyDescent="0.3">
      <c r="B49" s="202"/>
      <c r="C49" s="192"/>
      <c r="D49" s="193"/>
      <c r="E49" s="193">
        <f t="shared" ref="E49:R49" si="2">D49+E39</f>
        <v>0</v>
      </c>
      <c r="F49" s="193">
        <f t="shared" si="2"/>
        <v>0</v>
      </c>
      <c r="G49" s="193">
        <f t="shared" si="2"/>
        <v>0</v>
      </c>
      <c r="H49" s="193">
        <f t="shared" si="2"/>
        <v>0</v>
      </c>
      <c r="I49" s="193">
        <f t="shared" si="2"/>
        <v>0</v>
      </c>
      <c r="J49" s="193">
        <f t="shared" si="2"/>
        <v>0</v>
      </c>
      <c r="K49" s="193">
        <f t="shared" si="2"/>
        <v>0</v>
      </c>
      <c r="L49" s="193">
        <f t="shared" si="2"/>
        <v>0</v>
      </c>
      <c r="M49" s="193">
        <f t="shared" si="2"/>
        <v>0</v>
      </c>
      <c r="N49" s="193">
        <f t="shared" si="2"/>
        <v>0</v>
      </c>
      <c r="O49" s="193">
        <f t="shared" si="2"/>
        <v>0</v>
      </c>
      <c r="P49" s="193">
        <f t="shared" si="2"/>
        <v>0</v>
      </c>
      <c r="Q49" s="193">
        <f t="shared" si="2"/>
        <v>0</v>
      </c>
      <c r="R49" s="193">
        <f t="shared" si="2"/>
        <v>0</v>
      </c>
    </row>
    <row r="50" spans="2:18" x14ac:dyDescent="0.3">
      <c r="B50" s="203" t="s">
        <v>877</v>
      </c>
      <c r="C50" s="192" t="s">
        <v>440</v>
      </c>
      <c r="D50" s="193">
        <f>D40</f>
        <v>0</v>
      </c>
      <c r="E50" s="193">
        <f t="shared" ref="E50:R50" si="3">D50+E40</f>
        <v>0</v>
      </c>
      <c r="F50" s="193">
        <f t="shared" si="3"/>
        <v>0</v>
      </c>
      <c r="G50" s="193">
        <f t="shared" si="3"/>
        <v>0</v>
      </c>
      <c r="H50" s="193">
        <f t="shared" si="3"/>
        <v>0</v>
      </c>
      <c r="I50" s="193">
        <f t="shared" si="3"/>
        <v>0</v>
      </c>
      <c r="J50" s="193">
        <f t="shared" si="3"/>
        <v>0</v>
      </c>
      <c r="K50" s="193">
        <f t="shared" si="3"/>
        <v>0</v>
      </c>
      <c r="L50" s="193">
        <f t="shared" si="3"/>
        <v>0</v>
      </c>
      <c r="M50" s="193">
        <f t="shared" si="3"/>
        <v>1.458</v>
      </c>
      <c r="N50" s="193">
        <f t="shared" si="3"/>
        <v>19.196999999999999</v>
      </c>
      <c r="O50" s="193">
        <f t="shared" si="3"/>
        <v>38.826000000000001</v>
      </c>
      <c r="P50" s="193">
        <f t="shared" si="3"/>
        <v>58.454999999999998</v>
      </c>
      <c r="Q50" s="193">
        <f t="shared" si="3"/>
        <v>78.084000000000003</v>
      </c>
      <c r="R50" s="193">
        <f t="shared" si="3"/>
        <v>97.713000000000008</v>
      </c>
    </row>
    <row r="51" spans="2:18" x14ac:dyDescent="0.3">
      <c r="B51" s="203"/>
      <c r="C51" s="192" t="s">
        <v>451</v>
      </c>
      <c r="D51" s="193">
        <f>D41</f>
        <v>0</v>
      </c>
      <c r="E51" s="193">
        <f t="shared" ref="E51:R51" si="4">D51+E41</f>
        <v>0</v>
      </c>
      <c r="F51" s="193">
        <f t="shared" si="4"/>
        <v>0</v>
      </c>
      <c r="G51" s="193">
        <f t="shared" si="4"/>
        <v>0</v>
      </c>
      <c r="H51" s="193">
        <f t="shared" si="4"/>
        <v>0</v>
      </c>
      <c r="I51" s="193">
        <f t="shared" si="4"/>
        <v>0</v>
      </c>
      <c r="J51" s="193">
        <f t="shared" si="4"/>
        <v>0</v>
      </c>
      <c r="K51" s="193">
        <f t="shared" si="4"/>
        <v>0</v>
      </c>
      <c r="L51" s="193">
        <f t="shared" si="4"/>
        <v>0</v>
      </c>
      <c r="M51" s="193">
        <f t="shared" si="4"/>
        <v>0</v>
      </c>
      <c r="N51" s="193">
        <f t="shared" si="4"/>
        <v>0</v>
      </c>
      <c r="O51" s="193">
        <f t="shared" si="4"/>
        <v>0</v>
      </c>
      <c r="P51" s="193">
        <f t="shared" si="4"/>
        <v>0</v>
      </c>
      <c r="Q51" s="193">
        <f t="shared" si="4"/>
        <v>1.8000000000000002E-2</v>
      </c>
      <c r="R51" s="193">
        <f t="shared" si="4"/>
        <v>3.1319999999999997</v>
      </c>
    </row>
  </sheetData>
  <mergeCells count="8">
    <mergeCell ref="B40:B41"/>
    <mergeCell ref="B47:B48"/>
    <mergeCell ref="B50:B51"/>
    <mergeCell ref="B18:B19"/>
    <mergeCell ref="B21:B22"/>
    <mergeCell ref="B28:B29"/>
    <mergeCell ref="B31:B32"/>
    <mergeCell ref="B37:B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V201"/>
  <sheetViews>
    <sheetView windowProtection="1" workbookViewId="0">
      <pane ySplit="2" topLeftCell="A3" activePane="bottomLeft" state="frozen"/>
      <selection activeCell="D31" sqref="D31"/>
      <selection pane="bottomLeft" activeCell="D31" sqref="D31"/>
    </sheetView>
  </sheetViews>
  <sheetFormatPr defaultRowHeight="14.4" x14ac:dyDescent="0.3"/>
  <cols>
    <col min="1" max="1" width="13.88671875" bestFit="1" customWidth="1"/>
    <col min="2" max="2" width="80.6640625" bestFit="1" customWidth="1"/>
    <col min="3" max="3" width="14.44140625" bestFit="1" customWidth="1"/>
    <col min="4" max="4" width="25" style="3" bestFit="1" customWidth="1"/>
    <col min="5" max="5" width="13.5546875" bestFit="1" customWidth="1"/>
    <col min="6" max="6" width="13.6640625" bestFit="1" customWidth="1"/>
    <col min="7" max="7" width="13.6640625" customWidth="1"/>
    <col min="8" max="8" width="19.109375" bestFit="1" customWidth="1"/>
    <col min="9" max="9" width="16.109375" bestFit="1" customWidth="1"/>
    <col min="10" max="10" width="13.6640625" customWidth="1"/>
    <col min="11" max="20" width="18.44140625" customWidth="1"/>
  </cols>
  <sheetData>
    <row r="1" spans="1:22" x14ac:dyDescent="0.3">
      <c r="A1" t="s">
        <v>714</v>
      </c>
      <c r="I1">
        <f>COUNTIF(I3:I137,"yes")</f>
        <v>19</v>
      </c>
      <c r="K1" t="s">
        <v>155</v>
      </c>
      <c r="L1" t="s">
        <v>156</v>
      </c>
      <c r="S1" t="s">
        <v>157</v>
      </c>
    </row>
    <row r="2" spans="1:22" ht="57.6" x14ac:dyDescent="0.3">
      <c r="A2" s="2" t="s">
        <v>0</v>
      </c>
      <c r="B2" s="2" t="s">
        <v>1</v>
      </c>
      <c r="C2" s="2" t="s">
        <v>369</v>
      </c>
      <c r="D2" s="4" t="s">
        <v>132</v>
      </c>
      <c r="E2" s="2" t="s">
        <v>2</v>
      </c>
      <c r="F2" s="7" t="s">
        <v>715</v>
      </c>
      <c r="G2" s="2" t="s">
        <v>181</v>
      </c>
      <c r="H2" s="2" t="s">
        <v>232</v>
      </c>
      <c r="I2" s="7" t="s">
        <v>242</v>
      </c>
      <c r="J2" s="7" t="s">
        <v>238</v>
      </c>
      <c r="K2" s="7" t="s">
        <v>133</v>
      </c>
      <c r="L2" s="7" t="s">
        <v>134</v>
      </c>
      <c r="M2" s="7" t="s">
        <v>135</v>
      </c>
      <c r="N2" s="7" t="s">
        <v>136</v>
      </c>
      <c r="O2" s="7" t="s">
        <v>137</v>
      </c>
      <c r="P2" s="6" t="s">
        <v>138</v>
      </c>
      <c r="Q2" s="6" t="s">
        <v>139</v>
      </c>
      <c r="R2" s="6" t="s">
        <v>140</v>
      </c>
      <c r="S2" s="6" t="s">
        <v>141</v>
      </c>
      <c r="T2" s="6" t="s">
        <v>142</v>
      </c>
      <c r="U2" s="9" t="s">
        <v>145</v>
      </c>
      <c r="V2" s="9" t="s">
        <v>146</v>
      </c>
    </row>
    <row r="3" spans="1:22" x14ac:dyDescent="0.3">
      <c r="A3" t="s">
        <v>4</v>
      </c>
      <c r="B3" t="s">
        <v>5</v>
      </c>
      <c r="C3" t="s">
        <v>370</v>
      </c>
      <c r="D3" s="5">
        <v>0.7</v>
      </c>
      <c r="E3" s="1">
        <v>38718</v>
      </c>
      <c r="F3" t="s">
        <v>6</v>
      </c>
      <c r="G3" t="s">
        <v>229</v>
      </c>
      <c r="H3" t="s">
        <v>233</v>
      </c>
      <c r="I3" t="str">
        <f>IF(VLOOKUP(B3,'Superseded C&amp;S'!$B$5:$B$39,1,FALSE)='C&amp;S List'!B3,"Yes","No")</f>
        <v>Yes</v>
      </c>
      <c r="J3" t="str">
        <f>IF(I3="Yes","n/a",YEAR(E3)+6)</f>
        <v>n/a</v>
      </c>
    </row>
    <row r="4" spans="1:22" x14ac:dyDescent="0.3">
      <c r="A4" t="s">
        <v>4</v>
      </c>
      <c r="B4" t="s">
        <v>7</v>
      </c>
      <c r="C4" t="s">
        <v>370</v>
      </c>
      <c r="D4" s="5">
        <v>0.7</v>
      </c>
      <c r="E4" s="1">
        <v>39083</v>
      </c>
      <c r="F4" t="s">
        <v>6</v>
      </c>
      <c r="G4" t="s">
        <v>229</v>
      </c>
      <c r="H4" t="s">
        <v>233</v>
      </c>
      <c r="I4" t="str">
        <f>IF(VLOOKUP(B4,'Superseded C&amp;S'!$B$5:$B$39,1,FALSE)='C&amp;S List'!B4,"Yes","No")</f>
        <v>Yes</v>
      </c>
      <c r="J4" t="str">
        <f t="shared" ref="J4:J67" si="0">IF(I4="Yes","n/a",YEAR(E4)+6)</f>
        <v>n/a</v>
      </c>
    </row>
    <row r="5" spans="1:22" x14ac:dyDescent="0.3">
      <c r="A5" t="s">
        <v>4</v>
      </c>
      <c r="B5" t="s">
        <v>8</v>
      </c>
      <c r="C5" t="s">
        <v>370</v>
      </c>
      <c r="D5" s="5">
        <v>0.7</v>
      </c>
      <c r="E5" s="1">
        <v>39448</v>
      </c>
      <c r="F5" t="s">
        <v>6</v>
      </c>
      <c r="G5" t="s">
        <v>229</v>
      </c>
      <c r="H5" t="s">
        <v>233</v>
      </c>
      <c r="I5" t="str">
        <f>IF(VLOOKUP(B5,'Superseded C&amp;S'!$B$5:$B$39,1,FALSE)='C&amp;S List'!B5,"Yes","No")</f>
        <v>Yes</v>
      </c>
      <c r="J5" t="str">
        <f t="shared" si="0"/>
        <v>n/a</v>
      </c>
    </row>
    <row r="6" spans="1:22" x14ac:dyDescent="0.3">
      <c r="A6" t="s">
        <v>4</v>
      </c>
      <c r="B6" t="s">
        <v>9</v>
      </c>
      <c r="C6" t="s">
        <v>370</v>
      </c>
      <c r="D6" s="5">
        <v>0.91</v>
      </c>
      <c r="E6" s="1">
        <v>38718</v>
      </c>
      <c r="F6" t="s">
        <v>6</v>
      </c>
      <c r="G6" t="s">
        <v>229</v>
      </c>
      <c r="H6" t="s">
        <v>233</v>
      </c>
      <c r="J6">
        <f t="shared" si="0"/>
        <v>2012</v>
      </c>
      <c r="K6" s="12"/>
    </row>
    <row r="7" spans="1:22" x14ac:dyDescent="0.3">
      <c r="A7" t="s">
        <v>4</v>
      </c>
      <c r="B7" t="s">
        <v>10</v>
      </c>
      <c r="C7" t="s">
        <v>370</v>
      </c>
      <c r="D7" s="5">
        <v>0.37</v>
      </c>
      <c r="E7" s="1">
        <v>38718</v>
      </c>
      <c r="F7" t="s">
        <v>6</v>
      </c>
      <c r="G7" t="s">
        <v>229</v>
      </c>
      <c r="H7" t="s">
        <v>233</v>
      </c>
      <c r="I7" t="str">
        <f>IF(VLOOKUP(B7,'Superseded C&amp;S'!$B$5:$B$39,1,FALSE)='C&amp;S List'!B7,"Yes","No")</f>
        <v>Yes</v>
      </c>
      <c r="J7" t="str">
        <f t="shared" si="0"/>
        <v>n/a</v>
      </c>
    </row>
    <row r="8" spans="1:22" x14ac:dyDescent="0.3">
      <c r="A8" t="s">
        <v>4</v>
      </c>
      <c r="B8" t="s">
        <v>11</v>
      </c>
      <c r="C8" t="s">
        <v>370</v>
      </c>
      <c r="D8" s="5">
        <v>0.7</v>
      </c>
      <c r="E8" s="1">
        <v>38991</v>
      </c>
      <c r="F8" t="s">
        <v>6</v>
      </c>
      <c r="G8" t="s">
        <v>229</v>
      </c>
      <c r="H8" t="s">
        <v>233</v>
      </c>
      <c r="I8" t="s">
        <v>243</v>
      </c>
      <c r="J8">
        <f t="shared" si="0"/>
        <v>2012</v>
      </c>
    </row>
    <row r="9" spans="1:22" x14ac:dyDescent="0.3">
      <c r="A9" t="s">
        <v>4</v>
      </c>
      <c r="B9" t="s">
        <v>12</v>
      </c>
      <c r="C9" t="s">
        <v>370</v>
      </c>
      <c r="D9" s="5">
        <v>0.7</v>
      </c>
      <c r="E9" s="1">
        <v>40179</v>
      </c>
      <c r="F9" t="s">
        <v>6</v>
      </c>
      <c r="G9" t="s">
        <v>229</v>
      </c>
      <c r="H9" t="s">
        <v>233</v>
      </c>
      <c r="J9">
        <f t="shared" si="0"/>
        <v>2016</v>
      </c>
    </row>
    <row r="10" spans="1:22" x14ac:dyDescent="0.3">
      <c r="A10" t="s">
        <v>4</v>
      </c>
      <c r="B10" t="s">
        <v>13</v>
      </c>
      <c r="C10" t="s">
        <v>371</v>
      </c>
      <c r="D10" s="5">
        <v>1</v>
      </c>
      <c r="E10" s="1">
        <v>38718</v>
      </c>
      <c r="F10" t="s">
        <v>6</v>
      </c>
      <c r="G10" t="s">
        <v>229</v>
      </c>
      <c r="H10" t="s">
        <v>233</v>
      </c>
      <c r="J10">
        <f t="shared" si="0"/>
        <v>2012</v>
      </c>
    </row>
    <row r="11" spans="1:22" x14ac:dyDescent="0.3">
      <c r="A11" t="s">
        <v>4</v>
      </c>
      <c r="B11" t="s">
        <v>14</v>
      </c>
      <c r="D11" s="5">
        <v>0.7</v>
      </c>
      <c r="E11" s="1">
        <v>38718</v>
      </c>
      <c r="F11" t="s">
        <v>6</v>
      </c>
      <c r="G11" t="s">
        <v>229</v>
      </c>
      <c r="H11" t="s">
        <v>233</v>
      </c>
      <c r="J11">
        <f t="shared" si="0"/>
        <v>2012</v>
      </c>
    </row>
    <row r="12" spans="1:22" x14ac:dyDescent="0.3">
      <c r="A12" t="s">
        <v>4</v>
      </c>
      <c r="B12" t="s">
        <v>15</v>
      </c>
      <c r="D12" s="5">
        <v>0.68700000000000006</v>
      </c>
      <c r="E12" s="1">
        <v>38718</v>
      </c>
      <c r="F12" t="s">
        <v>6</v>
      </c>
      <c r="G12" t="s">
        <v>229</v>
      </c>
      <c r="H12" t="s">
        <v>233</v>
      </c>
      <c r="J12">
        <f t="shared" si="0"/>
        <v>2012</v>
      </c>
    </row>
    <row r="13" spans="1:22" x14ac:dyDescent="0.3">
      <c r="A13" t="s">
        <v>4</v>
      </c>
      <c r="B13" t="s">
        <v>16</v>
      </c>
      <c r="D13" s="5">
        <v>1</v>
      </c>
      <c r="E13" s="1">
        <v>38718</v>
      </c>
      <c r="F13" t="s">
        <v>6</v>
      </c>
      <c r="G13" t="s">
        <v>229</v>
      </c>
      <c r="H13" t="s">
        <v>233</v>
      </c>
      <c r="J13">
        <f t="shared" si="0"/>
        <v>2012</v>
      </c>
    </row>
    <row r="14" spans="1:22" x14ac:dyDescent="0.3">
      <c r="A14" t="s">
        <v>4</v>
      </c>
      <c r="B14" t="s">
        <v>17</v>
      </c>
      <c r="D14" s="5">
        <v>1</v>
      </c>
      <c r="E14" s="1">
        <v>39448</v>
      </c>
      <c r="F14" t="s">
        <v>6</v>
      </c>
      <c r="G14" t="s">
        <v>229</v>
      </c>
      <c r="H14" t="s">
        <v>233</v>
      </c>
      <c r="J14">
        <f t="shared" si="0"/>
        <v>2014</v>
      </c>
    </row>
    <row r="15" spans="1:22" x14ac:dyDescent="0.3">
      <c r="A15" t="s">
        <v>4</v>
      </c>
      <c r="B15" t="s">
        <v>18</v>
      </c>
      <c r="D15" s="5">
        <v>0.7</v>
      </c>
      <c r="E15" s="1">
        <v>39448</v>
      </c>
      <c r="F15" t="s">
        <v>6</v>
      </c>
      <c r="G15" t="s">
        <v>229</v>
      </c>
      <c r="H15" t="s">
        <v>233</v>
      </c>
      <c r="J15">
        <f t="shared" si="0"/>
        <v>2014</v>
      </c>
    </row>
    <row r="16" spans="1:22" x14ac:dyDescent="0.3">
      <c r="A16" t="s">
        <v>4</v>
      </c>
      <c r="B16" t="s">
        <v>19</v>
      </c>
      <c r="C16" t="s">
        <v>370</v>
      </c>
      <c r="D16" s="5">
        <v>0.7</v>
      </c>
      <c r="E16" s="1">
        <v>38718</v>
      </c>
      <c r="F16" t="s">
        <v>6</v>
      </c>
      <c r="G16" t="s">
        <v>229</v>
      </c>
      <c r="H16" t="s">
        <v>233</v>
      </c>
      <c r="J16">
        <f t="shared" si="0"/>
        <v>2012</v>
      </c>
    </row>
    <row r="17" spans="1:11" x14ac:dyDescent="0.3">
      <c r="A17" t="s">
        <v>4</v>
      </c>
      <c r="B17" t="s">
        <v>20</v>
      </c>
      <c r="D17" s="5">
        <v>1</v>
      </c>
      <c r="E17" s="1">
        <v>39083</v>
      </c>
      <c r="F17" t="s">
        <v>6</v>
      </c>
      <c r="G17" t="s">
        <v>229</v>
      </c>
      <c r="H17" t="s">
        <v>233</v>
      </c>
      <c r="I17" t="s">
        <v>243</v>
      </c>
      <c r="J17">
        <f t="shared" si="0"/>
        <v>2013</v>
      </c>
    </row>
    <row r="18" spans="1:11" x14ac:dyDescent="0.3">
      <c r="A18" t="s">
        <v>4</v>
      </c>
      <c r="B18" t="s">
        <v>21</v>
      </c>
      <c r="D18" s="5">
        <v>0.98699999999999999</v>
      </c>
      <c r="E18" s="1">
        <v>39630</v>
      </c>
      <c r="F18" t="s">
        <v>6</v>
      </c>
      <c r="G18" t="s">
        <v>229</v>
      </c>
      <c r="H18" t="s">
        <v>233</v>
      </c>
      <c r="J18">
        <f t="shared" si="0"/>
        <v>2014</v>
      </c>
    </row>
    <row r="19" spans="1:11" x14ac:dyDescent="0.3">
      <c r="A19" t="s">
        <v>4</v>
      </c>
      <c r="B19" t="s">
        <v>22</v>
      </c>
      <c r="D19" s="5">
        <v>1</v>
      </c>
      <c r="E19" s="1">
        <v>39083</v>
      </c>
      <c r="F19" t="s">
        <v>6</v>
      </c>
      <c r="G19" t="s">
        <v>229</v>
      </c>
      <c r="H19" t="s">
        <v>233</v>
      </c>
      <c r="J19">
        <f t="shared" si="0"/>
        <v>2013</v>
      </c>
    </row>
    <row r="20" spans="1:11" x14ac:dyDescent="0.3">
      <c r="A20" t="s">
        <v>4</v>
      </c>
      <c r="B20" t="s">
        <v>23</v>
      </c>
      <c r="D20" s="5">
        <v>0.96099999999999997</v>
      </c>
      <c r="E20" s="1">
        <v>38718</v>
      </c>
      <c r="F20" t="s">
        <v>6</v>
      </c>
      <c r="G20" t="s">
        <v>229</v>
      </c>
      <c r="H20" t="s">
        <v>233</v>
      </c>
      <c r="I20" t="s">
        <v>243</v>
      </c>
      <c r="J20">
        <f t="shared" si="0"/>
        <v>2012</v>
      </c>
    </row>
    <row r="21" spans="1:11" x14ac:dyDescent="0.3">
      <c r="A21" t="s">
        <v>4</v>
      </c>
      <c r="B21" t="s">
        <v>24</v>
      </c>
      <c r="D21" s="5">
        <v>0.31</v>
      </c>
      <c r="E21" s="1">
        <v>38718</v>
      </c>
      <c r="F21" t="s">
        <v>6</v>
      </c>
      <c r="G21" t="s">
        <v>229</v>
      </c>
      <c r="H21" t="s">
        <v>233</v>
      </c>
      <c r="J21">
        <f t="shared" si="0"/>
        <v>2012</v>
      </c>
    </row>
    <row r="22" spans="1:11" x14ac:dyDescent="0.3">
      <c r="A22" t="s">
        <v>4</v>
      </c>
      <c r="B22" t="s">
        <v>25</v>
      </c>
      <c r="D22" s="5">
        <v>0.7</v>
      </c>
      <c r="E22" s="1">
        <v>38718</v>
      </c>
      <c r="F22" t="s">
        <v>6</v>
      </c>
      <c r="G22" t="s">
        <v>229</v>
      </c>
      <c r="H22" t="s">
        <v>233</v>
      </c>
      <c r="J22">
        <f t="shared" si="0"/>
        <v>2012</v>
      </c>
    </row>
    <row r="23" spans="1:11" x14ac:dyDescent="0.3">
      <c r="A23" t="s">
        <v>4</v>
      </c>
      <c r="B23" t="s">
        <v>26</v>
      </c>
      <c r="D23" s="5">
        <v>1</v>
      </c>
      <c r="E23" s="1">
        <v>38718</v>
      </c>
      <c r="F23" t="s">
        <v>6</v>
      </c>
      <c r="G23" t="s">
        <v>229</v>
      </c>
      <c r="H23" t="s">
        <v>233</v>
      </c>
      <c r="J23">
        <f t="shared" si="0"/>
        <v>2012</v>
      </c>
    </row>
    <row r="24" spans="1:11" x14ac:dyDescent="0.3">
      <c r="A24" t="s">
        <v>4</v>
      </c>
      <c r="B24" t="s">
        <v>27</v>
      </c>
      <c r="C24" t="s">
        <v>370</v>
      </c>
      <c r="D24" s="5">
        <v>1</v>
      </c>
      <c r="E24" s="1">
        <v>38718</v>
      </c>
      <c r="F24" t="s">
        <v>6</v>
      </c>
      <c r="G24" t="s">
        <v>229</v>
      </c>
      <c r="H24" t="s">
        <v>233</v>
      </c>
      <c r="I24" t="str">
        <f>IF(VLOOKUP(B24,'Superseded C&amp;S'!$B$5:$B$39,1,FALSE)='C&amp;S List'!B24,"Yes","No")</f>
        <v>Yes</v>
      </c>
      <c r="J24" t="str">
        <f t="shared" si="0"/>
        <v>n/a</v>
      </c>
    </row>
    <row r="25" spans="1:11" x14ac:dyDescent="0.3">
      <c r="A25" t="s">
        <v>28</v>
      </c>
      <c r="B25" t="s">
        <v>29</v>
      </c>
      <c r="C25" t="s">
        <v>371</v>
      </c>
      <c r="D25" s="5">
        <v>0.86</v>
      </c>
      <c r="E25" s="1">
        <v>39448</v>
      </c>
      <c r="F25" t="s">
        <v>6</v>
      </c>
      <c r="G25" t="s">
        <v>229</v>
      </c>
      <c r="H25" t="s">
        <v>233</v>
      </c>
      <c r="J25">
        <f t="shared" si="0"/>
        <v>2014</v>
      </c>
    </row>
    <row r="26" spans="1:11" x14ac:dyDescent="0.3">
      <c r="A26" t="s">
        <v>28</v>
      </c>
      <c r="B26" t="s">
        <v>30</v>
      </c>
      <c r="D26" s="5">
        <v>0.87</v>
      </c>
      <c r="E26" s="1">
        <v>39448</v>
      </c>
      <c r="F26" t="s">
        <v>6</v>
      </c>
      <c r="G26" t="s">
        <v>229</v>
      </c>
      <c r="H26" t="s">
        <v>233</v>
      </c>
      <c r="I26" t="s">
        <v>244</v>
      </c>
      <c r="J26">
        <f t="shared" si="0"/>
        <v>2014</v>
      </c>
    </row>
    <row r="27" spans="1:11" x14ac:dyDescent="0.3">
      <c r="A27" t="s">
        <v>28</v>
      </c>
      <c r="B27" t="s">
        <v>31</v>
      </c>
      <c r="D27" s="5">
        <v>0.87</v>
      </c>
      <c r="E27" s="1">
        <v>39448</v>
      </c>
      <c r="F27" t="s">
        <v>6</v>
      </c>
      <c r="G27" t="s">
        <v>229</v>
      </c>
      <c r="H27" t="s">
        <v>233</v>
      </c>
      <c r="I27" t="s">
        <v>244</v>
      </c>
      <c r="J27">
        <f t="shared" si="0"/>
        <v>2014</v>
      </c>
    </row>
    <row r="28" spans="1:11" x14ac:dyDescent="0.3">
      <c r="A28" t="s">
        <v>28</v>
      </c>
      <c r="B28" t="s">
        <v>32</v>
      </c>
      <c r="D28" s="5">
        <v>0.88978630017288396</v>
      </c>
      <c r="E28" s="1">
        <v>39448</v>
      </c>
      <c r="F28" t="s">
        <v>6</v>
      </c>
      <c r="G28" t="s">
        <v>229</v>
      </c>
      <c r="H28" t="s">
        <v>233</v>
      </c>
      <c r="I28" t="s">
        <v>244</v>
      </c>
      <c r="J28">
        <f t="shared" si="0"/>
        <v>2014</v>
      </c>
      <c r="K28" s="12"/>
    </row>
    <row r="29" spans="1:11" x14ac:dyDescent="0.3">
      <c r="A29" t="s">
        <v>28</v>
      </c>
      <c r="B29" t="s">
        <v>33</v>
      </c>
      <c r="D29" s="5">
        <v>0.81699999999999995</v>
      </c>
      <c r="E29" s="1">
        <v>39455</v>
      </c>
      <c r="F29" t="s">
        <v>6</v>
      </c>
      <c r="G29" t="s">
        <v>229</v>
      </c>
      <c r="H29" t="s">
        <v>233</v>
      </c>
      <c r="I29" t="str">
        <f>IF(VLOOKUP(B29,'Superseded C&amp;S'!$B$5:$B$39,1,FALSE)='C&amp;S List'!B29,"Yes","No")</f>
        <v>Yes</v>
      </c>
      <c r="J29" t="str">
        <f t="shared" si="0"/>
        <v>n/a</v>
      </c>
    </row>
    <row r="30" spans="1:11" x14ac:dyDescent="0.3">
      <c r="A30" t="s">
        <v>28</v>
      </c>
      <c r="B30" t="s">
        <v>34</v>
      </c>
      <c r="D30" s="5">
        <v>0.81699999999999995</v>
      </c>
      <c r="E30" s="1">
        <v>39455</v>
      </c>
      <c r="F30" t="s">
        <v>6</v>
      </c>
      <c r="G30" t="s">
        <v>229</v>
      </c>
      <c r="H30" t="s">
        <v>233</v>
      </c>
      <c r="I30" t="str">
        <f>IF(VLOOKUP(B30,'Superseded C&amp;S'!$B$5:$B$39,1,FALSE)='C&amp;S List'!B30,"Yes","No")</f>
        <v>Yes</v>
      </c>
      <c r="J30" t="str">
        <f t="shared" si="0"/>
        <v>n/a</v>
      </c>
    </row>
    <row r="31" spans="1:11" x14ac:dyDescent="0.3">
      <c r="A31" t="s">
        <v>35</v>
      </c>
      <c r="B31" t="s">
        <v>36</v>
      </c>
      <c r="D31" s="5">
        <v>0.95</v>
      </c>
      <c r="E31" s="1">
        <v>40179</v>
      </c>
      <c r="F31" t="s">
        <v>6</v>
      </c>
      <c r="G31" t="s">
        <v>229</v>
      </c>
      <c r="H31" t="s">
        <v>233</v>
      </c>
      <c r="J31">
        <f t="shared" si="0"/>
        <v>2016</v>
      </c>
    </row>
    <row r="32" spans="1:11" x14ac:dyDescent="0.3">
      <c r="A32" t="s">
        <v>35</v>
      </c>
      <c r="B32" t="s">
        <v>37</v>
      </c>
      <c r="D32" s="5">
        <v>0.93</v>
      </c>
      <c r="E32" s="1">
        <v>40179</v>
      </c>
      <c r="F32" t="s">
        <v>6</v>
      </c>
      <c r="G32" t="s">
        <v>229</v>
      </c>
      <c r="H32" t="s">
        <v>233</v>
      </c>
      <c r="J32">
        <f t="shared" si="0"/>
        <v>2016</v>
      </c>
    </row>
    <row r="33" spans="1:10" x14ac:dyDescent="0.3">
      <c r="A33" t="s">
        <v>35</v>
      </c>
      <c r="B33" t="s">
        <v>38</v>
      </c>
      <c r="D33" s="5">
        <v>0.88</v>
      </c>
      <c r="E33" s="1">
        <v>40544</v>
      </c>
      <c r="F33" t="s">
        <v>6</v>
      </c>
      <c r="G33" t="s">
        <v>229</v>
      </c>
      <c r="H33" t="s">
        <v>233</v>
      </c>
      <c r="I33" t="s">
        <v>244</v>
      </c>
      <c r="J33">
        <f t="shared" si="0"/>
        <v>2017</v>
      </c>
    </row>
    <row r="34" spans="1:10" x14ac:dyDescent="0.3">
      <c r="A34" t="s">
        <v>35</v>
      </c>
      <c r="B34" t="s">
        <v>39</v>
      </c>
      <c r="D34" s="5">
        <v>0.4</v>
      </c>
      <c r="E34" s="1">
        <v>40909</v>
      </c>
      <c r="F34" t="s">
        <v>6</v>
      </c>
      <c r="G34" t="s">
        <v>229</v>
      </c>
      <c r="H34" t="s">
        <v>233</v>
      </c>
      <c r="I34" t="s">
        <v>244</v>
      </c>
      <c r="J34">
        <f t="shared" si="0"/>
        <v>2018</v>
      </c>
    </row>
    <row r="35" spans="1:10" x14ac:dyDescent="0.3">
      <c r="A35" t="s">
        <v>35</v>
      </c>
      <c r="B35" t="s">
        <v>40</v>
      </c>
      <c r="D35" s="5">
        <v>0.84566240920500202</v>
      </c>
      <c r="E35" s="1">
        <v>41275</v>
      </c>
      <c r="F35" t="s">
        <v>6</v>
      </c>
      <c r="G35" t="s">
        <v>229</v>
      </c>
      <c r="H35" t="s">
        <v>233</v>
      </c>
      <c r="I35" t="s">
        <v>244</v>
      </c>
      <c r="J35">
        <f t="shared" si="0"/>
        <v>2019</v>
      </c>
    </row>
    <row r="36" spans="1:10" x14ac:dyDescent="0.3">
      <c r="A36" t="s">
        <v>41</v>
      </c>
      <c r="B36" t="s">
        <v>42</v>
      </c>
      <c r="D36" s="5">
        <v>0.98</v>
      </c>
      <c r="E36" s="1">
        <v>40544</v>
      </c>
      <c r="F36" t="s">
        <v>6</v>
      </c>
      <c r="G36" t="s">
        <v>229</v>
      </c>
      <c r="H36" t="s">
        <v>233</v>
      </c>
      <c r="I36" t="s">
        <v>243</v>
      </c>
      <c r="J36">
        <f t="shared" si="0"/>
        <v>2017</v>
      </c>
    </row>
    <row r="37" spans="1:10" x14ac:dyDescent="0.3">
      <c r="A37" t="s">
        <v>41</v>
      </c>
      <c r="B37" t="s">
        <v>43</v>
      </c>
      <c r="D37" s="5">
        <v>0.98499999999999999</v>
      </c>
      <c r="E37" s="1">
        <v>41275</v>
      </c>
      <c r="F37" t="s">
        <v>6</v>
      </c>
      <c r="G37" t="s">
        <v>229</v>
      </c>
      <c r="H37" t="s">
        <v>233</v>
      </c>
      <c r="J37">
        <f t="shared" si="0"/>
        <v>2019</v>
      </c>
    </row>
    <row r="38" spans="1:10" x14ac:dyDescent="0.3">
      <c r="A38" t="s">
        <v>44</v>
      </c>
      <c r="B38" t="s">
        <v>45</v>
      </c>
      <c r="D38" s="5">
        <v>0.9</v>
      </c>
      <c r="E38" s="1">
        <v>41306</v>
      </c>
      <c r="F38" t="s">
        <v>6</v>
      </c>
      <c r="G38" t="s">
        <v>229</v>
      </c>
      <c r="H38" t="s">
        <v>233</v>
      </c>
      <c r="I38" t="str">
        <f>IF(VLOOKUP(B38,'Superseded C&amp;S'!$B$5:$B$39,1,FALSE)='C&amp;S List'!B38,"Yes","No")</f>
        <v>Yes</v>
      </c>
      <c r="J38" t="str">
        <f t="shared" si="0"/>
        <v>n/a</v>
      </c>
    </row>
    <row r="39" spans="1:10" x14ac:dyDescent="0.3">
      <c r="A39" t="s">
        <v>44</v>
      </c>
      <c r="B39" t="s">
        <v>46</v>
      </c>
      <c r="D39" s="5">
        <v>0.88</v>
      </c>
      <c r="E39" s="1">
        <v>41640</v>
      </c>
      <c r="F39" t="s">
        <v>6</v>
      </c>
      <c r="G39" t="s">
        <v>229</v>
      </c>
      <c r="H39" t="s">
        <v>233</v>
      </c>
      <c r="I39" t="str">
        <f>IF(VLOOKUP(B39,'Superseded C&amp;S'!$B$5:$B$39,1,FALSE)='C&amp;S List'!B39,"Yes","No")</f>
        <v>Yes</v>
      </c>
      <c r="J39" t="str">
        <f t="shared" si="0"/>
        <v>n/a</v>
      </c>
    </row>
    <row r="40" spans="1:10" x14ac:dyDescent="0.3">
      <c r="A40" t="s">
        <v>44</v>
      </c>
      <c r="B40" t="s">
        <v>47</v>
      </c>
      <c r="D40" s="5">
        <v>0.84566240920500202</v>
      </c>
      <c r="E40" s="1">
        <v>42736</v>
      </c>
      <c r="F40" t="s">
        <v>6</v>
      </c>
      <c r="G40" t="s">
        <v>229</v>
      </c>
      <c r="H40" t="s">
        <v>233</v>
      </c>
      <c r="I40" t="str">
        <f>IF(VLOOKUP(B40,'Superseded C&amp;S'!$B$5:$B$39,1,FALSE)='C&amp;S List'!B40,"Yes","No")</f>
        <v>Yes</v>
      </c>
      <c r="J40" t="str">
        <f t="shared" si="0"/>
        <v>n/a</v>
      </c>
    </row>
    <row r="41" spans="1:10" x14ac:dyDescent="0.3">
      <c r="A41" t="s">
        <v>44</v>
      </c>
      <c r="B41" t="s">
        <v>48</v>
      </c>
      <c r="D41" s="5">
        <v>0.78</v>
      </c>
      <c r="E41" s="1">
        <v>41640</v>
      </c>
      <c r="F41" t="s">
        <v>6</v>
      </c>
      <c r="G41" t="s">
        <v>229</v>
      </c>
      <c r="H41" t="s">
        <v>233</v>
      </c>
      <c r="I41" t="str">
        <f>IF(VLOOKUP(B41,'Superseded C&amp;S'!$B$5:$B$39,1,FALSE)='C&amp;S List'!B41,"Yes","No")</f>
        <v>Yes</v>
      </c>
      <c r="J41" t="str">
        <f t="shared" si="0"/>
        <v>n/a</v>
      </c>
    </row>
    <row r="42" spans="1:10" x14ac:dyDescent="0.3">
      <c r="A42" t="s">
        <v>49</v>
      </c>
      <c r="B42" t="s">
        <v>50</v>
      </c>
      <c r="C42" t="s">
        <v>371</v>
      </c>
      <c r="D42" s="5">
        <v>0.85</v>
      </c>
      <c r="E42" s="1">
        <v>42248</v>
      </c>
      <c r="F42" t="s">
        <v>6</v>
      </c>
      <c r="G42" t="s">
        <v>229</v>
      </c>
      <c r="H42" t="s">
        <v>233</v>
      </c>
      <c r="I42" t="s">
        <v>243</v>
      </c>
      <c r="J42">
        <f t="shared" si="0"/>
        <v>2021</v>
      </c>
    </row>
    <row r="43" spans="1:10" x14ac:dyDescent="0.3">
      <c r="A43" t="s">
        <v>49</v>
      </c>
      <c r="B43" t="s">
        <v>51</v>
      </c>
      <c r="C43" t="s">
        <v>371</v>
      </c>
      <c r="D43" s="5">
        <v>0.85</v>
      </c>
      <c r="E43" s="1">
        <v>42248</v>
      </c>
      <c r="F43" t="s">
        <v>6</v>
      </c>
      <c r="G43" t="s">
        <v>229</v>
      </c>
      <c r="H43" t="s">
        <v>233</v>
      </c>
      <c r="I43" t="s">
        <v>243</v>
      </c>
      <c r="J43">
        <f t="shared" si="0"/>
        <v>2021</v>
      </c>
    </row>
    <row r="44" spans="1:10" x14ac:dyDescent="0.3">
      <c r="A44" t="s">
        <v>52</v>
      </c>
      <c r="B44" t="s">
        <v>53</v>
      </c>
      <c r="D44" s="5">
        <v>0.85</v>
      </c>
      <c r="E44" s="1">
        <v>42552</v>
      </c>
      <c r="F44" t="s">
        <v>6</v>
      </c>
      <c r="G44" t="s">
        <v>229</v>
      </c>
      <c r="H44" t="s">
        <v>233</v>
      </c>
      <c r="J44">
        <f t="shared" si="0"/>
        <v>2022</v>
      </c>
    </row>
    <row r="45" spans="1:10" x14ac:dyDescent="0.3">
      <c r="A45" t="s">
        <v>52</v>
      </c>
      <c r="B45" t="s">
        <v>54</v>
      </c>
      <c r="D45" s="5">
        <v>0.85</v>
      </c>
      <c r="E45" s="1">
        <v>42552</v>
      </c>
      <c r="F45" t="s">
        <v>6</v>
      </c>
      <c r="G45" t="s">
        <v>229</v>
      </c>
      <c r="H45" t="s">
        <v>233</v>
      </c>
      <c r="J45">
        <f t="shared" si="0"/>
        <v>2022</v>
      </c>
    </row>
    <row r="46" spans="1:10" x14ac:dyDescent="0.3">
      <c r="A46" t="s">
        <v>52</v>
      </c>
      <c r="B46" t="s">
        <v>55</v>
      </c>
      <c r="C46" t="s">
        <v>371</v>
      </c>
      <c r="D46" s="5">
        <v>0.85</v>
      </c>
      <c r="E46" s="1">
        <v>42370</v>
      </c>
      <c r="F46" t="s">
        <v>6</v>
      </c>
      <c r="G46" t="s">
        <v>229</v>
      </c>
      <c r="H46" t="s">
        <v>233</v>
      </c>
      <c r="J46">
        <f t="shared" si="0"/>
        <v>2022</v>
      </c>
    </row>
    <row r="47" spans="1:10" x14ac:dyDescent="0.3">
      <c r="A47" t="s">
        <v>52</v>
      </c>
      <c r="B47" t="s">
        <v>56</v>
      </c>
      <c r="C47" t="s">
        <v>371</v>
      </c>
      <c r="D47" s="5">
        <v>0.85</v>
      </c>
      <c r="E47" s="1">
        <v>42370</v>
      </c>
      <c r="F47" t="s">
        <v>6</v>
      </c>
      <c r="G47" t="s">
        <v>229</v>
      </c>
      <c r="H47" t="s">
        <v>233</v>
      </c>
      <c r="J47">
        <f t="shared" si="0"/>
        <v>2022</v>
      </c>
    </row>
    <row r="48" spans="1:10" x14ac:dyDescent="0.3">
      <c r="A48" t="s">
        <v>52</v>
      </c>
      <c r="B48" t="s">
        <v>57</v>
      </c>
      <c r="C48" t="s">
        <v>370</v>
      </c>
      <c r="D48" s="5">
        <v>0.85</v>
      </c>
      <c r="E48" s="1">
        <v>42370</v>
      </c>
      <c r="F48" t="s">
        <v>6</v>
      </c>
      <c r="G48" t="s">
        <v>229</v>
      </c>
      <c r="H48" t="s">
        <v>233</v>
      </c>
      <c r="J48">
        <f t="shared" si="0"/>
        <v>2022</v>
      </c>
    </row>
    <row r="49" spans="1:22" x14ac:dyDescent="0.3">
      <c r="A49" t="s">
        <v>52</v>
      </c>
      <c r="B49" t="s">
        <v>58</v>
      </c>
      <c r="C49" t="s">
        <v>371</v>
      </c>
      <c r="D49" s="5">
        <v>0.85</v>
      </c>
      <c r="E49" s="1">
        <v>42552</v>
      </c>
      <c r="F49" t="s">
        <v>6</v>
      </c>
      <c r="G49" t="s">
        <v>229</v>
      </c>
      <c r="H49" t="s">
        <v>233</v>
      </c>
      <c r="J49">
        <f t="shared" si="0"/>
        <v>2022</v>
      </c>
    </row>
    <row r="50" spans="1:22" x14ac:dyDescent="0.3">
      <c r="A50" t="s">
        <v>52</v>
      </c>
      <c r="B50" t="s">
        <v>59</v>
      </c>
      <c r="C50" t="s">
        <v>371</v>
      </c>
      <c r="D50" s="5">
        <v>0.85</v>
      </c>
      <c r="E50" s="1">
        <v>42552</v>
      </c>
      <c r="F50" t="s">
        <v>6</v>
      </c>
      <c r="G50" t="s">
        <v>229</v>
      </c>
      <c r="H50" t="s">
        <v>233</v>
      </c>
      <c r="J50">
        <f t="shared" si="0"/>
        <v>2022</v>
      </c>
    </row>
    <row r="51" spans="1:22" x14ac:dyDescent="0.3">
      <c r="A51" t="s">
        <v>52</v>
      </c>
      <c r="B51" t="s">
        <v>60</v>
      </c>
      <c r="D51" s="5">
        <v>0.85</v>
      </c>
      <c r="E51" s="1">
        <v>42552</v>
      </c>
      <c r="F51" t="s">
        <v>6</v>
      </c>
      <c r="G51" t="s">
        <v>229</v>
      </c>
      <c r="H51" t="s">
        <v>233</v>
      </c>
      <c r="J51">
        <f t="shared" si="0"/>
        <v>2022</v>
      </c>
    </row>
    <row r="52" spans="1:22" x14ac:dyDescent="0.3">
      <c r="A52" t="s">
        <v>52</v>
      </c>
      <c r="B52" t="s">
        <v>61</v>
      </c>
      <c r="D52" s="5">
        <v>0.85</v>
      </c>
      <c r="E52" s="1">
        <v>42552</v>
      </c>
      <c r="F52" t="s">
        <v>6</v>
      </c>
      <c r="G52" t="s">
        <v>229</v>
      </c>
      <c r="H52" t="s">
        <v>233</v>
      </c>
      <c r="J52">
        <f t="shared" si="0"/>
        <v>2022</v>
      </c>
    </row>
    <row r="53" spans="1:22" x14ac:dyDescent="0.3">
      <c r="A53" t="s">
        <v>52</v>
      </c>
      <c r="B53" t="s">
        <v>62</v>
      </c>
      <c r="C53" t="s">
        <v>370</v>
      </c>
      <c r="D53" s="5">
        <v>0.85</v>
      </c>
      <c r="E53" s="1">
        <v>42370</v>
      </c>
      <c r="F53" t="s">
        <v>6</v>
      </c>
      <c r="G53" t="s">
        <v>229</v>
      </c>
      <c r="H53" t="s">
        <v>233</v>
      </c>
      <c r="J53">
        <f t="shared" si="0"/>
        <v>2022</v>
      </c>
    </row>
    <row r="54" spans="1:22" x14ac:dyDescent="0.3">
      <c r="A54" t="s">
        <v>52</v>
      </c>
      <c r="B54" t="s">
        <v>63</v>
      </c>
      <c r="C54" t="s">
        <v>371</v>
      </c>
      <c r="D54" s="5">
        <v>0.85</v>
      </c>
      <c r="E54" s="1">
        <v>42370</v>
      </c>
      <c r="F54" t="s">
        <v>6</v>
      </c>
      <c r="G54" t="s">
        <v>229</v>
      </c>
      <c r="H54" t="s">
        <v>233</v>
      </c>
      <c r="J54">
        <f t="shared" si="0"/>
        <v>2022</v>
      </c>
    </row>
    <row r="55" spans="1:22" x14ac:dyDescent="0.3">
      <c r="A55" t="s">
        <v>52</v>
      </c>
      <c r="B55" t="s">
        <v>64</v>
      </c>
      <c r="C55" t="s">
        <v>370</v>
      </c>
      <c r="D55" s="5">
        <v>0.85</v>
      </c>
      <c r="E55" s="1">
        <v>42370</v>
      </c>
      <c r="F55" t="s">
        <v>6</v>
      </c>
      <c r="G55" t="s">
        <v>229</v>
      </c>
      <c r="H55" t="s">
        <v>233</v>
      </c>
      <c r="J55">
        <f t="shared" si="0"/>
        <v>2022</v>
      </c>
    </row>
    <row r="56" spans="1:22" x14ac:dyDescent="0.3">
      <c r="A56" t="s">
        <v>65</v>
      </c>
      <c r="B56" t="s">
        <v>66</v>
      </c>
      <c r="C56" t="s">
        <v>370</v>
      </c>
      <c r="D56" s="5">
        <v>0.84566240920499902</v>
      </c>
      <c r="E56" s="1">
        <v>43466</v>
      </c>
      <c r="F56" t="s">
        <v>3</v>
      </c>
      <c r="G56" t="s">
        <v>229</v>
      </c>
      <c r="H56" t="s">
        <v>234</v>
      </c>
      <c r="J56">
        <f t="shared" si="0"/>
        <v>2025</v>
      </c>
    </row>
    <row r="57" spans="1:22" x14ac:dyDescent="0.3">
      <c r="A57" t="s">
        <v>65</v>
      </c>
      <c r="B57" t="s">
        <v>67</v>
      </c>
      <c r="D57" s="5">
        <v>0.85</v>
      </c>
      <c r="E57" s="1">
        <v>43101</v>
      </c>
      <c r="F57" t="s">
        <v>3</v>
      </c>
      <c r="G57" t="s">
        <v>229</v>
      </c>
      <c r="H57" t="s">
        <v>234</v>
      </c>
      <c r="J57">
        <f t="shared" si="0"/>
        <v>2024</v>
      </c>
      <c r="K57" s="10">
        <f>29.92*0.2</f>
        <v>5.9840000000000009</v>
      </c>
      <c r="L57" s="10">
        <f>16.92*0.2</f>
        <v>3.3840000000000003</v>
      </c>
      <c r="N57">
        <f>3.97*0.2</f>
        <v>0.79400000000000004</v>
      </c>
      <c r="Q57">
        <f>19.82*0.2</f>
        <v>3.9640000000000004</v>
      </c>
      <c r="S57" s="13">
        <f>Q57*(100/12)</f>
        <v>33.033333333333339</v>
      </c>
      <c r="U57" s="10">
        <f>K57-L57</f>
        <v>2.6000000000000005</v>
      </c>
    </row>
    <row r="58" spans="1:22" x14ac:dyDescent="0.3">
      <c r="A58" t="s">
        <v>65</v>
      </c>
      <c r="B58" t="s">
        <v>68</v>
      </c>
      <c r="D58" s="5">
        <v>0.85</v>
      </c>
      <c r="E58" s="1">
        <v>43101</v>
      </c>
      <c r="F58" t="s">
        <v>3</v>
      </c>
      <c r="G58" t="s">
        <v>229</v>
      </c>
      <c r="H58" t="s">
        <v>234</v>
      </c>
      <c r="J58">
        <f t="shared" si="0"/>
        <v>2024</v>
      </c>
      <c r="K58" s="10">
        <f>19.2*0.2</f>
        <v>3.84</v>
      </c>
      <c r="L58" s="10">
        <f>6.2*0.2</f>
        <v>1.2400000000000002</v>
      </c>
      <c r="N58">
        <f>1.44*0.2</f>
        <v>0.28799999999999998</v>
      </c>
      <c r="Q58">
        <f>7.2*0.2</f>
        <v>1.4400000000000002</v>
      </c>
      <c r="S58" s="13">
        <f>Q58*(100/12)</f>
        <v>12.000000000000002</v>
      </c>
      <c r="U58" s="10">
        <f>K58-L58</f>
        <v>2.5999999999999996</v>
      </c>
    </row>
    <row r="59" spans="1:22" x14ac:dyDescent="0.3">
      <c r="A59" t="s">
        <v>65</v>
      </c>
      <c r="B59" t="s">
        <v>69</v>
      </c>
      <c r="D59" s="5">
        <v>0.85</v>
      </c>
      <c r="E59" s="1">
        <v>43466</v>
      </c>
      <c r="F59" t="s">
        <v>3</v>
      </c>
      <c r="G59" t="s">
        <v>229</v>
      </c>
      <c r="H59" t="s">
        <v>234</v>
      </c>
      <c r="J59">
        <f t="shared" si="0"/>
        <v>2025</v>
      </c>
      <c r="K59" s="10">
        <f>2.3*0.2</f>
        <v>0.45999999999999996</v>
      </c>
      <c r="L59" s="10">
        <f>1.3*0.2</f>
        <v>0.26</v>
      </c>
      <c r="N59">
        <f>20.99*0.2</f>
        <v>4.1979999999999995</v>
      </c>
      <c r="Q59">
        <f>83.23*0.2</f>
        <v>16.646000000000001</v>
      </c>
      <c r="S59" s="13">
        <f>Q59*(100/12)</f>
        <v>138.7166666666667</v>
      </c>
      <c r="U59" s="10">
        <f>K59-L59</f>
        <v>0.19999999999999996</v>
      </c>
    </row>
    <row r="60" spans="1:22" x14ac:dyDescent="0.3">
      <c r="A60" t="s">
        <v>65</v>
      </c>
      <c r="B60" t="s">
        <v>70</v>
      </c>
      <c r="D60" s="5">
        <v>0.85</v>
      </c>
      <c r="E60" s="1">
        <v>43466</v>
      </c>
      <c r="F60" t="s">
        <v>3</v>
      </c>
      <c r="G60" t="s">
        <v>229</v>
      </c>
      <c r="H60" t="s">
        <v>234</v>
      </c>
      <c r="J60">
        <f t="shared" si="0"/>
        <v>2025</v>
      </c>
      <c r="K60" s="10">
        <f>43.58*0.2</f>
        <v>8.7159999999999993</v>
      </c>
      <c r="L60" s="10">
        <f>34.03*0.2</f>
        <v>6.8060000000000009</v>
      </c>
      <c r="N60">
        <f>300.72*0.2</f>
        <v>60.144000000000005</v>
      </c>
      <c r="Q60">
        <f>1526.22*0.2</f>
        <v>305.24400000000003</v>
      </c>
      <c r="S60" s="13">
        <f>Q60*(100/12)</f>
        <v>2543.7000000000003</v>
      </c>
      <c r="U60" s="10">
        <f>K60-L60</f>
        <v>1.9099999999999984</v>
      </c>
    </row>
    <row r="61" spans="1:22" x14ac:dyDescent="0.3">
      <c r="A61" t="s">
        <v>65</v>
      </c>
      <c r="B61" t="s">
        <v>71</v>
      </c>
      <c r="D61" s="5">
        <v>0.85</v>
      </c>
      <c r="E61" s="1">
        <v>44378</v>
      </c>
      <c r="F61" t="s">
        <v>3</v>
      </c>
      <c r="G61" t="s">
        <v>229</v>
      </c>
      <c r="H61" t="s">
        <v>234</v>
      </c>
      <c r="J61">
        <f t="shared" si="0"/>
        <v>2027</v>
      </c>
      <c r="K61" s="10">
        <f>58.39*0.2</f>
        <v>11.678000000000001</v>
      </c>
      <c r="L61" s="10">
        <f>44.9*0.2</f>
        <v>8.98</v>
      </c>
      <c r="U61" s="10">
        <f>K61-L61</f>
        <v>2.6980000000000004</v>
      </c>
    </row>
    <row r="62" spans="1:22" x14ac:dyDescent="0.3">
      <c r="A62" t="s">
        <v>65</v>
      </c>
      <c r="B62" t="s">
        <v>144</v>
      </c>
      <c r="D62" s="5">
        <v>0.85</v>
      </c>
      <c r="E62" s="1">
        <v>43647</v>
      </c>
      <c r="F62" t="s">
        <v>3</v>
      </c>
      <c r="G62" t="s">
        <v>229</v>
      </c>
      <c r="H62" t="s">
        <v>234</v>
      </c>
      <c r="J62">
        <f t="shared" si="0"/>
        <v>2025</v>
      </c>
      <c r="K62" s="11">
        <f>31.08*0.2</f>
        <v>6.2160000000000002</v>
      </c>
      <c r="L62" s="11">
        <f>26.08*0.2</f>
        <v>5.2160000000000002</v>
      </c>
      <c r="M62" s="8" t="s">
        <v>143</v>
      </c>
      <c r="N62">
        <f>118.548*0.2</f>
        <v>23.709600000000002</v>
      </c>
      <c r="O62" s="11">
        <f>15.38*0.2</f>
        <v>3.0760000000000005</v>
      </c>
      <c r="Q62">
        <f>696*0.2</f>
        <v>139.20000000000002</v>
      </c>
      <c r="R62" s="11">
        <f>657*0.2</f>
        <v>131.4</v>
      </c>
      <c r="S62" s="13">
        <f>Q62*(100/12)</f>
        <v>1160.0000000000002</v>
      </c>
      <c r="T62" s="11">
        <f>R62*(100/12)</f>
        <v>1095.0000000000002</v>
      </c>
      <c r="U62" s="10">
        <v>5</v>
      </c>
      <c r="V62" s="12">
        <v>7</v>
      </c>
    </row>
    <row r="63" spans="1:22" x14ac:dyDescent="0.3">
      <c r="A63" t="s">
        <v>65</v>
      </c>
      <c r="B63" t="s">
        <v>72</v>
      </c>
      <c r="D63" s="5">
        <v>0.84566240920499902</v>
      </c>
      <c r="E63" s="1">
        <v>44197</v>
      </c>
      <c r="F63" t="s">
        <v>3</v>
      </c>
      <c r="G63" t="s">
        <v>229</v>
      </c>
      <c r="H63" t="s">
        <v>234</v>
      </c>
      <c r="J63">
        <f t="shared" si="0"/>
        <v>2027</v>
      </c>
      <c r="K63" s="10"/>
      <c r="L63" s="10"/>
      <c r="U63" s="10"/>
    </row>
    <row r="64" spans="1:22" x14ac:dyDescent="0.3">
      <c r="A64" t="s">
        <v>65</v>
      </c>
      <c r="B64" t="s">
        <v>73</v>
      </c>
      <c r="D64" s="5">
        <v>0.84566240920499902</v>
      </c>
      <c r="E64" s="1">
        <v>45292</v>
      </c>
      <c r="F64" t="s">
        <v>3</v>
      </c>
      <c r="G64" t="s">
        <v>229</v>
      </c>
      <c r="H64" t="s">
        <v>234</v>
      </c>
      <c r="J64">
        <f t="shared" si="0"/>
        <v>2030</v>
      </c>
      <c r="K64" s="10"/>
      <c r="L64" s="10"/>
      <c r="U64" s="10"/>
    </row>
    <row r="65" spans="1:21" s="14" customFormat="1" x14ac:dyDescent="0.3">
      <c r="A65" s="22" t="s">
        <v>65</v>
      </c>
      <c r="B65" s="22" t="s">
        <v>74</v>
      </c>
      <c r="C65" s="22"/>
      <c r="D65" s="24">
        <v>0.84566240920499902</v>
      </c>
      <c r="E65" s="25">
        <v>43101</v>
      </c>
      <c r="F65" s="22" t="s">
        <v>3</v>
      </c>
      <c r="G65" t="s">
        <v>229</v>
      </c>
      <c r="H65" t="s">
        <v>234</v>
      </c>
      <c r="I65"/>
      <c r="J65">
        <f t="shared" si="0"/>
        <v>2024</v>
      </c>
      <c r="K65" s="17">
        <f>SUM(K66:K74)</f>
        <v>1640.2</v>
      </c>
      <c r="L65" s="17">
        <f>SUM(L66:L74)</f>
        <v>1368.2439999999999</v>
      </c>
      <c r="N65" s="31">
        <f>SUM(N66:N74)</f>
        <v>45.180000000000007</v>
      </c>
      <c r="O65" s="17">
        <f>SUM(O66:O74)</f>
        <v>7.2200000000000006</v>
      </c>
      <c r="Q65" s="17">
        <f>SUM(Q66:Q74)</f>
        <v>287.68</v>
      </c>
      <c r="R65" s="17">
        <f>SUM(R66:R74)</f>
        <v>46.1</v>
      </c>
      <c r="S65" s="17">
        <f>SUM(S66:S74)</f>
        <v>2397.3333333333339</v>
      </c>
      <c r="T65" s="17">
        <f>SUM(T66:T74)</f>
        <v>384.16666666666663</v>
      </c>
      <c r="U65" s="17">
        <f>SUM(U66:U74)</f>
        <v>271.95600000000002</v>
      </c>
    </row>
    <row r="66" spans="1:21" s="14" customFormat="1" x14ac:dyDescent="0.3">
      <c r="A66" s="14" t="s">
        <v>65</v>
      </c>
      <c r="B66" s="26" t="s">
        <v>14</v>
      </c>
      <c r="C66" s="26"/>
      <c r="D66" s="15">
        <v>0.84566240920499902</v>
      </c>
      <c r="E66" s="16">
        <v>43466</v>
      </c>
      <c r="F66" s="14" t="s">
        <v>228</v>
      </c>
      <c r="G66" s="14" t="s">
        <v>230</v>
      </c>
      <c r="H66" s="14" t="s">
        <v>234</v>
      </c>
      <c r="I66"/>
      <c r="J66">
        <f t="shared" si="0"/>
        <v>2025</v>
      </c>
      <c r="K66" s="17">
        <f>512*0.2</f>
        <v>102.4</v>
      </c>
      <c r="L66" s="17">
        <f>411.61*0.2</f>
        <v>82.322000000000003</v>
      </c>
      <c r="N66" s="14">
        <f>9*0.2</f>
        <v>1.8</v>
      </c>
      <c r="O66" s="17">
        <f>1.5*0.2</f>
        <v>0.30000000000000004</v>
      </c>
      <c r="Q66" s="14">
        <f>111.3*0.2</f>
        <v>22.26</v>
      </c>
      <c r="R66" s="17">
        <f>18.1*0.2</f>
        <v>3.6200000000000006</v>
      </c>
      <c r="S66" s="14">
        <f>927.5*0.2</f>
        <v>185.5</v>
      </c>
      <c r="T66" s="17">
        <f>150.833333333333*0.2</f>
        <v>30.1666666666666</v>
      </c>
      <c r="U66" s="17">
        <f t="shared" ref="U66:U74" si="1">K66-L66</f>
        <v>20.078000000000003</v>
      </c>
    </row>
    <row r="67" spans="1:21" s="14" customFormat="1" x14ac:dyDescent="0.3">
      <c r="A67" s="14" t="s">
        <v>65</v>
      </c>
      <c r="B67" s="26" t="s">
        <v>147</v>
      </c>
      <c r="C67" s="26"/>
      <c r="D67" s="15">
        <v>0.84566240920499902</v>
      </c>
      <c r="E67" s="16">
        <v>43466</v>
      </c>
      <c r="F67" s="14" t="s">
        <v>228</v>
      </c>
      <c r="G67" s="14" t="s">
        <v>230</v>
      </c>
      <c r="H67" s="14" t="s">
        <v>234</v>
      </c>
      <c r="I67"/>
      <c r="J67">
        <f t="shared" si="0"/>
        <v>2025</v>
      </c>
      <c r="K67" s="17">
        <f>2349*0.2</f>
        <v>469.8</v>
      </c>
      <c r="L67" s="17">
        <f>1973.61*0.2</f>
        <v>394.72199999999998</v>
      </c>
      <c r="N67" s="14">
        <f>4*0.2</f>
        <v>0.8</v>
      </c>
      <c r="O67" s="17">
        <f>0.6*0.2</f>
        <v>0.12</v>
      </c>
      <c r="Q67" s="14">
        <f>50.1*0.2</f>
        <v>10.020000000000001</v>
      </c>
      <c r="R67" s="17">
        <f>8.1*0.2</f>
        <v>1.62</v>
      </c>
      <c r="S67" s="14">
        <f>417.5*0.2</f>
        <v>83.5</v>
      </c>
      <c r="T67" s="17">
        <f>67.5*0.2</f>
        <v>13.5</v>
      </c>
      <c r="U67" s="17">
        <f t="shared" si="1"/>
        <v>75.078000000000031</v>
      </c>
    </row>
    <row r="68" spans="1:21" s="14" customFormat="1" x14ac:dyDescent="0.3">
      <c r="A68" s="14" t="s">
        <v>65</v>
      </c>
      <c r="B68" s="26" t="s">
        <v>148</v>
      </c>
      <c r="C68" s="26"/>
      <c r="D68" s="15">
        <v>0.84566240920499902</v>
      </c>
      <c r="E68" s="16">
        <v>43466</v>
      </c>
      <c r="F68" s="14" t="s">
        <v>228</v>
      </c>
      <c r="G68" s="14" t="s">
        <v>230</v>
      </c>
      <c r="H68" s="14" t="s">
        <v>234</v>
      </c>
      <c r="I68"/>
      <c r="J68">
        <f t="shared" ref="J68:J124" si="2">IF(I68="Yes","n/a",YEAR(E68)+6)</f>
        <v>2025</v>
      </c>
      <c r="K68" s="17">
        <f>57*0.2</f>
        <v>11.4</v>
      </c>
      <c r="L68" s="17">
        <f>39*0.2</f>
        <v>7.8000000000000007</v>
      </c>
      <c r="N68" s="14">
        <f>1.4*0.2</f>
        <v>0.27999999999999997</v>
      </c>
      <c r="O68" s="17">
        <f>0.2*0.2</f>
        <v>4.0000000000000008E-2</v>
      </c>
      <c r="Q68" s="14">
        <f>10*0.2</f>
        <v>2</v>
      </c>
      <c r="R68" s="17">
        <f>1.6*0.2</f>
        <v>0.32000000000000006</v>
      </c>
      <c r="S68" s="14">
        <f>83.3333333333333*0.2</f>
        <v>16.666666666666661</v>
      </c>
      <c r="T68" s="17">
        <f>13.3333333333333*0.2</f>
        <v>2.6666666666666603</v>
      </c>
      <c r="U68" s="17">
        <f t="shared" si="1"/>
        <v>3.5999999999999996</v>
      </c>
    </row>
    <row r="69" spans="1:21" s="14" customFormat="1" x14ac:dyDescent="0.3">
      <c r="A69" s="14" t="s">
        <v>65</v>
      </c>
      <c r="B69" s="26" t="s">
        <v>149</v>
      </c>
      <c r="C69" s="26"/>
      <c r="D69" s="15">
        <v>0.84566240920499902</v>
      </c>
      <c r="E69" s="16">
        <v>43466</v>
      </c>
      <c r="F69" s="14" t="s">
        <v>228</v>
      </c>
      <c r="G69" s="14" t="s">
        <v>230</v>
      </c>
      <c r="H69" s="14" t="s">
        <v>234</v>
      </c>
      <c r="I69"/>
      <c r="J69">
        <f t="shared" si="2"/>
        <v>2025</v>
      </c>
      <c r="K69" s="17">
        <f>475*0.2</f>
        <v>95</v>
      </c>
      <c r="L69" s="17">
        <f>199*0.2</f>
        <v>39.800000000000004</v>
      </c>
      <c r="N69" s="14">
        <f>12.3*0.2</f>
        <v>2.4600000000000004</v>
      </c>
      <c r="O69" s="17">
        <f>2*0.2</f>
        <v>0.4</v>
      </c>
      <c r="Q69" s="14">
        <f>86*0.2</f>
        <v>17.2</v>
      </c>
      <c r="R69" s="17">
        <f>13.8*0.2</f>
        <v>2.7600000000000002</v>
      </c>
      <c r="S69" s="14">
        <f>716.666666666667*0.2</f>
        <v>143.3333333333334</v>
      </c>
      <c r="T69" s="17">
        <f>115*0.2</f>
        <v>23</v>
      </c>
      <c r="U69" s="17">
        <f t="shared" si="1"/>
        <v>55.199999999999996</v>
      </c>
    </row>
    <row r="70" spans="1:21" s="14" customFormat="1" x14ac:dyDescent="0.3">
      <c r="A70" s="14" t="s">
        <v>65</v>
      </c>
      <c r="B70" s="26" t="s">
        <v>150</v>
      </c>
      <c r="C70" s="26"/>
      <c r="D70" s="15">
        <v>0.84566240920499902</v>
      </c>
      <c r="E70" s="16">
        <v>43466</v>
      </c>
      <c r="F70" s="14" t="s">
        <v>228</v>
      </c>
      <c r="G70" s="14" t="s">
        <v>230</v>
      </c>
      <c r="H70" s="14" t="s">
        <v>234</v>
      </c>
      <c r="I70"/>
      <c r="J70">
        <f t="shared" si="2"/>
        <v>2025</v>
      </c>
      <c r="K70" s="17">
        <f>448*0.2</f>
        <v>89.600000000000009</v>
      </c>
      <c r="L70" s="17">
        <f>389*0.2</f>
        <v>77.800000000000011</v>
      </c>
      <c r="N70" s="14">
        <f>92.9*0.2</f>
        <v>18.580000000000002</v>
      </c>
      <c r="O70" s="17">
        <f>14.9*0.2</f>
        <v>2.9800000000000004</v>
      </c>
      <c r="Q70" s="14">
        <f>650*0.2</f>
        <v>130</v>
      </c>
      <c r="R70" s="17">
        <f>104*0.2</f>
        <v>20.8</v>
      </c>
      <c r="S70" s="14">
        <f>5416.66666666667*0.2</f>
        <v>1083.3333333333339</v>
      </c>
      <c r="T70" s="17">
        <f>866.666666666667*0.2</f>
        <v>173.3333333333334</v>
      </c>
      <c r="U70" s="17">
        <f t="shared" si="1"/>
        <v>11.799999999999997</v>
      </c>
    </row>
    <row r="71" spans="1:21" s="14" customFormat="1" x14ac:dyDescent="0.3">
      <c r="A71" s="14" t="s">
        <v>65</v>
      </c>
      <c r="B71" s="26" t="s">
        <v>151</v>
      </c>
      <c r="C71" s="26"/>
      <c r="D71" s="15">
        <v>0.84566240920499902</v>
      </c>
      <c r="E71" s="16">
        <v>43466</v>
      </c>
      <c r="F71" s="14" t="s">
        <v>228</v>
      </c>
      <c r="G71" s="14" t="s">
        <v>230</v>
      </c>
      <c r="H71" s="14" t="s">
        <v>234</v>
      </c>
      <c r="I71"/>
      <c r="J71">
        <f t="shared" si="2"/>
        <v>2025</v>
      </c>
      <c r="K71" s="17">
        <f>270*0.2</f>
        <v>54</v>
      </c>
      <c r="L71" s="17">
        <f>144*0.2</f>
        <v>28.8</v>
      </c>
      <c r="N71" s="14">
        <f>33.3*0.2</f>
        <v>6.66</v>
      </c>
      <c r="O71" s="17">
        <f>5.3*0.2</f>
        <v>1.06</v>
      </c>
      <c r="Q71" s="14">
        <f>167*0.2</f>
        <v>33.4</v>
      </c>
      <c r="R71" s="17">
        <f>26.7*0.2</f>
        <v>5.34</v>
      </c>
      <c r="S71" s="14">
        <f>1391.66666666667*0.2</f>
        <v>278.333333333334</v>
      </c>
      <c r="T71" s="17">
        <f>222.5*0.2</f>
        <v>44.5</v>
      </c>
      <c r="U71" s="17">
        <f t="shared" si="1"/>
        <v>25.2</v>
      </c>
    </row>
    <row r="72" spans="1:21" s="14" customFormat="1" x14ac:dyDescent="0.3">
      <c r="A72" s="14" t="s">
        <v>65</v>
      </c>
      <c r="B72" s="26" t="s">
        <v>152</v>
      </c>
      <c r="C72" s="26"/>
      <c r="D72" s="15">
        <v>0.84566240920499902</v>
      </c>
      <c r="E72" s="16">
        <v>43466</v>
      </c>
      <c r="F72" s="14" t="s">
        <v>228</v>
      </c>
      <c r="G72" s="14" t="s">
        <v>230</v>
      </c>
      <c r="H72" s="14" t="s">
        <v>234</v>
      </c>
      <c r="I72"/>
      <c r="J72">
        <f t="shared" si="2"/>
        <v>2025</v>
      </c>
      <c r="K72" s="17">
        <v>0</v>
      </c>
      <c r="L72" s="17">
        <v>0</v>
      </c>
      <c r="N72" s="14">
        <v>0</v>
      </c>
      <c r="O72" s="17">
        <v>0</v>
      </c>
      <c r="Q72" s="14">
        <v>0</v>
      </c>
      <c r="R72" s="17">
        <v>0</v>
      </c>
      <c r="S72" s="14">
        <v>0</v>
      </c>
      <c r="T72" s="17">
        <v>0</v>
      </c>
      <c r="U72" s="17">
        <f t="shared" si="1"/>
        <v>0</v>
      </c>
    </row>
    <row r="73" spans="1:21" s="14" customFormat="1" x14ac:dyDescent="0.3">
      <c r="A73" s="14" t="s">
        <v>65</v>
      </c>
      <c r="B73" s="26" t="s">
        <v>153</v>
      </c>
      <c r="C73" s="26"/>
      <c r="D73" s="15">
        <v>0.84566240920499902</v>
      </c>
      <c r="E73" s="16">
        <v>43466</v>
      </c>
      <c r="F73" s="14" t="s">
        <v>228</v>
      </c>
      <c r="G73" s="14" t="s">
        <v>230</v>
      </c>
      <c r="H73" s="14" t="s">
        <v>234</v>
      </c>
      <c r="I73"/>
      <c r="J73">
        <f t="shared" si="2"/>
        <v>2025</v>
      </c>
      <c r="K73" s="17">
        <f>3522*0.2</f>
        <v>704.40000000000009</v>
      </c>
      <c r="L73" s="17">
        <f>3127*0.2</f>
        <v>625.40000000000009</v>
      </c>
      <c r="N73" s="14">
        <f>24*0.2</f>
        <v>4.8000000000000007</v>
      </c>
      <c r="O73" s="17">
        <f>3.8*0.2</f>
        <v>0.76</v>
      </c>
      <c r="Q73" s="14">
        <f>168*0.2</f>
        <v>33.6</v>
      </c>
      <c r="R73" s="17">
        <f>26.9*0.2</f>
        <v>5.38</v>
      </c>
      <c r="S73" s="14">
        <f>1400*0.2</f>
        <v>280</v>
      </c>
      <c r="T73" s="17">
        <f>224.166666666667*0.2</f>
        <v>44.8333333333334</v>
      </c>
      <c r="U73" s="17">
        <f t="shared" si="1"/>
        <v>79</v>
      </c>
    </row>
    <row r="74" spans="1:21" s="14" customFormat="1" x14ac:dyDescent="0.3">
      <c r="A74" s="14" t="s">
        <v>65</v>
      </c>
      <c r="B74" s="26" t="s">
        <v>154</v>
      </c>
      <c r="C74" s="26"/>
      <c r="D74" s="15">
        <v>0.84566240920499902</v>
      </c>
      <c r="E74" s="16">
        <v>43466</v>
      </c>
      <c r="F74" s="14" t="s">
        <v>228</v>
      </c>
      <c r="G74" s="14" t="s">
        <v>230</v>
      </c>
      <c r="H74" s="14" t="s">
        <v>234</v>
      </c>
      <c r="I74"/>
      <c r="J74">
        <f t="shared" si="2"/>
        <v>2025</v>
      </c>
      <c r="K74" s="17">
        <f>568*0.2</f>
        <v>113.60000000000001</v>
      </c>
      <c r="L74" s="17">
        <f>558*0.2</f>
        <v>111.60000000000001</v>
      </c>
      <c r="N74" s="14">
        <f>49*0.2</f>
        <v>9.8000000000000007</v>
      </c>
      <c r="O74" s="17">
        <f>7.8*0.2</f>
        <v>1.56</v>
      </c>
      <c r="Q74" s="14">
        <f>196*0.2</f>
        <v>39.200000000000003</v>
      </c>
      <c r="R74" s="17">
        <f>31.3*0.2</f>
        <v>6.2600000000000007</v>
      </c>
      <c r="S74" s="14">
        <f>1633.33333333333*0.2</f>
        <v>326.66666666666606</v>
      </c>
      <c r="T74" s="17">
        <f>260.833333333333*0.2</f>
        <v>52.1666666666666</v>
      </c>
      <c r="U74" s="17">
        <f t="shared" si="1"/>
        <v>2</v>
      </c>
    </row>
    <row r="75" spans="1:21" x14ac:dyDescent="0.3">
      <c r="A75" t="s">
        <v>65</v>
      </c>
      <c r="B75" t="s">
        <v>75</v>
      </c>
      <c r="D75" s="5">
        <v>0.84566240920499902</v>
      </c>
      <c r="E75" s="1">
        <v>43466</v>
      </c>
      <c r="F75" t="s">
        <v>3</v>
      </c>
      <c r="G75" t="s">
        <v>229</v>
      </c>
      <c r="H75" t="s">
        <v>234</v>
      </c>
      <c r="J75">
        <f t="shared" si="2"/>
        <v>2025</v>
      </c>
      <c r="K75" s="10"/>
      <c r="L75" s="10"/>
    </row>
    <row r="76" spans="1:21" x14ac:dyDescent="0.3">
      <c r="A76" t="s">
        <v>65</v>
      </c>
      <c r="B76" t="s">
        <v>76</v>
      </c>
      <c r="D76" s="5">
        <v>0.85</v>
      </c>
      <c r="E76" s="1">
        <v>43101</v>
      </c>
      <c r="F76" t="s">
        <v>3</v>
      </c>
      <c r="G76" t="s">
        <v>229</v>
      </c>
      <c r="H76" t="s">
        <v>234</v>
      </c>
      <c r="J76">
        <f t="shared" si="2"/>
        <v>2024</v>
      </c>
    </row>
    <row r="77" spans="1:21" x14ac:dyDescent="0.3">
      <c r="A77" t="s">
        <v>65</v>
      </c>
      <c r="B77" t="s">
        <v>77</v>
      </c>
      <c r="D77" s="5">
        <v>0.84566240920499902</v>
      </c>
      <c r="E77" s="1">
        <v>44927</v>
      </c>
      <c r="F77" t="s">
        <v>3</v>
      </c>
      <c r="G77" t="s">
        <v>229</v>
      </c>
      <c r="H77" t="s">
        <v>234</v>
      </c>
      <c r="J77">
        <f t="shared" si="2"/>
        <v>2029</v>
      </c>
    </row>
    <row r="78" spans="1:21" x14ac:dyDescent="0.3">
      <c r="A78" t="s">
        <v>65</v>
      </c>
      <c r="B78" t="s">
        <v>78</v>
      </c>
      <c r="D78" s="5">
        <v>0.84566240920499902</v>
      </c>
      <c r="E78" s="1">
        <v>43466</v>
      </c>
      <c r="F78" t="s">
        <v>3</v>
      </c>
      <c r="G78" t="s">
        <v>229</v>
      </c>
      <c r="H78" t="s">
        <v>234</v>
      </c>
      <c r="J78">
        <f t="shared" si="2"/>
        <v>2025</v>
      </c>
    </row>
    <row r="79" spans="1:21" x14ac:dyDescent="0.3">
      <c r="A79" t="s">
        <v>65</v>
      </c>
      <c r="B79" t="s">
        <v>79</v>
      </c>
      <c r="D79" s="5">
        <v>0.85</v>
      </c>
      <c r="E79" s="1">
        <v>42776</v>
      </c>
      <c r="F79" t="s">
        <v>6</v>
      </c>
      <c r="H79" t="s">
        <v>233</v>
      </c>
      <c r="J79">
        <f t="shared" si="2"/>
        <v>2023</v>
      </c>
    </row>
    <row r="80" spans="1:21" x14ac:dyDescent="0.3">
      <c r="A80" t="s">
        <v>65</v>
      </c>
      <c r="B80" t="s">
        <v>80</v>
      </c>
      <c r="D80" s="5"/>
      <c r="E80" s="1">
        <v>43101</v>
      </c>
      <c r="F80" t="s">
        <v>6</v>
      </c>
      <c r="H80" t="s">
        <v>233</v>
      </c>
      <c r="J80">
        <f t="shared" si="2"/>
        <v>2024</v>
      </c>
      <c r="S80" s="13"/>
    </row>
    <row r="81" spans="1:19" x14ac:dyDescent="0.3">
      <c r="A81" t="s">
        <v>65</v>
      </c>
      <c r="B81" t="s">
        <v>81</v>
      </c>
      <c r="D81" s="5">
        <v>0.85</v>
      </c>
      <c r="E81" s="1">
        <v>43101</v>
      </c>
      <c r="F81" t="s">
        <v>250</v>
      </c>
      <c r="H81" s="30" t="s">
        <v>235</v>
      </c>
      <c r="J81">
        <f t="shared" si="2"/>
        <v>2024</v>
      </c>
    </row>
    <row r="82" spans="1:19" x14ac:dyDescent="0.3">
      <c r="A82" t="s">
        <v>65</v>
      </c>
      <c r="B82" t="s">
        <v>82</v>
      </c>
      <c r="D82" s="5">
        <v>0.85</v>
      </c>
      <c r="E82" s="1">
        <v>43647</v>
      </c>
      <c r="F82" t="s">
        <v>250</v>
      </c>
      <c r="H82" s="30" t="s">
        <v>235</v>
      </c>
      <c r="J82">
        <f t="shared" si="2"/>
        <v>2025</v>
      </c>
    </row>
    <row r="83" spans="1:19" x14ac:dyDescent="0.3">
      <c r="A83" t="s">
        <v>65</v>
      </c>
      <c r="B83" s="23" t="s">
        <v>171</v>
      </c>
      <c r="C83" s="23"/>
      <c r="D83" s="5"/>
      <c r="E83" s="16">
        <v>43466</v>
      </c>
      <c r="F83" t="s">
        <v>250</v>
      </c>
      <c r="G83" t="s">
        <v>231</v>
      </c>
      <c r="H83" s="30" t="s">
        <v>235</v>
      </c>
      <c r="J83">
        <f t="shared" si="2"/>
        <v>2025</v>
      </c>
      <c r="Q83" t="s">
        <v>175</v>
      </c>
      <c r="S83" t="s">
        <v>174</v>
      </c>
    </row>
    <row r="84" spans="1:19" x14ac:dyDescent="0.3">
      <c r="A84" t="s">
        <v>65</v>
      </c>
      <c r="B84" s="23" t="s">
        <v>172</v>
      </c>
      <c r="C84" s="23"/>
      <c r="D84" s="5"/>
      <c r="E84" s="16">
        <v>43101</v>
      </c>
      <c r="F84" t="s">
        <v>250</v>
      </c>
      <c r="G84" t="s">
        <v>231</v>
      </c>
      <c r="H84" s="30" t="s">
        <v>235</v>
      </c>
      <c r="J84">
        <f t="shared" si="2"/>
        <v>2024</v>
      </c>
    </row>
    <row r="85" spans="1:19" x14ac:dyDescent="0.3">
      <c r="A85" t="s">
        <v>65</v>
      </c>
      <c r="B85" s="23" t="s">
        <v>173</v>
      </c>
      <c r="C85" s="23"/>
      <c r="D85" s="5"/>
      <c r="E85" s="16">
        <v>43101</v>
      </c>
      <c r="F85" t="s">
        <v>250</v>
      </c>
      <c r="G85" t="s">
        <v>231</v>
      </c>
      <c r="H85" s="30" t="s">
        <v>235</v>
      </c>
      <c r="J85">
        <f t="shared" si="2"/>
        <v>2024</v>
      </c>
    </row>
    <row r="86" spans="1:19" x14ac:dyDescent="0.3">
      <c r="A86" t="s">
        <v>65</v>
      </c>
      <c r="B86" s="23" t="s">
        <v>236</v>
      </c>
      <c r="C86" s="23"/>
      <c r="D86" s="5"/>
      <c r="E86" s="16">
        <v>43466</v>
      </c>
      <c r="F86" t="s">
        <v>250</v>
      </c>
      <c r="G86" t="s">
        <v>231</v>
      </c>
      <c r="H86" s="30" t="s">
        <v>235</v>
      </c>
      <c r="J86">
        <f t="shared" si="2"/>
        <v>2025</v>
      </c>
    </row>
    <row r="87" spans="1:19" x14ac:dyDescent="0.3">
      <c r="A87" t="s">
        <v>65</v>
      </c>
      <c r="B87" s="23" t="s">
        <v>237</v>
      </c>
      <c r="C87" s="23"/>
      <c r="D87" s="5"/>
      <c r="E87" s="16">
        <v>43466</v>
      </c>
      <c r="F87" t="s">
        <v>250</v>
      </c>
      <c r="G87" t="s">
        <v>231</v>
      </c>
      <c r="H87" s="30" t="s">
        <v>235</v>
      </c>
      <c r="J87">
        <f t="shared" si="2"/>
        <v>2025</v>
      </c>
    </row>
    <row r="88" spans="1:19" x14ac:dyDescent="0.3">
      <c r="A88" t="s">
        <v>83</v>
      </c>
      <c r="B88" t="s">
        <v>84</v>
      </c>
      <c r="D88" s="5">
        <v>0.91</v>
      </c>
      <c r="E88" s="1">
        <v>40513</v>
      </c>
      <c r="F88" t="s">
        <v>6</v>
      </c>
      <c r="G88" t="s">
        <v>229</v>
      </c>
      <c r="H88" t="s">
        <v>233</v>
      </c>
      <c r="I88" t="str">
        <f>IF(VLOOKUP(B88,'Superseded C&amp;S'!$B$5:$B$39,1,FALSE)='C&amp;S List'!B88,"Yes","No")</f>
        <v>Yes</v>
      </c>
      <c r="J88" t="str">
        <f t="shared" si="2"/>
        <v>n/a</v>
      </c>
    </row>
    <row r="89" spans="1:19" x14ac:dyDescent="0.3">
      <c r="A89" t="s">
        <v>83</v>
      </c>
      <c r="B89" t="s">
        <v>10</v>
      </c>
      <c r="D89" s="5">
        <v>0.37</v>
      </c>
      <c r="E89" s="1">
        <v>40786</v>
      </c>
      <c r="F89" t="s">
        <v>6</v>
      </c>
      <c r="G89" t="s">
        <v>229</v>
      </c>
      <c r="H89" t="s">
        <v>233</v>
      </c>
      <c r="I89" t="str">
        <f>IF(VLOOKUP(B89,'Superseded C&amp;S'!$B$5:$B$39,1,FALSE)='C&amp;S List'!B89,"Yes","No")</f>
        <v>Yes</v>
      </c>
      <c r="J89" t="str">
        <f t="shared" si="2"/>
        <v>n/a</v>
      </c>
    </row>
    <row r="90" spans="1:19" x14ac:dyDescent="0.3">
      <c r="A90" t="s">
        <v>83</v>
      </c>
      <c r="B90" t="s">
        <v>85</v>
      </c>
      <c r="C90" t="s">
        <v>370</v>
      </c>
      <c r="D90" s="5">
        <v>0.7</v>
      </c>
      <c r="E90" s="1">
        <v>40909</v>
      </c>
      <c r="F90" t="s">
        <v>6</v>
      </c>
      <c r="G90" t="s">
        <v>229</v>
      </c>
      <c r="H90" t="s">
        <v>233</v>
      </c>
      <c r="I90" t="str">
        <f>IF(VLOOKUP(B90,'Superseded C&amp;S'!$B$5:$B$39,1,FALSE)='C&amp;S List'!B90,"Yes","No")</f>
        <v>Yes</v>
      </c>
      <c r="J90" t="str">
        <f t="shared" si="2"/>
        <v>n/a</v>
      </c>
    </row>
    <row r="91" spans="1:19" x14ac:dyDescent="0.3">
      <c r="A91" t="s">
        <v>83</v>
      </c>
      <c r="B91" t="s">
        <v>86</v>
      </c>
      <c r="C91" t="s">
        <v>371</v>
      </c>
      <c r="D91" s="5">
        <v>1</v>
      </c>
      <c r="E91" s="1">
        <v>41008</v>
      </c>
      <c r="F91" t="s">
        <v>6</v>
      </c>
      <c r="G91" t="s">
        <v>229</v>
      </c>
      <c r="H91" t="s">
        <v>233</v>
      </c>
      <c r="J91">
        <f t="shared" si="2"/>
        <v>2018</v>
      </c>
    </row>
    <row r="92" spans="1:19" x14ac:dyDescent="0.3">
      <c r="A92" t="s">
        <v>83</v>
      </c>
      <c r="B92" t="s">
        <v>87</v>
      </c>
      <c r="D92" s="5">
        <v>0.95</v>
      </c>
      <c r="E92" s="1">
        <v>41104</v>
      </c>
      <c r="F92" t="s">
        <v>6</v>
      </c>
      <c r="G92" t="s">
        <v>229</v>
      </c>
      <c r="H92" t="s">
        <v>233</v>
      </c>
      <c r="I92" t="str">
        <f>IF(VLOOKUP(B92,'Superseded C&amp;S'!$B$5:$B$39,1,FALSE)='C&amp;S List'!B92,"Yes","No")</f>
        <v>Yes</v>
      </c>
      <c r="J92" t="str">
        <f t="shared" si="2"/>
        <v>n/a</v>
      </c>
    </row>
    <row r="93" spans="1:19" x14ac:dyDescent="0.3">
      <c r="A93" t="s">
        <v>83</v>
      </c>
      <c r="B93" t="s">
        <v>88</v>
      </c>
      <c r="D93" s="5">
        <v>6.9000000000000006E-2</v>
      </c>
      <c r="E93" s="1">
        <v>41104</v>
      </c>
      <c r="F93" t="s">
        <v>6</v>
      </c>
      <c r="G93" t="s">
        <v>229</v>
      </c>
      <c r="H93" t="s">
        <v>233</v>
      </c>
      <c r="J93">
        <f t="shared" si="2"/>
        <v>2018</v>
      </c>
    </row>
    <row r="94" spans="1:19" x14ac:dyDescent="0.3">
      <c r="A94" t="s">
        <v>83</v>
      </c>
      <c r="B94" t="s">
        <v>89</v>
      </c>
      <c r="C94" t="s">
        <v>370</v>
      </c>
      <c r="D94" s="5">
        <v>0.89</v>
      </c>
      <c r="E94" s="1">
        <v>41282</v>
      </c>
      <c r="F94" t="s">
        <v>6</v>
      </c>
      <c r="G94" t="s">
        <v>229</v>
      </c>
      <c r="H94" t="s">
        <v>233</v>
      </c>
      <c r="I94" t="str">
        <f>IF(VLOOKUP(B94,'Superseded C&amp;S'!$B$5:$B$39,1,FALSE)='C&amp;S List'!B94,"Yes","No")</f>
        <v>Yes</v>
      </c>
      <c r="J94" t="str">
        <f t="shared" si="2"/>
        <v>n/a</v>
      </c>
    </row>
    <row r="95" spans="1:19" x14ac:dyDescent="0.3">
      <c r="A95" t="s">
        <v>83</v>
      </c>
      <c r="B95" t="s">
        <v>90</v>
      </c>
      <c r="C95" t="s">
        <v>371</v>
      </c>
      <c r="D95" s="5">
        <v>0.95</v>
      </c>
      <c r="E95" s="1">
        <v>41380</v>
      </c>
      <c r="F95" t="s">
        <v>6</v>
      </c>
      <c r="G95" t="s">
        <v>229</v>
      </c>
      <c r="H95" t="s">
        <v>233</v>
      </c>
      <c r="J95">
        <f t="shared" si="2"/>
        <v>2019</v>
      </c>
    </row>
    <row r="96" spans="1:19" x14ac:dyDescent="0.3">
      <c r="A96" t="s">
        <v>83</v>
      </c>
      <c r="B96" t="s">
        <v>91</v>
      </c>
      <c r="C96" t="s">
        <v>371</v>
      </c>
      <c r="D96" s="5">
        <v>0.95</v>
      </c>
      <c r="E96" s="1">
        <v>41380</v>
      </c>
      <c r="F96" t="s">
        <v>6</v>
      </c>
      <c r="G96" t="s">
        <v>229</v>
      </c>
      <c r="H96" t="s">
        <v>233</v>
      </c>
      <c r="J96">
        <f t="shared" si="2"/>
        <v>2019</v>
      </c>
    </row>
    <row r="97" spans="1:10" x14ac:dyDescent="0.3">
      <c r="A97" t="s">
        <v>83</v>
      </c>
      <c r="B97" t="s">
        <v>92</v>
      </c>
      <c r="C97" t="s">
        <v>371</v>
      </c>
      <c r="D97" s="5">
        <v>0.95</v>
      </c>
      <c r="E97" s="1">
        <v>41897</v>
      </c>
      <c r="F97" t="s">
        <v>6</v>
      </c>
      <c r="G97" t="s">
        <v>229</v>
      </c>
      <c r="H97" t="s">
        <v>233</v>
      </c>
      <c r="J97">
        <f t="shared" si="2"/>
        <v>2020</v>
      </c>
    </row>
    <row r="98" spans="1:10" x14ac:dyDescent="0.3">
      <c r="A98" t="s">
        <v>83</v>
      </c>
      <c r="B98" t="s">
        <v>93</v>
      </c>
      <c r="C98" t="s">
        <v>371</v>
      </c>
      <c r="D98" s="5">
        <v>0.91</v>
      </c>
      <c r="E98" s="1">
        <v>41791</v>
      </c>
      <c r="F98" t="s">
        <v>6</v>
      </c>
      <c r="G98" t="s">
        <v>229</v>
      </c>
      <c r="H98" t="s">
        <v>233</v>
      </c>
      <c r="J98">
        <f t="shared" si="2"/>
        <v>2020</v>
      </c>
    </row>
    <row r="99" spans="1:10" x14ac:dyDescent="0.3">
      <c r="A99" t="s">
        <v>83</v>
      </c>
      <c r="B99" t="s">
        <v>94</v>
      </c>
      <c r="D99" s="5">
        <v>0.8</v>
      </c>
      <c r="E99" s="1">
        <v>41957</v>
      </c>
      <c r="F99" t="s">
        <v>6</v>
      </c>
      <c r="G99" t="s">
        <v>229</v>
      </c>
      <c r="H99" t="s">
        <v>233</v>
      </c>
      <c r="J99">
        <f t="shared" si="2"/>
        <v>2020</v>
      </c>
    </row>
    <row r="100" spans="1:10" x14ac:dyDescent="0.3">
      <c r="A100" t="s">
        <v>83</v>
      </c>
      <c r="B100" t="s">
        <v>95</v>
      </c>
      <c r="C100" t="s">
        <v>370</v>
      </c>
      <c r="D100" s="5">
        <v>1</v>
      </c>
      <c r="E100" s="1">
        <v>41426</v>
      </c>
      <c r="F100" t="s">
        <v>6</v>
      </c>
      <c r="G100" t="s">
        <v>229</v>
      </c>
      <c r="H100" t="s">
        <v>233</v>
      </c>
      <c r="I100" t="str">
        <f>IF(VLOOKUP(B100,'Superseded C&amp;S'!$B$5:$B$39,1,FALSE)='C&amp;S List'!B100,"Yes","No")</f>
        <v>Yes</v>
      </c>
      <c r="J100" t="str">
        <f t="shared" si="2"/>
        <v>n/a</v>
      </c>
    </row>
    <row r="101" spans="1:10" x14ac:dyDescent="0.3">
      <c r="A101" t="s">
        <v>83</v>
      </c>
      <c r="B101" t="s">
        <v>96</v>
      </c>
      <c r="C101" t="s">
        <v>370</v>
      </c>
      <c r="D101" s="5">
        <v>1</v>
      </c>
      <c r="E101" s="1">
        <v>41791</v>
      </c>
      <c r="F101" t="s">
        <v>6</v>
      </c>
      <c r="G101" t="s">
        <v>229</v>
      </c>
      <c r="H101" t="s">
        <v>233</v>
      </c>
      <c r="I101" t="str">
        <f>IF(VLOOKUP(B101,'Superseded C&amp;S'!$B$5:$B$39,1,FALSE)='C&amp;S List'!B101,"Yes","No")</f>
        <v>Yes</v>
      </c>
      <c r="J101" t="str">
        <f t="shared" si="2"/>
        <v>n/a</v>
      </c>
    </row>
    <row r="102" spans="1:10" x14ac:dyDescent="0.3">
      <c r="A102" t="s">
        <v>83</v>
      </c>
      <c r="B102" t="s">
        <v>97</v>
      </c>
      <c r="C102" t="s">
        <v>370</v>
      </c>
      <c r="D102" s="5">
        <v>1</v>
      </c>
      <c r="E102" s="1">
        <v>41576</v>
      </c>
      <c r="F102" t="s">
        <v>6</v>
      </c>
      <c r="G102" t="s">
        <v>229</v>
      </c>
      <c r="H102" t="s">
        <v>233</v>
      </c>
      <c r="J102">
        <f t="shared" si="2"/>
        <v>2019</v>
      </c>
    </row>
    <row r="103" spans="1:10" x14ac:dyDescent="0.3">
      <c r="A103" t="s">
        <v>83</v>
      </c>
      <c r="B103" t="s">
        <v>98</v>
      </c>
      <c r="C103" t="s">
        <v>371</v>
      </c>
      <c r="D103" s="5">
        <v>0.99</v>
      </c>
      <c r="E103" s="1">
        <v>41424</v>
      </c>
      <c r="F103" t="s">
        <v>6</v>
      </c>
      <c r="G103" t="s">
        <v>229</v>
      </c>
      <c r="H103" t="s">
        <v>233</v>
      </c>
      <c r="J103">
        <f t="shared" si="2"/>
        <v>2019</v>
      </c>
    </row>
    <row r="104" spans="1:10" x14ac:dyDescent="0.3">
      <c r="A104" t="s">
        <v>83</v>
      </c>
      <c r="B104" t="s">
        <v>99</v>
      </c>
      <c r="C104" t="s">
        <v>371</v>
      </c>
      <c r="D104" s="5">
        <v>0.85</v>
      </c>
      <c r="E104" s="1">
        <v>42019</v>
      </c>
      <c r="F104" t="s">
        <v>6</v>
      </c>
      <c r="G104" t="s">
        <v>229</v>
      </c>
      <c r="H104" t="s">
        <v>233</v>
      </c>
      <c r="J104">
        <f t="shared" si="2"/>
        <v>2021</v>
      </c>
    </row>
    <row r="105" spans="1:10" x14ac:dyDescent="0.3">
      <c r="A105" t="s">
        <v>83</v>
      </c>
      <c r="B105" t="s">
        <v>100</v>
      </c>
      <c r="C105" t="s">
        <v>371</v>
      </c>
      <c r="D105" s="5">
        <v>0.85</v>
      </c>
      <c r="E105" s="1">
        <v>42109</v>
      </c>
      <c r="F105" t="s">
        <v>6</v>
      </c>
      <c r="G105" t="s">
        <v>229</v>
      </c>
      <c r="H105" t="s">
        <v>233</v>
      </c>
      <c r="J105">
        <f t="shared" si="2"/>
        <v>2021</v>
      </c>
    </row>
    <row r="106" spans="1:10" x14ac:dyDescent="0.3">
      <c r="A106" t="s">
        <v>83</v>
      </c>
      <c r="B106" t="s">
        <v>101</v>
      </c>
      <c r="C106" t="s">
        <v>371</v>
      </c>
      <c r="D106" s="5">
        <v>0.85</v>
      </c>
      <c r="E106" s="1">
        <v>42109</v>
      </c>
      <c r="F106" t="s">
        <v>6</v>
      </c>
      <c r="G106" t="s">
        <v>229</v>
      </c>
      <c r="H106" t="s">
        <v>233</v>
      </c>
      <c r="J106">
        <f t="shared" si="2"/>
        <v>2021</v>
      </c>
    </row>
    <row r="107" spans="1:10" x14ac:dyDescent="0.3">
      <c r="A107" t="s">
        <v>83</v>
      </c>
      <c r="B107" t="s">
        <v>102</v>
      </c>
      <c r="C107" t="s">
        <v>371</v>
      </c>
      <c r="D107" s="5">
        <v>0.85</v>
      </c>
      <c r="E107" s="1">
        <v>42109</v>
      </c>
      <c r="F107" t="s">
        <v>6</v>
      </c>
      <c r="G107" t="s">
        <v>229</v>
      </c>
      <c r="H107" t="s">
        <v>233</v>
      </c>
      <c r="J107">
        <f t="shared" si="2"/>
        <v>2021</v>
      </c>
    </row>
    <row r="108" spans="1:10" x14ac:dyDescent="0.3">
      <c r="A108" t="s">
        <v>83</v>
      </c>
      <c r="B108" t="s">
        <v>103</v>
      </c>
      <c r="C108" t="s">
        <v>371</v>
      </c>
      <c r="D108" s="5">
        <v>0.85</v>
      </c>
      <c r="E108" s="1">
        <v>42109</v>
      </c>
      <c r="F108" t="s">
        <v>6</v>
      </c>
      <c r="G108" t="s">
        <v>229</v>
      </c>
      <c r="H108" t="s">
        <v>233</v>
      </c>
      <c r="J108">
        <f t="shared" si="2"/>
        <v>2021</v>
      </c>
    </row>
    <row r="109" spans="1:10" x14ac:dyDescent="0.3">
      <c r="A109" t="s">
        <v>83</v>
      </c>
      <c r="B109" t="s">
        <v>104</v>
      </c>
      <c r="D109" s="5">
        <v>0.85</v>
      </c>
      <c r="E109" s="1">
        <v>42078</v>
      </c>
      <c r="F109" t="s">
        <v>6</v>
      </c>
      <c r="G109" t="s">
        <v>229</v>
      </c>
      <c r="H109" t="s">
        <v>233</v>
      </c>
      <c r="J109">
        <f t="shared" si="2"/>
        <v>2021</v>
      </c>
    </row>
    <row r="110" spans="1:10" x14ac:dyDescent="0.3">
      <c r="A110" t="s">
        <v>83</v>
      </c>
      <c r="B110" t="s">
        <v>105</v>
      </c>
      <c r="C110" t="s">
        <v>371</v>
      </c>
      <c r="D110" s="5">
        <v>0.85</v>
      </c>
      <c r="E110" s="1">
        <v>42078</v>
      </c>
      <c r="F110" t="s">
        <v>6</v>
      </c>
      <c r="G110" t="s">
        <v>229</v>
      </c>
      <c r="H110" t="s">
        <v>233</v>
      </c>
      <c r="J110">
        <f t="shared" si="2"/>
        <v>2021</v>
      </c>
    </row>
    <row r="111" spans="1:10" x14ac:dyDescent="0.3">
      <c r="A111" t="s">
        <v>83</v>
      </c>
      <c r="B111" t="s">
        <v>106</v>
      </c>
      <c r="C111" t="s">
        <v>371</v>
      </c>
      <c r="D111" s="5">
        <v>0.85</v>
      </c>
      <c r="E111" s="1">
        <v>42078</v>
      </c>
      <c r="F111" t="s">
        <v>6</v>
      </c>
      <c r="G111" t="s">
        <v>229</v>
      </c>
      <c r="H111" t="s">
        <v>233</v>
      </c>
      <c r="I111" t="str">
        <f>IF(VLOOKUP(B111,'Superseded C&amp;S'!$B$5:$B$39,1,FALSE)='C&amp;S List'!B111,"Yes","No")</f>
        <v>Yes</v>
      </c>
      <c r="J111" t="str">
        <f t="shared" si="2"/>
        <v>n/a</v>
      </c>
    </row>
    <row r="112" spans="1:10" x14ac:dyDescent="0.3">
      <c r="A112" t="s">
        <v>83</v>
      </c>
      <c r="B112" t="s">
        <v>107</v>
      </c>
      <c r="C112" t="s">
        <v>371</v>
      </c>
      <c r="D112" s="5">
        <v>0.95</v>
      </c>
      <c r="E112" s="1">
        <v>43101</v>
      </c>
      <c r="F112" t="s">
        <v>6</v>
      </c>
      <c r="G112" t="s">
        <v>229</v>
      </c>
      <c r="H112" t="s">
        <v>233</v>
      </c>
      <c r="J112">
        <f t="shared" si="2"/>
        <v>2024</v>
      </c>
    </row>
    <row r="113" spans="1:10" x14ac:dyDescent="0.3">
      <c r="A113" t="s">
        <v>83</v>
      </c>
      <c r="B113" t="s">
        <v>108</v>
      </c>
      <c r="C113" t="s">
        <v>371</v>
      </c>
      <c r="D113" s="5">
        <v>0.85</v>
      </c>
      <c r="E113" s="1">
        <v>42019</v>
      </c>
      <c r="F113" t="s">
        <v>6</v>
      </c>
      <c r="G113" t="s">
        <v>229</v>
      </c>
      <c r="H113" t="s">
        <v>233</v>
      </c>
      <c r="J113">
        <f t="shared" si="2"/>
        <v>2021</v>
      </c>
    </row>
    <row r="114" spans="1:10" x14ac:dyDescent="0.3">
      <c r="A114" t="s">
        <v>83</v>
      </c>
      <c r="B114" t="s">
        <v>109</v>
      </c>
      <c r="D114" s="5">
        <v>0.85</v>
      </c>
      <c r="E114" s="1">
        <v>42410</v>
      </c>
      <c r="F114" t="s">
        <v>6</v>
      </c>
      <c r="G114" t="s">
        <v>229</v>
      </c>
      <c r="H114" t="s">
        <v>233</v>
      </c>
      <c r="J114">
        <f t="shared" si="2"/>
        <v>2022</v>
      </c>
    </row>
    <row r="115" spans="1:10" x14ac:dyDescent="0.3">
      <c r="A115" t="s">
        <v>83</v>
      </c>
      <c r="B115" t="s">
        <v>110</v>
      </c>
      <c r="D115" s="5">
        <v>0.85</v>
      </c>
      <c r="E115" s="1">
        <v>43264</v>
      </c>
      <c r="F115" t="s">
        <v>6</v>
      </c>
      <c r="G115" t="s">
        <v>229</v>
      </c>
      <c r="H115" t="s">
        <v>233</v>
      </c>
      <c r="J115">
        <f t="shared" si="2"/>
        <v>2024</v>
      </c>
    </row>
    <row r="116" spans="1:10" x14ac:dyDescent="0.3">
      <c r="A116" t="s">
        <v>83</v>
      </c>
      <c r="B116" t="s">
        <v>111</v>
      </c>
      <c r="C116" t="s">
        <v>370</v>
      </c>
      <c r="D116" s="5">
        <v>0.85</v>
      </c>
      <c r="E116" s="1">
        <v>42891</v>
      </c>
      <c r="F116" t="s">
        <v>6</v>
      </c>
      <c r="G116" t="s">
        <v>229</v>
      </c>
      <c r="H116" t="s">
        <v>233</v>
      </c>
      <c r="J116">
        <f t="shared" si="2"/>
        <v>2023</v>
      </c>
    </row>
    <row r="117" spans="1:10" x14ac:dyDescent="0.3">
      <c r="A117" t="s">
        <v>83</v>
      </c>
      <c r="B117" t="s">
        <v>112</v>
      </c>
      <c r="C117" t="s">
        <v>370</v>
      </c>
      <c r="D117" s="5">
        <v>0.85</v>
      </c>
      <c r="E117" s="1">
        <v>42891</v>
      </c>
      <c r="F117" t="s">
        <v>6</v>
      </c>
      <c r="G117" t="s">
        <v>229</v>
      </c>
      <c r="H117" t="s">
        <v>233</v>
      </c>
      <c r="J117">
        <f t="shared" si="2"/>
        <v>2023</v>
      </c>
    </row>
    <row r="118" spans="1:10" x14ac:dyDescent="0.3">
      <c r="A118" t="s">
        <v>83</v>
      </c>
      <c r="B118" t="s">
        <v>113</v>
      </c>
      <c r="D118" s="5">
        <v>0.85</v>
      </c>
      <c r="E118" s="1">
        <v>42370</v>
      </c>
      <c r="F118" t="s">
        <v>6</v>
      </c>
      <c r="G118" t="s">
        <v>229</v>
      </c>
      <c r="H118" t="s">
        <v>233</v>
      </c>
      <c r="J118">
        <f t="shared" si="2"/>
        <v>2022</v>
      </c>
    </row>
    <row r="119" spans="1:10" x14ac:dyDescent="0.3">
      <c r="A119" t="s">
        <v>83</v>
      </c>
      <c r="B119" t="s">
        <v>114</v>
      </c>
      <c r="C119" t="s">
        <v>370</v>
      </c>
      <c r="D119" s="5">
        <v>0.85</v>
      </c>
      <c r="E119" s="1">
        <v>42821</v>
      </c>
      <c r="F119" t="s">
        <v>6</v>
      </c>
      <c r="G119" t="s">
        <v>229</v>
      </c>
      <c r="H119" t="s">
        <v>233</v>
      </c>
      <c r="J119">
        <f t="shared" si="2"/>
        <v>2023</v>
      </c>
    </row>
    <row r="120" spans="1:10" x14ac:dyDescent="0.3">
      <c r="A120" t="s">
        <v>83</v>
      </c>
      <c r="B120" t="s">
        <v>79</v>
      </c>
      <c r="D120" s="5">
        <v>0.85</v>
      </c>
      <c r="E120" s="1">
        <v>42776</v>
      </c>
      <c r="F120" t="s">
        <v>6</v>
      </c>
      <c r="G120" t="s">
        <v>229</v>
      </c>
      <c r="H120" t="s">
        <v>233</v>
      </c>
      <c r="J120">
        <f t="shared" si="2"/>
        <v>2023</v>
      </c>
    </row>
    <row r="121" spans="1:10" x14ac:dyDescent="0.3">
      <c r="A121" t="s">
        <v>83</v>
      </c>
      <c r="B121" t="s">
        <v>115</v>
      </c>
      <c r="D121" s="5">
        <v>0.85</v>
      </c>
      <c r="E121" s="1">
        <v>43126</v>
      </c>
      <c r="F121" t="s">
        <v>6</v>
      </c>
      <c r="G121" t="s">
        <v>229</v>
      </c>
      <c r="H121" t="s">
        <v>233</v>
      </c>
      <c r="J121">
        <f t="shared" si="2"/>
        <v>2024</v>
      </c>
    </row>
    <row r="122" spans="1:10" x14ac:dyDescent="0.3">
      <c r="A122" t="s">
        <v>83</v>
      </c>
      <c r="B122" t="s">
        <v>116</v>
      </c>
      <c r="C122" t="s">
        <v>370</v>
      </c>
      <c r="D122" s="5">
        <v>0.95</v>
      </c>
      <c r="E122" s="1">
        <v>40970</v>
      </c>
      <c r="F122" t="s">
        <v>6</v>
      </c>
      <c r="G122" t="s">
        <v>229</v>
      </c>
      <c r="H122" t="s">
        <v>233</v>
      </c>
      <c r="J122">
        <f t="shared" si="2"/>
        <v>2018</v>
      </c>
    </row>
    <row r="123" spans="1:10" x14ac:dyDescent="0.3">
      <c r="A123" t="s">
        <v>83</v>
      </c>
      <c r="B123" t="s">
        <v>117</v>
      </c>
      <c r="C123" t="s">
        <v>370</v>
      </c>
      <c r="D123" s="5">
        <v>0.85</v>
      </c>
      <c r="E123" s="1">
        <v>43101</v>
      </c>
      <c r="F123" t="s">
        <v>6</v>
      </c>
      <c r="G123" t="s">
        <v>229</v>
      </c>
      <c r="H123" t="s">
        <v>233</v>
      </c>
      <c r="J123">
        <f t="shared" si="2"/>
        <v>2024</v>
      </c>
    </row>
    <row r="124" spans="1:10" x14ac:dyDescent="0.3">
      <c r="A124" t="s">
        <v>83</v>
      </c>
      <c r="B124" t="s">
        <v>118</v>
      </c>
      <c r="C124" t="s">
        <v>370</v>
      </c>
      <c r="D124" s="5">
        <v>0.85</v>
      </c>
      <c r="E124" s="1">
        <v>43101</v>
      </c>
      <c r="F124" t="s">
        <v>6</v>
      </c>
      <c r="G124" t="s">
        <v>229</v>
      </c>
      <c r="H124" t="s">
        <v>233</v>
      </c>
      <c r="J124">
        <f t="shared" si="2"/>
        <v>2024</v>
      </c>
    </row>
    <row r="125" spans="1:10" x14ac:dyDescent="0.3">
      <c r="A125" t="s">
        <v>83</v>
      </c>
      <c r="B125" t="s">
        <v>119</v>
      </c>
      <c r="C125" t="s">
        <v>370</v>
      </c>
      <c r="D125" s="5">
        <v>0.85</v>
      </c>
      <c r="E125" s="1">
        <v>43128</v>
      </c>
      <c r="F125" t="s">
        <v>6</v>
      </c>
      <c r="G125" t="s">
        <v>229</v>
      </c>
      <c r="H125" t="s">
        <v>233</v>
      </c>
      <c r="J125">
        <f t="shared" ref="J125:J137" si="3">IF(I125="Yes","n/a",YEAR(E125)+6)</f>
        <v>2024</v>
      </c>
    </row>
    <row r="126" spans="1:10" x14ac:dyDescent="0.3">
      <c r="A126" t="s">
        <v>83</v>
      </c>
      <c r="B126" t="s">
        <v>120</v>
      </c>
      <c r="D126" s="5">
        <v>0.85</v>
      </c>
      <c r="E126" s="1">
        <v>43472</v>
      </c>
      <c r="F126" t="s">
        <v>6</v>
      </c>
      <c r="G126" t="s">
        <v>229</v>
      </c>
      <c r="H126" t="s">
        <v>233</v>
      </c>
      <c r="J126">
        <f t="shared" si="3"/>
        <v>2025</v>
      </c>
    </row>
    <row r="127" spans="1:10" x14ac:dyDescent="0.3">
      <c r="A127" t="s">
        <v>83</v>
      </c>
      <c r="B127" t="s">
        <v>121</v>
      </c>
      <c r="C127" t="s">
        <v>370</v>
      </c>
      <c r="D127" s="5">
        <v>0.85</v>
      </c>
      <c r="E127" s="1">
        <v>43473</v>
      </c>
      <c r="F127" t="s">
        <v>6</v>
      </c>
      <c r="G127" t="s">
        <v>229</v>
      </c>
      <c r="H127" t="s">
        <v>233</v>
      </c>
      <c r="J127">
        <f t="shared" si="3"/>
        <v>2025</v>
      </c>
    </row>
    <row r="128" spans="1:10" x14ac:dyDescent="0.3">
      <c r="A128" t="s">
        <v>83</v>
      </c>
      <c r="B128" t="s">
        <v>122</v>
      </c>
      <c r="D128" s="5">
        <v>0.85</v>
      </c>
      <c r="E128" s="1">
        <v>43493</v>
      </c>
      <c r="F128" t="s">
        <v>6</v>
      </c>
      <c r="G128" t="s">
        <v>229</v>
      </c>
      <c r="H128" t="s">
        <v>233</v>
      </c>
      <c r="J128">
        <f t="shared" si="3"/>
        <v>2025</v>
      </c>
    </row>
    <row r="129" spans="1:10" x14ac:dyDescent="0.3">
      <c r="A129" t="s">
        <v>83</v>
      </c>
      <c r="B129" t="s">
        <v>123</v>
      </c>
      <c r="D129" s="5">
        <v>0.85</v>
      </c>
      <c r="E129" s="1">
        <v>43649</v>
      </c>
      <c r="F129" t="s">
        <v>6</v>
      </c>
      <c r="G129" t="s">
        <v>229</v>
      </c>
      <c r="H129" t="s">
        <v>233</v>
      </c>
      <c r="J129">
        <f t="shared" si="3"/>
        <v>2025</v>
      </c>
    </row>
    <row r="130" spans="1:10" x14ac:dyDescent="0.3">
      <c r="A130" t="s">
        <v>83</v>
      </c>
      <c r="B130" t="s">
        <v>124</v>
      </c>
      <c r="D130" s="5">
        <v>0.85</v>
      </c>
      <c r="E130" s="1">
        <v>43629</v>
      </c>
      <c r="F130" t="s">
        <v>6</v>
      </c>
      <c r="G130" t="s">
        <v>229</v>
      </c>
      <c r="H130" t="s">
        <v>233</v>
      </c>
      <c r="J130">
        <f t="shared" si="3"/>
        <v>2025</v>
      </c>
    </row>
    <row r="131" spans="1:10" x14ac:dyDescent="0.3">
      <c r="A131" t="s">
        <v>83</v>
      </c>
      <c r="B131" t="s">
        <v>125</v>
      </c>
      <c r="D131" s="5">
        <v>0.85</v>
      </c>
      <c r="E131" s="1">
        <v>43731</v>
      </c>
      <c r="F131" t="s">
        <v>6</v>
      </c>
      <c r="G131" t="s">
        <v>229</v>
      </c>
      <c r="H131" t="s">
        <v>233</v>
      </c>
      <c r="J131">
        <f t="shared" si="3"/>
        <v>2025</v>
      </c>
    </row>
    <row r="132" spans="1:10" x14ac:dyDescent="0.3">
      <c r="A132" t="s">
        <v>83</v>
      </c>
      <c r="B132" t="s">
        <v>126</v>
      </c>
      <c r="C132" t="s">
        <v>370</v>
      </c>
      <c r="D132" s="5">
        <v>0.85</v>
      </c>
      <c r="E132" s="1">
        <v>43857</v>
      </c>
      <c r="F132" t="s">
        <v>6</v>
      </c>
      <c r="G132" t="s">
        <v>229</v>
      </c>
      <c r="H132" t="s">
        <v>233</v>
      </c>
      <c r="J132">
        <f t="shared" si="3"/>
        <v>2026</v>
      </c>
    </row>
    <row r="133" spans="1:10" x14ac:dyDescent="0.3">
      <c r="A133" t="s">
        <v>83</v>
      </c>
      <c r="B133" t="s">
        <v>127</v>
      </c>
      <c r="C133" t="s">
        <v>371</v>
      </c>
      <c r="D133" s="5">
        <v>0.85</v>
      </c>
      <c r="E133" s="1">
        <v>44211</v>
      </c>
      <c r="F133" t="s">
        <v>6</v>
      </c>
      <c r="G133" t="s">
        <v>229</v>
      </c>
      <c r="H133" t="s">
        <v>233</v>
      </c>
      <c r="J133">
        <f t="shared" si="3"/>
        <v>2027</v>
      </c>
    </row>
    <row r="134" spans="1:10" x14ac:dyDescent="0.3">
      <c r="A134" t="s">
        <v>83</v>
      </c>
      <c r="B134" t="s">
        <v>128</v>
      </c>
      <c r="C134" t="s">
        <v>370</v>
      </c>
      <c r="D134" s="5">
        <v>0.85</v>
      </c>
      <c r="E134" s="1">
        <v>44927</v>
      </c>
      <c r="F134" t="s">
        <v>6</v>
      </c>
      <c r="G134" t="s">
        <v>229</v>
      </c>
      <c r="H134" t="s">
        <v>233</v>
      </c>
      <c r="J134">
        <f t="shared" si="3"/>
        <v>2029</v>
      </c>
    </row>
    <row r="135" spans="1:10" x14ac:dyDescent="0.3">
      <c r="A135" t="s">
        <v>83</v>
      </c>
      <c r="B135" t="s">
        <v>129</v>
      </c>
      <c r="C135" t="s">
        <v>370</v>
      </c>
      <c r="D135" s="5">
        <v>0.85</v>
      </c>
      <c r="E135" s="1">
        <v>44927</v>
      </c>
      <c r="F135" t="s">
        <v>6</v>
      </c>
      <c r="G135" t="s">
        <v>229</v>
      </c>
      <c r="H135" t="s">
        <v>233</v>
      </c>
      <c r="J135">
        <f t="shared" si="3"/>
        <v>2029</v>
      </c>
    </row>
    <row r="136" spans="1:10" x14ac:dyDescent="0.3">
      <c r="A136" t="s">
        <v>83</v>
      </c>
      <c r="B136" t="s">
        <v>130</v>
      </c>
      <c r="D136" s="5">
        <v>0.85</v>
      </c>
      <c r="E136" s="1">
        <v>42522</v>
      </c>
      <c r="F136" t="s">
        <v>6</v>
      </c>
      <c r="G136" t="s">
        <v>229</v>
      </c>
      <c r="H136" t="s">
        <v>233</v>
      </c>
      <c r="J136">
        <f t="shared" si="3"/>
        <v>2022</v>
      </c>
    </row>
    <row r="137" spans="1:10" x14ac:dyDescent="0.3">
      <c r="A137" t="s">
        <v>83</v>
      </c>
      <c r="B137" t="s">
        <v>131</v>
      </c>
      <c r="D137" s="5">
        <v>0.85</v>
      </c>
      <c r="E137" s="1">
        <v>42538</v>
      </c>
      <c r="F137" t="s">
        <v>6</v>
      </c>
      <c r="G137" t="s">
        <v>229</v>
      </c>
      <c r="H137" t="s">
        <v>233</v>
      </c>
      <c r="J137">
        <f t="shared" si="3"/>
        <v>2022</v>
      </c>
    </row>
    <row r="138" spans="1:10" x14ac:dyDescent="0.3">
      <c r="A138" t="s">
        <v>245</v>
      </c>
      <c r="B138" s="41" t="s">
        <v>177</v>
      </c>
      <c r="C138" s="23"/>
      <c r="D138" s="5"/>
      <c r="E138" s="1"/>
      <c r="F138" s="1" t="s">
        <v>228</v>
      </c>
      <c r="G138" t="s">
        <v>367</v>
      </c>
      <c r="H138" t="s">
        <v>234</v>
      </c>
    </row>
    <row r="139" spans="1:10" x14ac:dyDescent="0.3">
      <c r="A139" t="s">
        <v>245</v>
      </c>
      <c r="B139" s="2" t="s">
        <v>716</v>
      </c>
      <c r="C139" t="s">
        <v>371</v>
      </c>
      <c r="D139" s="5"/>
      <c r="E139" s="1"/>
      <c r="F139" t="s">
        <v>3</v>
      </c>
      <c r="G139" t="s">
        <v>365</v>
      </c>
      <c r="H139" t="s">
        <v>234</v>
      </c>
    </row>
    <row r="140" spans="1:10" x14ac:dyDescent="0.3">
      <c r="D140" s="5"/>
      <c r="E140" s="1"/>
    </row>
    <row r="141" spans="1:10" x14ac:dyDescent="0.3">
      <c r="D141" s="5"/>
      <c r="E141" s="1"/>
    </row>
    <row r="142" spans="1:10" x14ac:dyDescent="0.3">
      <c r="D142" s="5"/>
      <c r="E142" s="1"/>
    </row>
    <row r="143" spans="1:10" x14ac:dyDescent="0.3">
      <c r="D143" s="5"/>
      <c r="E143" s="1"/>
    </row>
    <row r="144" spans="1:10" x14ac:dyDescent="0.3">
      <c r="D144" s="5"/>
      <c r="E144" s="1"/>
    </row>
    <row r="145" spans="4:5" x14ac:dyDescent="0.3">
      <c r="D145" s="5"/>
      <c r="E145" s="1"/>
    </row>
    <row r="146" spans="4:5" x14ac:dyDescent="0.3">
      <c r="D146" s="5"/>
      <c r="E146" s="1"/>
    </row>
    <row r="147" spans="4:5" x14ac:dyDescent="0.3">
      <c r="D147" s="5"/>
      <c r="E147" s="1"/>
    </row>
    <row r="148" spans="4:5" x14ac:dyDescent="0.3">
      <c r="D148" s="5"/>
      <c r="E148" s="1"/>
    </row>
    <row r="149" spans="4:5" x14ac:dyDescent="0.3">
      <c r="D149" s="5"/>
      <c r="E149" s="1"/>
    </row>
    <row r="150" spans="4:5" x14ac:dyDescent="0.3">
      <c r="D150" s="5"/>
      <c r="E150" s="1"/>
    </row>
    <row r="151" spans="4:5" x14ac:dyDescent="0.3">
      <c r="D151" s="5"/>
      <c r="E151" s="1"/>
    </row>
    <row r="152" spans="4:5" x14ac:dyDescent="0.3">
      <c r="D152" s="5"/>
      <c r="E152" s="1"/>
    </row>
    <row r="153" spans="4:5" x14ac:dyDescent="0.3">
      <c r="D153" s="5"/>
      <c r="E153" s="1"/>
    </row>
    <row r="154" spans="4:5" x14ac:dyDescent="0.3">
      <c r="D154" s="5"/>
      <c r="E154" s="1"/>
    </row>
    <row r="155" spans="4:5" x14ac:dyDescent="0.3">
      <c r="D155" s="5"/>
      <c r="E155" s="1"/>
    </row>
    <row r="156" spans="4:5" x14ac:dyDescent="0.3">
      <c r="D156" s="5"/>
      <c r="E156" s="1"/>
    </row>
    <row r="157" spans="4:5" x14ac:dyDescent="0.3">
      <c r="D157" s="5"/>
      <c r="E157" s="1"/>
    </row>
    <row r="158" spans="4:5" x14ac:dyDescent="0.3">
      <c r="D158" s="5"/>
      <c r="E158" s="1"/>
    </row>
    <row r="159" spans="4:5" x14ac:dyDescent="0.3">
      <c r="D159" s="5"/>
      <c r="E159" s="1"/>
    </row>
    <row r="160" spans="4:5" x14ac:dyDescent="0.3">
      <c r="D160" s="5"/>
      <c r="E160" s="1"/>
    </row>
    <row r="161" spans="4:5" x14ac:dyDescent="0.3">
      <c r="D161" s="5"/>
      <c r="E161" s="1"/>
    </row>
    <row r="162" spans="4:5" x14ac:dyDescent="0.3">
      <c r="D162" s="5"/>
      <c r="E162" s="1"/>
    </row>
    <row r="163" spans="4:5" x14ac:dyDescent="0.3">
      <c r="D163" s="5"/>
      <c r="E163" s="1"/>
    </row>
    <row r="164" spans="4:5" x14ac:dyDescent="0.3">
      <c r="D164" s="5"/>
      <c r="E164" s="1"/>
    </row>
    <row r="165" spans="4:5" x14ac:dyDescent="0.3">
      <c r="D165" s="5"/>
      <c r="E165" s="1"/>
    </row>
    <row r="166" spans="4:5" x14ac:dyDescent="0.3">
      <c r="D166" s="5"/>
      <c r="E166" s="1"/>
    </row>
    <row r="167" spans="4:5" x14ac:dyDescent="0.3">
      <c r="D167" s="5"/>
      <c r="E167" s="1"/>
    </row>
    <row r="168" spans="4:5" x14ac:dyDescent="0.3">
      <c r="D168" s="5"/>
      <c r="E168" s="1"/>
    </row>
    <row r="169" spans="4:5" x14ac:dyDescent="0.3">
      <c r="D169" s="5"/>
      <c r="E169" s="1"/>
    </row>
    <row r="170" spans="4:5" x14ac:dyDescent="0.3">
      <c r="D170" s="5"/>
      <c r="E170" s="1"/>
    </row>
    <row r="171" spans="4:5" x14ac:dyDescent="0.3">
      <c r="D171" s="5"/>
      <c r="E171" s="1"/>
    </row>
    <row r="172" spans="4:5" x14ac:dyDescent="0.3">
      <c r="D172" s="5"/>
      <c r="E172" s="1"/>
    </row>
    <row r="173" spans="4:5" x14ac:dyDescent="0.3">
      <c r="D173" s="5"/>
      <c r="E173" s="1"/>
    </row>
    <row r="174" spans="4:5" x14ac:dyDescent="0.3">
      <c r="D174" s="5"/>
      <c r="E174" s="1"/>
    </row>
    <row r="175" spans="4:5" x14ac:dyDescent="0.3">
      <c r="D175" s="5"/>
      <c r="E175" s="1"/>
    </row>
    <row r="176" spans="4:5" x14ac:dyDescent="0.3">
      <c r="D176" s="5"/>
      <c r="E176" s="1"/>
    </row>
    <row r="177" spans="4:5" x14ac:dyDescent="0.3">
      <c r="D177" s="5"/>
      <c r="E177" s="1"/>
    </row>
    <row r="178" spans="4:5" x14ac:dyDescent="0.3">
      <c r="D178" s="5"/>
      <c r="E178" s="1"/>
    </row>
    <row r="179" spans="4:5" x14ac:dyDescent="0.3">
      <c r="D179" s="5"/>
      <c r="E179" s="1"/>
    </row>
    <row r="180" spans="4:5" x14ac:dyDescent="0.3">
      <c r="D180" s="5"/>
      <c r="E180" s="1"/>
    </row>
    <row r="181" spans="4:5" x14ac:dyDescent="0.3">
      <c r="D181" s="5"/>
      <c r="E181" s="1"/>
    </row>
    <row r="182" spans="4:5" x14ac:dyDescent="0.3">
      <c r="D182" s="5"/>
      <c r="E182" s="1"/>
    </row>
    <row r="183" spans="4:5" x14ac:dyDescent="0.3">
      <c r="D183" s="5"/>
      <c r="E183" s="1"/>
    </row>
    <row r="184" spans="4:5" x14ac:dyDescent="0.3">
      <c r="D184" s="5"/>
      <c r="E184" s="1"/>
    </row>
    <row r="185" spans="4:5" x14ac:dyDescent="0.3">
      <c r="D185" s="5"/>
      <c r="E185" s="1"/>
    </row>
    <row r="186" spans="4:5" x14ac:dyDescent="0.3">
      <c r="D186" s="5"/>
      <c r="E186" s="1"/>
    </row>
    <row r="187" spans="4:5" x14ac:dyDescent="0.3">
      <c r="D187" s="5"/>
      <c r="E187" s="1"/>
    </row>
    <row r="188" spans="4:5" x14ac:dyDescent="0.3">
      <c r="D188" s="5"/>
      <c r="E188" s="1"/>
    </row>
    <row r="189" spans="4:5" x14ac:dyDescent="0.3">
      <c r="D189" s="5"/>
      <c r="E189" s="1"/>
    </row>
    <row r="190" spans="4:5" x14ac:dyDescent="0.3">
      <c r="D190" s="5"/>
      <c r="E190" s="1"/>
    </row>
    <row r="191" spans="4:5" x14ac:dyDescent="0.3">
      <c r="D191" s="5"/>
      <c r="E191" s="1"/>
    </row>
    <row r="192" spans="4:5" x14ac:dyDescent="0.3">
      <c r="D192" s="5"/>
      <c r="E192" s="1"/>
    </row>
    <row r="193" spans="4:5" x14ac:dyDescent="0.3">
      <c r="D193" s="5"/>
      <c r="E193" s="1"/>
    </row>
    <row r="194" spans="4:5" x14ac:dyDescent="0.3">
      <c r="D194" s="5"/>
      <c r="E194" s="1"/>
    </row>
    <row r="195" spans="4:5" x14ac:dyDescent="0.3">
      <c r="D195" s="5"/>
      <c r="E195" s="1"/>
    </row>
    <row r="196" spans="4:5" x14ac:dyDescent="0.3">
      <c r="D196" s="5"/>
      <c r="E196" s="1"/>
    </row>
    <row r="197" spans="4:5" x14ac:dyDescent="0.3">
      <c r="D197" s="5"/>
      <c r="E197" s="1"/>
    </row>
    <row r="198" spans="4:5" x14ac:dyDescent="0.3">
      <c r="D198" s="5"/>
      <c r="E198" s="1"/>
    </row>
    <row r="199" spans="4:5" x14ac:dyDescent="0.3">
      <c r="D199" s="5"/>
      <c r="E199" s="1"/>
    </row>
    <row r="200" spans="4:5" x14ac:dyDescent="0.3">
      <c r="D200" s="5"/>
      <c r="E200" s="1"/>
    </row>
    <row r="201" spans="4:5" x14ac:dyDescent="0.3">
      <c r="D201" s="5"/>
      <c r="E201" s="1"/>
    </row>
  </sheetData>
  <conditionalFormatting sqref="A57:J74 W57:XFD74 A3:XFD56 A75:XFD411">
    <cfRule type="expression" dxfId="79" priority="1">
      <formula>$H3="Yes"</formula>
    </cfRule>
  </conditionalFormatting>
  <conditionalFormatting sqref="K57:V74">
    <cfRule type="expression" dxfId="78" priority="6">
      <formula>#REF!="Yes"</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AG115"/>
  <sheetViews>
    <sheetView windowProtection="1" zoomScale="70" zoomScaleNormal="70" workbookViewId="0">
      <pane xSplit="3" ySplit="2" topLeftCell="I3" activePane="bottomRight" state="frozen"/>
      <selection activeCell="D31" sqref="D31"/>
      <selection pane="topRight" activeCell="D31" sqref="D31"/>
      <selection pane="bottomLeft" activeCell="D31" sqref="D31"/>
      <selection pane="bottomRight" activeCell="D31" sqref="D31"/>
    </sheetView>
  </sheetViews>
  <sheetFormatPr defaultRowHeight="14.4" x14ac:dyDescent="0.3"/>
  <cols>
    <col min="1" max="1" width="13.88671875" bestFit="1" customWidth="1"/>
    <col min="2" max="2" width="40" bestFit="1" customWidth="1"/>
    <col min="3" max="3" width="24.109375" customWidth="1"/>
    <col min="4" max="4" width="16.109375" bestFit="1" customWidth="1"/>
    <col min="5" max="5" width="22.44140625" bestFit="1" customWidth="1"/>
    <col min="6" max="6" width="16.109375" customWidth="1"/>
    <col min="7" max="7" width="30" bestFit="1" customWidth="1"/>
    <col min="8" max="8" width="7.5546875" bestFit="1" customWidth="1"/>
    <col min="9" max="9" width="15.88671875" bestFit="1" customWidth="1"/>
    <col min="10" max="10" width="20.33203125" bestFit="1" customWidth="1"/>
    <col min="11" max="11" width="13.88671875" customWidth="1"/>
    <col min="12" max="13" width="15" customWidth="1"/>
    <col min="14" max="15" width="7.5546875" customWidth="1"/>
    <col min="16" max="16" width="8.33203125" bestFit="1" customWidth="1"/>
    <col min="17" max="18" width="22.44140625" customWidth="1"/>
    <col min="19" max="19" width="22.44140625" bestFit="1" customWidth="1"/>
    <col min="20" max="28" width="22.44140625" customWidth="1"/>
    <col min="30" max="30" width="12" bestFit="1" customWidth="1"/>
  </cols>
  <sheetData>
    <row r="1" spans="1:33" x14ac:dyDescent="0.3">
      <c r="Q1" s="184" t="s">
        <v>719</v>
      </c>
      <c r="R1" s="184"/>
      <c r="S1" s="185" t="s">
        <v>720</v>
      </c>
      <c r="T1" s="185"/>
      <c r="U1" s="186" t="s">
        <v>721</v>
      </c>
      <c r="V1" s="186"/>
      <c r="AC1" t="s">
        <v>421</v>
      </c>
      <c r="AD1">
        <f>0.2932972222222/1000</f>
        <v>2.9329722222219999E-4</v>
      </c>
      <c r="AE1" t="s">
        <v>422</v>
      </c>
    </row>
    <row r="2" spans="1:33" s="7" customFormat="1" ht="43.2" x14ac:dyDescent="0.3">
      <c r="A2" s="7" t="s">
        <v>0</v>
      </c>
      <c r="B2" s="7" t="s">
        <v>1</v>
      </c>
      <c r="C2" s="7" t="s">
        <v>423</v>
      </c>
      <c r="D2" s="7" t="s">
        <v>374</v>
      </c>
      <c r="E2" s="7" t="s">
        <v>424</v>
      </c>
      <c r="F2" s="7" t="s">
        <v>425</v>
      </c>
      <c r="G2" s="7" t="s">
        <v>181</v>
      </c>
      <c r="H2" s="7" t="s">
        <v>426</v>
      </c>
      <c r="I2" s="7" t="s">
        <v>2</v>
      </c>
      <c r="J2" s="7" t="s">
        <v>427</v>
      </c>
      <c r="K2" s="7" t="s">
        <v>428</v>
      </c>
      <c r="L2" s="7" t="s">
        <v>429</v>
      </c>
      <c r="M2" s="7" t="s">
        <v>430</v>
      </c>
      <c r="N2" s="7" t="s">
        <v>431</v>
      </c>
      <c r="O2" s="7" t="s">
        <v>432</v>
      </c>
      <c r="P2" s="7" t="s">
        <v>433</v>
      </c>
      <c r="Q2" s="80" t="s">
        <v>434</v>
      </c>
      <c r="R2" s="80" t="s">
        <v>435</v>
      </c>
      <c r="S2" s="82" t="s">
        <v>434</v>
      </c>
      <c r="T2" s="82" t="s">
        <v>435</v>
      </c>
      <c r="U2" s="81" t="s">
        <v>434</v>
      </c>
      <c r="V2" s="81" t="s">
        <v>435</v>
      </c>
      <c r="W2" s="7" t="s">
        <v>436</v>
      </c>
      <c r="X2" s="7" t="s">
        <v>437</v>
      </c>
      <c r="Y2" s="7" t="s">
        <v>438</v>
      </c>
      <c r="Z2" s="7" t="s">
        <v>439</v>
      </c>
    </row>
    <row r="3" spans="1:33" x14ac:dyDescent="0.3">
      <c r="A3" t="s">
        <v>245</v>
      </c>
      <c r="B3" s="23" t="s">
        <v>239</v>
      </c>
      <c r="C3" s="23" t="s">
        <v>440</v>
      </c>
      <c r="D3" t="s">
        <v>441</v>
      </c>
      <c r="E3" t="s">
        <v>250</v>
      </c>
      <c r="G3" t="s">
        <v>253</v>
      </c>
      <c r="I3" t="str">
        <f>IF(F3&gt;0,RIGHT(F3,4)+2,"")</f>
        <v/>
      </c>
      <c r="Q3" s="43" t="str">
        <f>IF($D3="none","",$K3*$L3*$N3*(1-$P3))</f>
        <v/>
      </c>
      <c r="R3" s="23" t="str">
        <f>IF($D3="none","",$M3*$K3*$N3*(1-$P3))</f>
        <v/>
      </c>
      <c r="U3" s="43" t="str">
        <f>IF($K3*$L3*$O3*(1-$P3)=0,"",$K3*$L3*$O3*(1-$P3))</f>
        <v/>
      </c>
      <c r="V3" s="23" t="str">
        <f>IF($M3*$K3*$O3*(1-$P3)=0,"",$M3*$K3*$O3*(1-$P3))</f>
        <v/>
      </c>
      <c r="Z3" t="s">
        <v>442</v>
      </c>
    </row>
    <row r="4" spans="1:33" x14ac:dyDescent="0.3">
      <c r="A4" t="s">
        <v>245</v>
      </c>
      <c r="B4" s="23" t="s">
        <v>241</v>
      </c>
      <c r="C4" s="23" t="s">
        <v>443</v>
      </c>
      <c r="D4" t="s">
        <v>441</v>
      </c>
      <c r="E4" t="s">
        <v>250</v>
      </c>
      <c r="G4" t="s">
        <v>253</v>
      </c>
      <c r="I4" t="str">
        <f t="shared" ref="I4:I67" si="0">IF(F4&gt;0,RIGHT(F4,4)+2,"")</f>
        <v/>
      </c>
      <c r="Q4" s="43" t="str">
        <f t="shared" ref="Q4:Q67" si="1">IF($D4="none","",$K4*$L4*$N4*(1-$P4))</f>
        <v/>
      </c>
      <c r="R4" s="23" t="str">
        <f t="shared" ref="R4:R67" si="2">IF($D4="none","",$M4*$K4*$N4*(1-$P4))</f>
        <v/>
      </c>
      <c r="U4" s="43" t="str">
        <f t="shared" ref="U4:U67" si="3">IF($K4*$L4*$O4*(1-$P4)=0,"",$K4*$L4*$O4*(1-$P4))</f>
        <v/>
      </c>
      <c r="V4" s="23" t="str">
        <f t="shared" ref="V4:V67" si="4">IF($M4*$K4*$O4*(1-$P4)=0,"",$M4*$K4*$O4*(1-$P4))</f>
        <v/>
      </c>
      <c r="Z4" t="s">
        <v>444</v>
      </c>
    </row>
    <row r="5" spans="1:33" x14ac:dyDescent="0.3">
      <c r="A5" t="s">
        <v>245</v>
      </c>
      <c r="B5" s="23" t="s">
        <v>240</v>
      </c>
      <c r="C5" s="23" t="s">
        <v>443</v>
      </c>
      <c r="D5" t="s">
        <v>441</v>
      </c>
      <c r="E5" t="s">
        <v>250</v>
      </c>
      <c r="G5" t="s">
        <v>253</v>
      </c>
      <c r="I5" t="str">
        <f t="shared" si="0"/>
        <v/>
      </c>
      <c r="Q5" s="43" t="str">
        <f t="shared" si="1"/>
        <v/>
      </c>
      <c r="R5" s="23" t="str">
        <f t="shared" si="2"/>
        <v/>
      </c>
      <c r="U5" s="43" t="str">
        <f t="shared" si="3"/>
        <v/>
      </c>
      <c r="V5" s="23" t="str">
        <f t="shared" si="4"/>
        <v/>
      </c>
      <c r="Z5" t="s">
        <v>444</v>
      </c>
    </row>
    <row r="6" spans="1:33" x14ac:dyDescent="0.3">
      <c r="A6" t="s">
        <v>65</v>
      </c>
      <c r="B6" s="44" t="s">
        <v>246</v>
      </c>
      <c r="C6" s="44" t="s">
        <v>443</v>
      </c>
      <c r="D6" t="s">
        <v>441</v>
      </c>
      <c r="E6" t="s">
        <v>250</v>
      </c>
      <c r="G6" t="s">
        <v>254</v>
      </c>
      <c r="I6" t="str">
        <f t="shared" si="0"/>
        <v/>
      </c>
      <c r="Q6" s="43" t="str">
        <f t="shared" si="1"/>
        <v/>
      </c>
      <c r="R6" s="23" t="str">
        <f t="shared" si="2"/>
        <v/>
      </c>
      <c r="U6" s="43" t="str">
        <f t="shared" si="3"/>
        <v/>
      </c>
      <c r="V6" s="23" t="str">
        <f t="shared" si="4"/>
        <v/>
      </c>
      <c r="Z6" t="s">
        <v>445</v>
      </c>
      <c r="AC6" t="s">
        <v>446</v>
      </c>
      <c r="AD6" t="s">
        <v>447</v>
      </c>
      <c r="AE6" t="s">
        <v>448</v>
      </c>
      <c r="AF6" t="s">
        <v>449</v>
      </c>
      <c r="AG6" t="s">
        <v>450</v>
      </c>
    </row>
    <row r="7" spans="1:33" x14ac:dyDescent="0.3">
      <c r="A7" t="s">
        <v>65</v>
      </c>
      <c r="B7" s="41" t="s">
        <v>247</v>
      </c>
      <c r="C7" s="41" t="s">
        <v>451</v>
      </c>
      <c r="D7" t="s">
        <v>441</v>
      </c>
      <c r="E7" t="s">
        <v>250</v>
      </c>
      <c r="F7" t="s">
        <v>452</v>
      </c>
      <c r="G7" t="s">
        <v>254</v>
      </c>
      <c r="H7" t="s">
        <v>453</v>
      </c>
      <c r="I7">
        <f t="shared" si="0"/>
        <v>2027</v>
      </c>
      <c r="N7" s="35">
        <v>0.85</v>
      </c>
      <c r="O7" s="35">
        <v>1</v>
      </c>
      <c r="P7" s="35">
        <v>0.1</v>
      </c>
      <c r="Q7" s="43" t="str">
        <f t="shared" si="1"/>
        <v/>
      </c>
      <c r="R7" s="23" t="str">
        <f t="shared" si="2"/>
        <v/>
      </c>
      <c r="S7" s="45">
        <f>0.1*20</f>
        <v>2</v>
      </c>
      <c r="U7" s="43">
        <f>S7</f>
        <v>2</v>
      </c>
      <c r="V7" s="23" t="str">
        <f t="shared" si="4"/>
        <v/>
      </c>
      <c r="AC7" s="21" t="s">
        <v>454</v>
      </c>
      <c r="AD7" s="21" t="s">
        <v>455</v>
      </c>
    </row>
    <row r="8" spans="1:33" x14ac:dyDescent="0.3">
      <c r="A8" t="s">
        <v>65</v>
      </c>
      <c r="B8" s="44" t="s">
        <v>248</v>
      </c>
      <c r="C8" s="44" t="s">
        <v>451</v>
      </c>
      <c r="D8" t="s">
        <v>441</v>
      </c>
      <c r="E8" t="s">
        <v>250</v>
      </c>
      <c r="G8" t="s">
        <v>254</v>
      </c>
      <c r="I8" t="str">
        <f t="shared" si="0"/>
        <v/>
      </c>
      <c r="Q8" s="43" t="str">
        <f t="shared" si="1"/>
        <v/>
      </c>
      <c r="R8" s="23" t="str">
        <f t="shared" si="2"/>
        <v/>
      </c>
      <c r="U8" s="43" t="str">
        <f t="shared" si="3"/>
        <v/>
      </c>
      <c r="V8" s="23" t="str">
        <f t="shared" si="4"/>
        <v/>
      </c>
      <c r="Z8" t="s">
        <v>442</v>
      </c>
    </row>
    <row r="9" spans="1:33" x14ac:dyDescent="0.3">
      <c r="A9" t="s">
        <v>65</v>
      </c>
      <c r="B9" s="44" t="s">
        <v>249</v>
      </c>
      <c r="C9" s="44" t="s">
        <v>451</v>
      </c>
      <c r="D9" t="s">
        <v>441</v>
      </c>
      <c r="E9" t="s">
        <v>250</v>
      </c>
      <c r="G9" t="s">
        <v>254</v>
      </c>
      <c r="I9" t="str">
        <f t="shared" si="0"/>
        <v/>
      </c>
      <c r="Q9" s="43" t="str">
        <f t="shared" si="1"/>
        <v/>
      </c>
      <c r="R9" s="23" t="str">
        <f t="shared" si="2"/>
        <v/>
      </c>
      <c r="U9" s="43" t="str">
        <f t="shared" si="3"/>
        <v/>
      </c>
      <c r="V9" s="23" t="str">
        <f t="shared" si="4"/>
        <v/>
      </c>
      <c r="Z9" t="s">
        <v>456</v>
      </c>
    </row>
    <row r="10" spans="1:33" x14ac:dyDescent="0.3">
      <c r="A10" t="s">
        <v>245</v>
      </c>
      <c r="B10" s="23" t="s">
        <v>251</v>
      </c>
      <c r="C10" s="23" t="s">
        <v>440</v>
      </c>
      <c r="D10" t="s">
        <v>441</v>
      </c>
      <c r="E10" t="s">
        <v>250</v>
      </c>
      <c r="G10" t="s">
        <v>252</v>
      </c>
      <c r="I10" t="str">
        <f t="shared" si="0"/>
        <v/>
      </c>
      <c r="Q10" s="43" t="str">
        <f t="shared" si="1"/>
        <v/>
      </c>
      <c r="R10" s="23" t="str">
        <f t="shared" si="2"/>
        <v/>
      </c>
      <c r="U10" s="43" t="str">
        <f t="shared" si="3"/>
        <v/>
      </c>
      <c r="V10" s="23" t="str">
        <f t="shared" si="4"/>
        <v/>
      </c>
      <c r="Z10" t="s">
        <v>442</v>
      </c>
    </row>
    <row r="11" spans="1:33" x14ac:dyDescent="0.3">
      <c r="A11" t="s">
        <v>457</v>
      </c>
      <c r="B11" s="23" t="s">
        <v>458</v>
      </c>
      <c r="C11" s="23" t="s">
        <v>440</v>
      </c>
      <c r="D11" t="s">
        <v>459</v>
      </c>
      <c r="E11" t="s">
        <v>250</v>
      </c>
      <c r="G11" t="s">
        <v>460</v>
      </c>
      <c r="I11" t="str">
        <f t="shared" si="0"/>
        <v/>
      </c>
      <c r="N11" s="35"/>
      <c r="O11" s="35"/>
      <c r="P11" s="35"/>
      <c r="Q11" s="43">
        <f t="shared" si="1"/>
        <v>0</v>
      </c>
      <c r="R11" s="23">
        <f t="shared" si="2"/>
        <v>0</v>
      </c>
      <c r="S11" s="46"/>
      <c r="T11" s="23"/>
      <c r="U11" s="43" t="str">
        <f t="shared" si="3"/>
        <v/>
      </c>
      <c r="V11" s="23" t="str">
        <f t="shared" si="4"/>
        <v/>
      </c>
      <c r="Z11" t="s">
        <v>461</v>
      </c>
    </row>
    <row r="12" spans="1:33" x14ac:dyDescent="0.3">
      <c r="A12" t="s">
        <v>462</v>
      </c>
      <c r="B12" s="23" t="s">
        <v>463</v>
      </c>
      <c r="C12" s="23" t="s">
        <v>440</v>
      </c>
      <c r="D12" t="s">
        <v>459</v>
      </c>
      <c r="E12" t="s">
        <v>250</v>
      </c>
      <c r="F12">
        <v>2022</v>
      </c>
      <c r="G12" t="s">
        <v>460</v>
      </c>
      <c r="I12">
        <f t="shared" si="0"/>
        <v>2024</v>
      </c>
      <c r="K12">
        <f>1.8*12%</f>
        <v>0.216</v>
      </c>
      <c r="M12">
        <f>0.9*10</f>
        <v>9</v>
      </c>
      <c r="N12" s="35">
        <v>0.85</v>
      </c>
      <c r="O12" s="35">
        <v>1</v>
      </c>
      <c r="P12" s="35">
        <v>0.25</v>
      </c>
      <c r="Q12" s="43">
        <f t="shared" si="1"/>
        <v>0</v>
      </c>
      <c r="R12" s="23">
        <f t="shared" si="2"/>
        <v>1.2392999999999998</v>
      </c>
      <c r="S12" s="46"/>
      <c r="T12" s="23">
        <f>$M12*$K12*$N12*(1-$P12)</f>
        <v>1.2392999999999998</v>
      </c>
      <c r="U12" s="43" t="str">
        <f t="shared" si="3"/>
        <v/>
      </c>
      <c r="V12" s="23">
        <f t="shared" si="4"/>
        <v>1.458</v>
      </c>
      <c r="Y12" t="s">
        <v>253</v>
      </c>
      <c r="AC12" t="s">
        <v>464</v>
      </c>
    </row>
    <row r="13" spans="1:33" x14ac:dyDescent="0.3">
      <c r="A13" t="s">
        <v>462</v>
      </c>
      <c r="B13" t="s">
        <v>105</v>
      </c>
      <c r="C13" s="23" t="s">
        <v>440</v>
      </c>
      <c r="D13" t="s">
        <v>459</v>
      </c>
      <c r="E13" t="s">
        <v>250</v>
      </c>
      <c r="G13" t="s">
        <v>460</v>
      </c>
      <c r="I13" t="str">
        <f t="shared" si="0"/>
        <v/>
      </c>
      <c r="Q13" s="43">
        <f t="shared" si="1"/>
        <v>0</v>
      </c>
      <c r="R13" s="23">
        <f t="shared" si="2"/>
        <v>0</v>
      </c>
      <c r="U13" s="43" t="str">
        <f t="shared" si="3"/>
        <v/>
      </c>
      <c r="V13" s="23" t="str">
        <f t="shared" si="4"/>
        <v/>
      </c>
      <c r="Y13" t="s">
        <v>253</v>
      </c>
    </row>
    <row r="14" spans="1:33" x14ac:dyDescent="0.3">
      <c r="A14" t="s">
        <v>462</v>
      </c>
      <c r="B14" t="s">
        <v>465</v>
      </c>
      <c r="C14" s="23" t="s">
        <v>440</v>
      </c>
      <c r="D14" t="s">
        <v>466</v>
      </c>
      <c r="E14" t="s">
        <v>250</v>
      </c>
      <c r="G14" t="s">
        <v>253</v>
      </c>
      <c r="I14" t="str">
        <f t="shared" si="0"/>
        <v/>
      </c>
      <c r="Q14" s="43">
        <f t="shared" si="1"/>
        <v>0</v>
      </c>
      <c r="R14" s="23">
        <f t="shared" si="2"/>
        <v>0</v>
      </c>
      <c r="U14" s="43" t="str">
        <f t="shared" si="3"/>
        <v/>
      </c>
      <c r="V14" s="23" t="str">
        <f t="shared" si="4"/>
        <v/>
      </c>
      <c r="Y14" t="s">
        <v>253</v>
      </c>
    </row>
    <row r="15" spans="1:33" x14ac:dyDescent="0.3">
      <c r="A15" t="s">
        <v>462</v>
      </c>
      <c r="B15" s="23" t="s">
        <v>467</v>
      </c>
      <c r="C15" s="23" t="s">
        <v>451</v>
      </c>
      <c r="D15" t="s">
        <v>466</v>
      </c>
      <c r="E15" t="s">
        <v>250</v>
      </c>
      <c r="F15">
        <v>2026</v>
      </c>
      <c r="G15" t="s">
        <v>460</v>
      </c>
      <c r="I15">
        <f t="shared" si="0"/>
        <v>2028</v>
      </c>
      <c r="K15">
        <f>0.2*12%</f>
        <v>2.4E-2</v>
      </c>
      <c r="L15">
        <v>99</v>
      </c>
      <c r="M15">
        <f>0.1*10</f>
        <v>1</v>
      </c>
      <c r="N15" s="35">
        <v>0.85</v>
      </c>
      <c r="O15" s="35">
        <v>1</v>
      </c>
      <c r="P15" s="35">
        <v>0.25</v>
      </c>
      <c r="Q15" s="43">
        <f t="shared" si="1"/>
        <v>1.5146999999999999</v>
      </c>
      <c r="R15" s="23">
        <f t="shared" si="2"/>
        <v>1.5300000000000001E-2</v>
      </c>
      <c r="S15" s="43">
        <f>$K15*$L15*$N15*(1-$P15)</f>
        <v>1.5146999999999999</v>
      </c>
      <c r="T15" s="23">
        <f>$M15*$K15*$N15*(1-$P15)</f>
        <v>1.5300000000000001E-2</v>
      </c>
      <c r="U15" s="43">
        <f t="shared" si="3"/>
        <v>1.782</v>
      </c>
      <c r="V15" s="23">
        <f t="shared" si="4"/>
        <v>1.8000000000000002E-2</v>
      </c>
      <c r="Y15" t="s">
        <v>253</v>
      </c>
    </row>
    <row r="16" spans="1:33" x14ac:dyDescent="0.3">
      <c r="A16" t="s">
        <v>462</v>
      </c>
      <c r="B16" s="23" t="s">
        <v>124</v>
      </c>
      <c r="C16" s="23" t="s">
        <v>440</v>
      </c>
      <c r="D16" t="s">
        <v>468</v>
      </c>
      <c r="E16" t="s">
        <v>250</v>
      </c>
      <c r="F16">
        <v>2027</v>
      </c>
      <c r="G16" t="s">
        <v>460</v>
      </c>
      <c r="I16">
        <f t="shared" si="0"/>
        <v>2029</v>
      </c>
      <c r="K16">
        <f>2.2*12%</f>
        <v>0.26400000000000001</v>
      </c>
      <c r="L16">
        <v>76</v>
      </c>
      <c r="N16" s="35">
        <v>0.85</v>
      </c>
      <c r="O16" s="35">
        <v>1</v>
      </c>
      <c r="P16" s="35">
        <v>0.25</v>
      </c>
      <c r="Q16" s="43">
        <f t="shared" si="1"/>
        <v>12.790800000000001</v>
      </c>
      <c r="R16" s="23">
        <f t="shared" si="2"/>
        <v>0</v>
      </c>
      <c r="S16" s="43">
        <f>K16*L16*N16*(1-P16)</f>
        <v>12.790800000000001</v>
      </c>
      <c r="U16" s="43">
        <f t="shared" si="3"/>
        <v>15.048</v>
      </c>
      <c r="V16" s="23" t="str">
        <f t="shared" si="4"/>
        <v/>
      </c>
      <c r="Y16" t="s">
        <v>253</v>
      </c>
      <c r="AC16" t="s">
        <v>469</v>
      </c>
    </row>
    <row r="17" spans="1:30" x14ac:dyDescent="0.3">
      <c r="A17" t="s">
        <v>462</v>
      </c>
      <c r="B17" s="23" t="s">
        <v>470</v>
      </c>
      <c r="C17" s="23"/>
      <c r="D17" t="s">
        <v>471</v>
      </c>
      <c r="E17" t="s">
        <v>250</v>
      </c>
      <c r="G17" t="s">
        <v>252</v>
      </c>
      <c r="I17" t="str">
        <f t="shared" si="0"/>
        <v/>
      </c>
      <c r="Q17" s="43">
        <f t="shared" si="1"/>
        <v>0</v>
      </c>
      <c r="R17" s="23">
        <f t="shared" si="2"/>
        <v>0</v>
      </c>
      <c r="U17" s="43" t="str">
        <f t="shared" si="3"/>
        <v/>
      </c>
      <c r="V17" s="23" t="str">
        <f t="shared" si="4"/>
        <v/>
      </c>
      <c r="Z17" t="s">
        <v>442</v>
      </c>
    </row>
    <row r="18" spans="1:30" x14ac:dyDescent="0.3">
      <c r="A18" t="s">
        <v>245</v>
      </c>
      <c r="B18" s="23" t="s">
        <v>472</v>
      </c>
      <c r="C18" s="23" t="s">
        <v>451</v>
      </c>
      <c r="D18" s="23" t="s">
        <v>441</v>
      </c>
      <c r="E18" t="s">
        <v>250</v>
      </c>
      <c r="G18" t="s">
        <v>252</v>
      </c>
      <c r="I18" t="str">
        <f t="shared" si="0"/>
        <v/>
      </c>
      <c r="Q18" s="43" t="str">
        <f t="shared" si="1"/>
        <v/>
      </c>
      <c r="R18" s="23" t="str">
        <f t="shared" si="2"/>
        <v/>
      </c>
      <c r="U18" s="43" t="str">
        <f t="shared" si="3"/>
        <v/>
      </c>
      <c r="V18" s="23" t="str">
        <f t="shared" si="4"/>
        <v/>
      </c>
      <c r="Y18" t="s">
        <v>253</v>
      </c>
      <c r="Z18" t="s">
        <v>442</v>
      </c>
      <c r="AC18" t="s">
        <v>473</v>
      </c>
    </row>
    <row r="19" spans="1:30" x14ac:dyDescent="0.3">
      <c r="A19" t="s">
        <v>462</v>
      </c>
      <c r="B19" s="41" t="s">
        <v>474</v>
      </c>
      <c r="C19" s="41" t="s">
        <v>440</v>
      </c>
      <c r="D19" t="s">
        <v>475</v>
      </c>
      <c r="E19" t="s">
        <v>250</v>
      </c>
      <c r="F19">
        <v>2024</v>
      </c>
      <c r="G19" t="s">
        <v>476</v>
      </c>
      <c r="H19" t="s">
        <v>453</v>
      </c>
      <c r="I19">
        <f t="shared" si="0"/>
        <v>2026</v>
      </c>
      <c r="K19" s="19">
        <f>20.7*12%</f>
        <v>2.484</v>
      </c>
      <c r="L19">
        <v>81</v>
      </c>
      <c r="N19" s="35">
        <v>0.85</v>
      </c>
      <c r="O19" s="35">
        <v>1</v>
      </c>
      <c r="P19" s="35">
        <v>0.25</v>
      </c>
      <c r="Q19" s="43">
        <f t="shared" si="1"/>
        <v>128.26755</v>
      </c>
      <c r="R19" s="23">
        <f t="shared" si="2"/>
        <v>0</v>
      </c>
      <c r="S19" s="47">
        <f>K19*L19*N19*(1-P19)</f>
        <v>128.26755</v>
      </c>
      <c r="U19" s="43">
        <f t="shared" si="3"/>
        <v>150.90300000000002</v>
      </c>
      <c r="V19" s="23" t="str">
        <f t="shared" si="4"/>
        <v/>
      </c>
      <c r="Y19" t="s">
        <v>477</v>
      </c>
      <c r="AC19" t="s">
        <v>478</v>
      </c>
      <c r="AD19" t="s">
        <v>479</v>
      </c>
    </row>
    <row r="20" spans="1:30" x14ac:dyDescent="0.3">
      <c r="A20" t="s">
        <v>245</v>
      </c>
      <c r="B20" s="23" t="s">
        <v>255</v>
      </c>
      <c r="C20" s="23" t="s">
        <v>451</v>
      </c>
      <c r="D20" t="s">
        <v>441</v>
      </c>
      <c r="E20" t="s">
        <v>250</v>
      </c>
      <c r="G20" t="s">
        <v>252</v>
      </c>
      <c r="H20" s="29"/>
      <c r="I20" t="str">
        <f t="shared" si="0"/>
        <v/>
      </c>
      <c r="N20" s="29"/>
      <c r="O20" s="29"/>
      <c r="P20" s="29"/>
      <c r="Q20" s="43" t="str">
        <f t="shared" si="1"/>
        <v/>
      </c>
      <c r="R20" s="23" t="str">
        <f t="shared" si="2"/>
        <v/>
      </c>
      <c r="U20" s="43" t="str">
        <f t="shared" si="3"/>
        <v/>
      </c>
      <c r="V20" s="23" t="str">
        <f t="shared" si="4"/>
        <v/>
      </c>
      <c r="Z20" t="s">
        <v>442</v>
      </c>
    </row>
    <row r="21" spans="1:30" x14ac:dyDescent="0.3">
      <c r="A21" t="s">
        <v>245</v>
      </c>
      <c r="B21" s="23" t="s">
        <v>256</v>
      </c>
      <c r="C21" s="23" t="s">
        <v>451</v>
      </c>
      <c r="D21" t="s">
        <v>4</v>
      </c>
      <c r="E21" t="s">
        <v>6</v>
      </c>
      <c r="G21" t="s">
        <v>252</v>
      </c>
      <c r="I21" t="str">
        <f t="shared" si="0"/>
        <v/>
      </c>
      <c r="Q21" s="43">
        <f t="shared" si="1"/>
        <v>0</v>
      </c>
      <c r="R21" s="23">
        <f t="shared" si="2"/>
        <v>0</v>
      </c>
      <c r="U21" s="43" t="str">
        <f t="shared" si="3"/>
        <v/>
      </c>
      <c r="V21" s="23" t="str">
        <f t="shared" si="4"/>
        <v/>
      </c>
      <c r="Z21" t="s">
        <v>442</v>
      </c>
    </row>
    <row r="22" spans="1:30" x14ac:dyDescent="0.3">
      <c r="A22" t="s">
        <v>462</v>
      </c>
      <c r="B22" s="23" t="s">
        <v>368</v>
      </c>
      <c r="C22" s="23" t="s">
        <v>451</v>
      </c>
      <c r="D22" t="s">
        <v>466</v>
      </c>
      <c r="E22" t="s">
        <v>250</v>
      </c>
      <c r="F22">
        <v>2026</v>
      </c>
      <c r="G22" t="s">
        <v>460</v>
      </c>
      <c r="I22">
        <f t="shared" si="0"/>
        <v>2028</v>
      </c>
      <c r="K22" s="48">
        <f>0.2*12%</f>
        <v>2.4E-2</v>
      </c>
      <c r="L22">
        <v>324</v>
      </c>
      <c r="N22" s="35">
        <v>0.85</v>
      </c>
      <c r="O22" s="35">
        <v>1</v>
      </c>
      <c r="P22" s="35">
        <v>0.25</v>
      </c>
      <c r="Q22" s="43">
        <f t="shared" si="1"/>
        <v>4.9571999999999994</v>
      </c>
      <c r="R22" s="23">
        <f t="shared" si="2"/>
        <v>0</v>
      </c>
      <c r="S22" s="47">
        <f>K22*L22*N22*(1-P22)</f>
        <v>4.9571999999999994</v>
      </c>
      <c r="U22" s="43">
        <f t="shared" si="3"/>
        <v>5.8319999999999999</v>
      </c>
      <c r="V22" s="23" t="str">
        <f t="shared" si="4"/>
        <v/>
      </c>
      <c r="Y22" t="s">
        <v>253</v>
      </c>
    </row>
    <row r="23" spans="1:30" x14ac:dyDescent="0.3">
      <c r="A23" t="s">
        <v>245</v>
      </c>
      <c r="B23" s="23" t="s">
        <v>257</v>
      </c>
      <c r="C23" s="23" t="s">
        <v>451</v>
      </c>
      <c r="D23" t="s">
        <v>441</v>
      </c>
      <c r="E23" t="s">
        <v>250</v>
      </c>
      <c r="G23" t="s">
        <v>252</v>
      </c>
      <c r="I23" t="str">
        <f t="shared" si="0"/>
        <v/>
      </c>
      <c r="Q23" s="43" t="str">
        <f t="shared" si="1"/>
        <v/>
      </c>
      <c r="R23" s="23" t="str">
        <f t="shared" si="2"/>
        <v/>
      </c>
      <c r="U23" s="43" t="str">
        <f t="shared" si="3"/>
        <v/>
      </c>
      <c r="V23" s="23" t="str">
        <f t="shared" si="4"/>
        <v/>
      </c>
      <c r="Z23" t="s">
        <v>442</v>
      </c>
    </row>
    <row r="24" spans="1:30" x14ac:dyDescent="0.3">
      <c r="A24" t="s">
        <v>462</v>
      </c>
      <c r="B24" s="41" t="s">
        <v>258</v>
      </c>
      <c r="C24" s="41" t="s">
        <v>451</v>
      </c>
      <c r="D24" t="s">
        <v>480</v>
      </c>
      <c r="E24" t="s">
        <v>250</v>
      </c>
      <c r="F24">
        <f>RIGHT(D24,4)+8</f>
        <v>2025</v>
      </c>
      <c r="G24" t="s">
        <v>460</v>
      </c>
      <c r="H24" t="s">
        <v>453</v>
      </c>
      <c r="I24">
        <f t="shared" si="0"/>
        <v>2027</v>
      </c>
      <c r="K24">
        <f>1.6*12%</f>
        <v>0.192</v>
      </c>
      <c r="L24">
        <v>25.6</v>
      </c>
      <c r="N24" s="35">
        <v>0.85</v>
      </c>
      <c r="O24" s="35">
        <v>1</v>
      </c>
      <c r="P24" s="35">
        <v>0.25</v>
      </c>
      <c r="Q24" s="43">
        <f t="shared" si="1"/>
        <v>3.1334400000000002</v>
      </c>
      <c r="R24" s="23">
        <f t="shared" si="2"/>
        <v>0</v>
      </c>
      <c r="S24" s="47">
        <f>K24*L24*N24*(1-P24)</f>
        <v>3.1334400000000002</v>
      </c>
      <c r="U24" s="43">
        <f t="shared" si="3"/>
        <v>3.6864000000000003</v>
      </c>
      <c r="V24" s="23" t="str">
        <f t="shared" si="4"/>
        <v/>
      </c>
      <c r="Y24" t="s">
        <v>253</v>
      </c>
    </row>
    <row r="25" spans="1:30" x14ac:dyDescent="0.3">
      <c r="A25" t="s">
        <v>245</v>
      </c>
      <c r="B25" s="23" t="s">
        <v>259</v>
      </c>
      <c r="C25" s="23" t="s">
        <v>451</v>
      </c>
      <c r="D25" t="s">
        <v>441</v>
      </c>
      <c r="E25" t="s">
        <v>250</v>
      </c>
      <c r="G25" t="s">
        <v>252</v>
      </c>
      <c r="I25" t="str">
        <f t="shared" si="0"/>
        <v/>
      </c>
      <c r="Q25" s="43" t="str">
        <f t="shared" si="1"/>
        <v/>
      </c>
      <c r="R25" s="23" t="str">
        <f t="shared" si="2"/>
        <v/>
      </c>
      <c r="U25" s="43" t="str">
        <f t="shared" si="3"/>
        <v/>
      </c>
      <c r="V25" s="23" t="str">
        <f t="shared" si="4"/>
        <v/>
      </c>
      <c r="Z25" t="s">
        <v>442</v>
      </c>
    </row>
    <row r="26" spans="1:30" x14ac:dyDescent="0.3">
      <c r="A26" t="s">
        <v>245</v>
      </c>
      <c r="B26" s="23" t="s">
        <v>481</v>
      </c>
      <c r="C26" s="23" t="s">
        <v>440</v>
      </c>
      <c r="D26" t="s">
        <v>482</v>
      </c>
      <c r="G26" t="s">
        <v>252</v>
      </c>
      <c r="I26" t="str">
        <f t="shared" si="0"/>
        <v/>
      </c>
      <c r="Q26" s="43">
        <f t="shared" si="1"/>
        <v>0</v>
      </c>
      <c r="R26" s="23">
        <f t="shared" si="2"/>
        <v>0</v>
      </c>
      <c r="U26" s="43" t="str">
        <f t="shared" si="3"/>
        <v/>
      </c>
      <c r="V26" s="23" t="str">
        <f t="shared" si="4"/>
        <v/>
      </c>
      <c r="Z26" t="s">
        <v>483</v>
      </c>
      <c r="AC26" t="s">
        <v>484</v>
      </c>
    </row>
    <row r="27" spans="1:30" x14ac:dyDescent="0.3">
      <c r="A27" t="s">
        <v>245</v>
      </c>
      <c r="B27" s="41" t="s">
        <v>485</v>
      </c>
      <c r="C27" s="41" t="s">
        <v>451</v>
      </c>
      <c r="D27" t="s">
        <v>441</v>
      </c>
      <c r="E27" t="s">
        <v>250</v>
      </c>
      <c r="H27" t="s">
        <v>453</v>
      </c>
      <c r="I27" t="str">
        <f t="shared" si="0"/>
        <v/>
      </c>
      <c r="Q27" s="43" t="str">
        <f t="shared" si="1"/>
        <v/>
      </c>
      <c r="R27" s="23" t="str">
        <f t="shared" si="2"/>
        <v/>
      </c>
      <c r="U27" s="43" t="str">
        <f t="shared" si="3"/>
        <v/>
      </c>
      <c r="V27" s="23" t="str">
        <f t="shared" si="4"/>
        <v/>
      </c>
      <c r="Z27" t="s">
        <v>483</v>
      </c>
    </row>
    <row r="28" spans="1:30" x14ac:dyDescent="0.3">
      <c r="A28" t="s">
        <v>462</v>
      </c>
      <c r="B28" s="23" t="s">
        <v>486</v>
      </c>
      <c r="C28" s="23" t="s">
        <v>440</v>
      </c>
      <c r="D28" t="s">
        <v>487</v>
      </c>
      <c r="E28" t="s">
        <v>250</v>
      </c>
      <c r="F28">
        <v>2029</v>
      </c>
      <c r="G28" t="s">
        <v>460</v>
      </c>
      <c r="I28">
        <f t="shared" si="0"/>
        <v>2031</v>
      </c>
      <c r="K28" s="48">
        <f>0.3*12%</f>
        <v>3.5999999999999997E-2</v>
      </c>
      <c r="L28">
        <v>-108</v>
      </c>
      <c r="M28" s="23">
        <f>12*10</f>
        <v>120</v>
      </c>
      <c r="N28" s="35">
        <v>0.85</v>
      </c>
      <c r="O28" s="35">
        <v>1</v>
      </c>
      <c r="P28" s="35">
        <v>0.25</v>
      </c>
      <c r="Q28" s="43">
        <f t="shared" si="1"/>
        <v>-2.4785999999999997</v>
      </c>
      <c r="R28" s="23">
        <f t="shared" si="2"/>
        <v>2.7539999999999996</v>
      </c>
      <c r="S28" s="43">
        <f>K28*L28*N28*(1-P28)</f>
        <v>-2.4785999999999997</v>
      </c>
      <c r="T28">
        <f>K28*M28*N28*(1-P28)</f>
        <v>2.7539999999999996</v>
      </c>
      <c r="U28" s="43">
        <f t="shared" si="3"/>
        <v>-2.9159999999999999</v>
      </c>
      <c r="V28" s="23">
        <f t="shared" si="4"/>
        <v>3.2399999999999993</v>
      </c>
      <c r="Y28" t="s">
        <v>253</v>
      </c>
    </row>
    <row r="29" spans="1:30" x14ac:dyDescent="0.3">
      <c r="A29" t="s">
        <v>462</v>
      </c>
      <c r="B29" s="23" t="s">
        <v>488</v>
      </c>
      <c r="C29" s="23" t="s">
        <v>451</v>
      </c>
      <c r="D29" t="s">
        <v>489</v>
      </c>
      <c r="E29" t="s">
        <v>250</v>
      </c>
      <c r="F29">
        <v>2027</v>
      </c>
      <c r="G29" t="s">
        <v>460</v>
      </c>
      <c r="I29">
        <f t="shared" si="0"/>
        <v>2029</v>
      </c>
      <c r="K29">
        <f>0.02*12%</f>
        <v>2.3999999999999998E-3</v>
      </c>
      <c r="L29">
        <v>-141</v>
      </c>
      <c r="M29">
        <f>112*10</f>
        <v>1120</v>
      </c>
      <c r="N29" s="35">
        <v>0.85</v>
      </c>
      <c r="O29" s="35">
        <v>1</v>
      </c>
      <c r="P29" s="35">
        <v>0.25</v>
      </c>
      <c r="Q29" s="43">
        <f t="shared" si="1"/>
        <v>-0.21572999999999998</v>
      </c>
      <c r="R29" s="23">
        <f t="shared" si="2"/>
        <v>1.7135999999999998</v>
      </c>
      <c r="S29" s="43">
        <f>K29*L29*N29*(1-P29)</f>
        <v>-0.21572999999999998</v>
      </c>
      <c r="T29" s="48">
        <f>K29*M29*N29*(1-P29)</f>
        <v>1.7135999999999998</v>
      </c>
      <c r="U29" s="43">
        <f t="shared" si="3"/>
        <v>-0.25379999999999997</v>
      </c>
      <c r="V29" s="23">
        <f t="shared" si="4"/>
        <v>2.016</v>
      </c>
      <c r="Y29" t="s">
        <v>253</v>
      </c>
    </row>
    <row r="30" spans="1:30" x14ac:dyDescent="0.3">
      <c r="A30" t="s">
        <v>245</v>
      </c>
      <c r="B30" s="23" t="s">
        <v>261</v>
      </c>
      <c r="C30" s="23" t="s">
        <v>440</v>
      </c>
      <c r="D30" t="s">
        <v>441</v>
      </c>
      <c r="E30" t="s">
        <v>250</v>
      </c>
      <c r="G30" t="s">
        <v>252</v>
      </c>
      <c r="I30" t="str">
        <f t="shared" si="0"/>
        <v/>
      </c>
      <c r="Q30" s="43" t="str">
        <f t="shared" si="1"/>
        <v/>
      </c>
      <c r="R30" s="23" t="str">
        <f t="shared" si="2"/>
        <v/>
      </c>
      <c r="U30" s="43" t="str">
        <f t="shared" si="3"/>
        <v/>
      </c>
      <c r="V30" s="23" t="str">
        <f t="shared" si="4"/>
        <v/>
      </c>
      <c r="Z30" t="s">
        <v>483</v>
      </c>
    </row>
    <row r="31" spans="1:30" x14ac:dyDescent="0.3">
      <c r="A31" t="s">
        <v>462</v>
      </c>
      <c r="B31" s="23" t="s">
        <v>490</v>
      </c>
      <c r="C31" s="23" t="s">
        <v>440</v>
      </c>
      <c r="D31" t="s">
        <v>459</v>
      </c>
      <c r="E31" t="s">
        <v>250</v>
      </c>
      <c r="F31">
        <v>2029</v>
      </c>
      <c r="G31" t="s">
        <v>460</v>
      </c>
      <c r="I31">
        <f t="shared" si="0"/>
        <v>2031</v>
      </c>
      <c r="K31">
        <f>3.5*12%</f>
        <v>0.42</v>
      </c>
      <c r="M31">
        <f>2.5*10</f>
        <v>25</v>
      </c>
      <c r="N31" s="35">
        <v>0.85</v>
      </c>
      <c r="O31" s="35">
        <v>1</v>
      </c>
      <c r="P31" s="35">
        <v>0.25</v>
      </c>
      <c r="Q31" s="43">
        <f t="shared" si="1"/>
        <v>0</v>
      </c>
      <c r="R31" s="23">
        <f t="shared" si="2"/>
        <v>6.6937499999999996</v>
      </c>
      <c r="T31" s="43">
        <f>K31*M31*N31*(1-P31)</f>
        <v>6.6937499999999996</v>
      </c>
      <c r="U31" s="43" t="str">
        <f t="shared" si="3"/>
        <v/>
      </c>
      <c r="V31" s="23">
        <f t="shared" si="4"/>
        <v>7.875</v>
      </c>
      <c r="Y31" t="s">
        <v>253</v>
      </c>
    </row>
    <row r="32" spans="1:30" x14ac:dyDescent="0.3">
      <c r="A32" t="s">
        <v>462</v>
      </c>
      <c r="B32" s="23" t="s">
        <v>491</v>
      </c>
      <c r="C32" s="23" t="s">
        <v>451</v>
      </c>
      <c r="D32" t="s">
        <v>492</v>
      </c>
      <c r="E32" t="s">
        <v>250</v>
      </c>
      <c r="F32">
        <v>2029</v>
      </c>
      <c r="G32" t="s">
        <v>460</v>
      </c>
      <c r="I32">
        <f t="shared" si="0"/>
        <v>2031</v>
      </c>
      <c r="K32">
        <f>0.3*12%</f>
        <v>3.5999999999999997E-2</v>
      </c>
      <c r="L32">
        <v>-217</v>
      </c>
      <c r="M32">
        <f>19*10</f>
        <v>190</v>
      </c>
      <c r="N32" s="35">
        <v>0.85</v>
      </c>
      <c r="O32" s="35">
        <v>1</v>
      </c>
      <c r="P32" s="35">
        <v>0.25</v>
      </c>
      <c r="Q32" s="43">
        <f t="shared" si="1"/>
        <v>-4.9801499999999992</v>
      </c>
      <c r="R32" s="23">
        <f t="shared" si="2"/>
        <v>4.3605</v>
      </c>
      <c r="S32" s="43">
        <f>K32*L32*N32*(1-P32)</f>
        <v>-4.9801499999999992</v>
      </c>
      <c r="T32" s="43">
        <f>K32*M32*N32*(1-P32)</f>
        <v>4.3605</v>
      </c>
      <c r="U32" s="43">
        <f t="shared" si="3"/>
        <v>-5.859</v>
      </c>
      <c r="V32" s="23">
        <f t="shared" si="4"/>
        <v>5.13</v>
      </c>
      <c r="Y32" t="s">
        <v>253</v>
      </c>
    </row>
    <row r="33" spans="1:32" x14ac:dyDescent="0.3">
      <c r="A33" t="s">
        <v>245</v>
      </c>
      <c r="B33" s="23" t="s">
        <v>493</v>
      </c>
      <c r="C33" s="23" t="s">
        <v>440</v>
      </c>
      <c r="D33" t="s">
        <v>482</v>
      </c>
      <c r="G33" t="s">
        <v>252</v>
      </c>
      <c r="I33" t="str">
        <f t="shared" si="0"/>
        <v/>
      </c>
      <c r="Q33" s="43">
        <f t="shared" si="1"/>
        <v>0</v>
      </c>
      <c r="R33" s="23">
        <f t="shared" si="2"/>
        <v>0</v>
      </c>
      <c r="U33" s="43" t="str">
        <f t="shared" si="3"/>
        <v/>
      </c>
      <c r="V33" s="23" t="str">
        <f t="shared" si="4"/>
        <v/>
      </c>
      <c r="Z33" t="s">
        <v>483</v>
      </c>
      <c r="AC33" t="s">
        <v>494</v>
      </c>
    </row>
    <row r="34" spans="1:32" x14ac:dyDescent="0.3">
      <c r="A34" t="s">
        <v>245</v>
      </c>
      <c r="B34" s="23" t="s">
        <v>495</v>
      </c>
      <c r="C34" s="23" t="s">
        <v>451</v>
      </c>
      <c r="D34" t="s">
        <v>441</v>
      </c>
      <c r="E34" t="s">
        <v>250</v>
      </c>
      <c r="I34" t="str">
        <f t="shared" si="0"/>
        <v/>
      </c>
      <c r="Q34" s="43" t="str">
        <f t="shared" si="1"/>
        <v/>
      </c>
      <c r="R34" s="23" t="str">
        <f t="shared" si="2"/>
        <v/>
      </c>
      <c r="U34" s="43" t="str">
        <f t="shared" si="3"/>
        <v/>
      </c>
      <c r="V34" s="23" t="str">
        <f t="shared" si="4"/>
        <v/>
      </c>
      <c r="Z34" t="s">
        <v>483</v>
      </c>
    </row>
    <row r="35" spans="1:32" x14ac:dyDescent="0.3">
      <c r="A35" t="s">
        <v>462</v>
      </c>
      <c r="B35" s="23" t="s">
        <v>93</v>
      </c>
      <c r="C35" s="23" t="s">
        <v>440</v>
      </c>
      <c r="D35" t="s">
        <v>475</v>
      </c>
      <c r="E35" t="s">
        <v>250</v>
      </c>
      <c r="F35">
        <f>RIGHT(D35,4)+8</f>
        <v>2022</v>
      </c>
      <c r="G35" t="s">
        <v>460</v>
      </c>
      <c r="I35">
        <f t="shared" si="0"/>
        <v>2024</v>
      </c>
      <c r="K35">
        <f>8.8*12%</f>
        <v>1.056</v>
      </c>
      <c r="L35">
        <v>34</v>
      </c>
      <c r="N35" s="35">
        <v>0.85</v>
      </c>
      <c r="O35" s="35">
        <v>1</v>
      </c>
      <c r="P35" s="35">
        <v>0.25</v>
      </c>
      <c r="Q35" s="43">
        <f t="shared" si="1"/>
        <v>22.888800000000003</v>
      </c>
      <c r="R35" s="23">
        <f t="shared" si="2"/>
        <v>0</v>
      </c>
      <c r="S35" s="43">
        <f>K35*L35*N35*(1-P35)</f>
        <v>22.888800000000003</v>
      </c>
      <c r="U35" s="43">
        <f t="shared" si="3"/>
        <v>26.928000000000004</v>
      </c>
      <c r="V35" s="23" t="str">
        <f t="shared" si="4"/>
        <v/>
      </c>
      <c r="Y35" t="s">
        <v>253</v>
      </c>
    </row>
    <row r="36" spans="1:32" x14ac:dyDescent="0.3">
      <c r="A36" t="s">
        <v>65</v>
      </c>
      <c r="B36" s="23" t="s">
        <v>496</v>
      </c>
      <c r="C36" s="23" t="s">
        <v>451</v>
      </c>
      <c r="D36" t="s">
        <v>441</v>
      </c>
      <c r="E36" t="s">
        <v>250</v>
      </c>
      <c r="F36" t="s">
        <v>497</v>
      </c>
      <c r="G36" t="s">
        <v>498</v>
      </c>
      <c r="H36" t="s">
        <v>453</v>
      </c>
      <c r="I36">
        <f t="shared" si="0"/>
        <v>2024</v>
      </c>
      <c r="K36">
        <f>0.5*12%</f>
        <v>0.06</v>
      </c>
      <c r="L36">
        <v>3463</v>
      </c>
      <c r="N36" s="35">
        <v>0.85</v>
      </c>
      <c r="O36" s="35">
        <v>1</v>
      </c>
      <c r="P36" s="35">
        <v>0.25</v>
      </c>
      <c r="Q36" s="43" t="str">
        <f t="shared" si="1"/>
        <v/>
      </c>
      <c r="R36" s="23" t="str">
        <f t="shared" si="2"/>
        <v/>
      </c>
      <c r="S36" s="43">
        <f>K36*L36*N36*(1-P36)</f>
        <v>132.45974999999999</v>
      </c>
      <c r="T36" s="43"/>
      <c r="U36" s="43">
        <f t="shared" si="3"/>
        <v>155.83500000000001</v>
      </c>
      <c r="V36" s="23" t="str">
        <f t="shared" si="4"/>
        <v/>
      </c>
      <c r="Y36" t="s">
        <v>253</v>
      </c>
      <c r="Z36" s="21"/>
      <c r="AC36" t="s">
        <v>499</v>
      </c>
      <c r="AD36" t="s">
        <v>500</v>
      </c>
    </row>
    <row r="37" spans="1:32" x14ac:dyDescent="0.3">
      <c r="A37" t="s">
        <v>65</v>
      </c>
      <c r="B37" s="23" t="s">
        <v>263</v>
      </c>
      <c r="C37" s="23" t="s">
        <v>440</v>
      </c>
      <c r="D37" t="s">
        <v>441</v>
      </c>
      <c r="E37" t="s">
        <v>250</v>
      </c>
      <c r="F37">
        <v>2027</v>
      </c>
      <c r="G37" t="s">
        <v>460</v>
      </c>
      <c r="I37">
        <f t="shared" si="0"/>
        <v>2029</v>
      </c>
      <c r="K37">
        <f>22*12%</f>
        <v>2.6399999999999997</v>
      </c>
      <c r="L37">
        <v>17</v>
      </c>
      <c r="N37" s="35">
        <v>0.85</v>
      </c>
      <c r="O37" s="35">
        <v>1</v>
      </c>
      <c r="P37" s="35">
        <v>0.25</v>
      </c>
      <c r="Q37" s="43" t="str">
        <f t="shared" si="1"/>
        <v/>
      </c>
      <c r="R37" s="23" t="str">
        <f t="shared" si="2"/>
        <v/>
      </c>
      <c r="S37" s="46">
        <f>K37*L37*N37*(1-P37)</f>
        <v>28.610999999999997</v>
      </c>
      <c r="U37" s="43">
        <f t="shared" si="3"/>
        <v>33.659999999999997</v>
      </c>
      <c r="V37" s="23" t="str">
        <f t="shared" si="4"/>
        <v/>
      </c>
      <c r="Y37" t="s">
        <v>253</v>
      </c>
      <c r="AC37" t="s">
        <v>501</v>
      </c>
    </row>
    <row r="38" spans="1:32" x14ac:dyDescent="0.3">
      <c r="A38" t="s">
        <v>245</v>
      </c>
      <c r="B38" s="41" t="s">
        <v>264</v>
      </c>
      <c r="C38" s="41" t="s">
        <v>451</v>
      </c>
      <c r="D38" t="s">
        <v>585</v>
      </c>
      <c r="G38" t="s">
        <v>252</v>
      </c>
      <c r="H38" t="s">
        <v>453</v>
      </c>
      <c r="I38" t="str">
        <f t="shared" si="0"/>
        <v/>
      </c>
      <c r="Q38" s="43">
        <f t="shared" si="1"/>
        <v>0</v>
      </c>
      <c r="R38" s="23">
        <f t="shared" si="2"/>
        <v>0</v>
      </c>
      <c r="U38" s="43" t="str">
        <f t="shared" si="3"/>
        <v/>
      </c>
      <c r="V38" s="23" t="str">
        <f t="shared" si="4"/>
        <v/>
      </c>
      <c r="Z38" t="s">
        <v>502</v>
      </c>
      <c r="AC38" t="s">
        <v>503</v>
      </c>
    </row>
    <row r="39" spans="1:32" x14ac:dyDescent="0.3">
      <c r="A39" t="s">
        <v>245</v>
      </c>
      <c r="B39" s="41" t="s">
        <v>265</v>
      </c>
      <c r="C39" s="41" t="s">
        <v>443</v>
      </c>
      <c r="D39" t="s">
        <v>504</v>
      </c>
      <c r="G39" t="s">
        <v>252</v>
      </c>
      <c r="H39" t="s">
        <v>453</v>
      </c>
      <c r="I39" t="str">
        <f t="shared" si="0"/>
        <v/>
      </c>
      <c r="Q39" s="43">
        <f t="shared" si="1"/>
        <v>0</v>
      </c>
      <c r="R39" s="23">
        <f t="shared" si="2"/>
        <v>0</v>
      </c>
      <c r="U39" s="43" t="str">
        <f t="shared" si="3"/>
        <v/>
      </c>
      <c r="V39" s="23" t="str">
        <f t="shared" si="4"/>
        <v/>
      </c>
      <c r="Z39" t="s">
        <v>502</v>
      </c>
      <c r="AC39" t="s">
        <v>503</v>
      </c>
    </row>
    <row r="40" spans="1:32" x14ac:dyDescent="0.3">
      <c r="A40" t="s">
        <v>245</v>
      </c>
      <c r="B40" s="41" t="s">
        <v>266</v>
      </c>
      <c r="C40" s="41" t="s">
        <v>443</v>
      </c>
      <c r="D40" t="s">
        <v>585</v>
      </c>
      <c r="G40" t="s">
        <v>252</v>
      </c>
      <c r="H40" t="s">
        <v>453</v>
      </c>
      <c r="I40" t="str">
        <f t="shared" si="0"/>
        <v/>
      </c>
      <c r="Q40" s="43">
        <f t="shared" si="1"/>
        <v>0</v>
      </c>
      <c r="R40" s="23">
        <f t="shared" si="2"/>
        <v>0</v>
      </c>
      <c r="U40" s="43" t="str">
        <f t="shared" si="3"/>
        <v/>
      </c>
      <c r="V40" s="23" t="str">
        <f t="shared" si="4"/>
        <v/>
      </c>
      <c r="Z40" t="s">
        <v>502</v>
      </c>
      <c r="AC40" t="s">
        <v>503</v>
      </c>
    </row>
    <row r="41" spans="1:32" x14ac:dyDescent="0.3">
      <c r="A41" t="s">
        <v>245</v>
      </c>
      <c r="B41" s="41" t="s">
        <v>267</v>
      </c>
      <c r="C41" s="41" t="s">
        <v>451</v>
      </c>
      <c r="D41" t="s">
        <v>441</v>
      </c>
      <c r="G41" t="s">
        <v>252</v>
      </c>
      <c r="H41" t="s">
        <v>453</v>
      </c>
      <c r="I41" t="str">
        <f t="shared" si="0"/>
        <v/>
      </c>
      <c r="Q41" s="43" t="str">
        <f t="shared" si="1"/>
        <v/>
      </c>
      <c r="R41" s="23" t="str">
        <f t="shared" si="2"/>
        <v/>
      </c>
      <c r="U41" s="43" t="str">
        <f t="shared" si="3"/>
        <v/>
      </c>
      <c r="V41" s="23" t="str">
        <f t="shared" si="4"/>
        <v/>
      </c>
      <c r="Z41" t="s">
        <v>505</v>
      </c>
    </row>
    <row r="42" spans="1:32" x14ac:dyDescent="0.3">
      <c r="A42" t="s">
        <v>65</v>
      </c>
      <c r="B42" s="41" t="s">
        <v>506</v>
      </c>
      <c r="C42" s="41" t="s">
        <v>440</v>
      </c>
      <c r="D42" t="s">
        <v>441</v>
      </c>
      <c r="F42" t="s">
        <v>452</v>
      </c>
      <c r="G42" t="s">
        <v>507</v>
      </c>
      <c r="H42" t="s">
        <v>453</v>
      </c>
      <c r="I42">
        <f t="shared" si="0"/>
        <v>2027</v>
      </c>
      <c r="J42">
        <f>0.05*0.5*365+0.01*0.5*365</f>
        <v>10.95</v>
      </c>
      <c r="K42" s="19">
        <f>3460788/1000000</f>
        <v>3.460788</v>
      </c>
      <c r="L42" s="43">
        <f>J42*0.3</f>
        <v>3.2849999999999997</v>
      </c>
      <c r="M42" s="43"/>
      <c r="Q42" s="43" t="str">
        <f t="shared" si="1"/>
        <v/>
      </c>
      <c r="R42" s="23" t="str">
        <f t="shared" si="2"/>
        <v/>
      </c>
      <c r="S42" s="49">
        <f>L42*K42</f>
        <v>11.368688579999999</v>
      </c>
      <c r="U42" s="43" t="str">
        <f t="shared" si="3"/>
        <v/>
      </c>
      <c r="V42" s="23" t="str">
        <f t="shared" si="4"/>
        <v/>
      </c>
      <c r="Y42" t="s">
        <v>508</v>
      </c>
      <c r="AC42" t="s">
        <v>509</v>
      </c>
      <c r="AD42" t="s">
        <v>510</v>
      </c>
      <c r="AE42" t="s">
        <v>511</v>
      </c>
      <c r="AF42" t="s">
        <v>512</v>
      </c>
    </row>
    <row r="43" spans="1:32" x14ac:dyDescent="0.3">
      <c r="A43" t="s">
        <v>65</v>
      </c>
      <c r="B43" s="41" t="s">
        <v>513</v>
      </c>
      <c r="C43" s="41" t="s">
        <v>451</v>
      </c>
      <c r="D43" t="s">
        <v>441</v>
      </c>
      <c r="F43" t="s">
        <v>452</v>
      </c>
      <c r="G43" t="s">
        <v>507</v>
      </c>
      <c r="H43" t="s">
        <v>453</v>
      </c>
      <c r="I43">
        <f t="shared" si="0"/>
        <v>2027</v>
      </c>
      <c r="J43">
        <f>0.4*0.5*365+0.28*0.5*365</f>
        <v>124.1</v>
      </c>
      <c r="L43" s="43">
        <f>J43*0.3</f>
        <v>37.229999999999997</v>
      </c>
      <c r="M43" s="43"/>
      <c r="Q43" s="43" t="str">
        <f t="shared" si="1"/>
        <v/>
      </c>
      <c r="R43" s="23" t="str">
        <f t="shared" si="2"/>
        <v/>
      </c>
      <c r="U43" s="43" t="str">
        <f t="shared" si="3"/>
        <v/>
      </c>
      <c r="V43" s="23" t="str">
        <f t="shared" si="4"/>
        <v/>
      </c>
      <c r="Y43" t="s">
        <v>508</v>
      </c>
      <c r="AE43" t="s">
        <v>514</v>
      </c>
    </row>
    <row r="44" spans="1:32" x14ac:dyDescent="0.3">
      <c r="A44" t="s">
        <v>245</v>
      </c>
      <c r="B44" s="23" t="s">
        <v>268</v>
      </c>
      <c r="C44" s="44" t="s">
        <v>451</v>
      </c>
      <c r="D44" t="s">
        <v>441</v>
      </c>
      <c r="G44" t="s">
        <v>252</v>
      </c>
      <c r="I44" t="str">
        <f t="shared" si="0"/>
        <v/>
      </c>
      <c r="Q44" s="43" t="str">
        <f t="shared" si="1"/>
        <v/>
      </c>
      <c r="R44" s="23" t="str">
        <f t="shared" si="2"/>
        <v/>
      </c>
      <c r="U44" s="43" t="str">
        <f t="shared" si="3"/>
        <v/>
      </c>
      <c r="V44" s="23" t="str">
        <f t="shared" si="4"/>
        <v/>
      </c>
      <c r="Z44" t="s">
        <v>442</v>
      </c>
    </row>
    <row r="45" spans="1:32" x14ac:dyDescent="0.3">
      <c r="A45" t="s">
        <v>245</v>
      </c>
      <c r="B45" s="23" t="s">
        <v>515</v>
      </c>
      <c r="C45" s="44" t="s">
        <v>451</v>
      </c>
      <c r="D45" t="s">
        <v>441</v>
      </c>
      <c r="G45" t="s">
        <v>252</v>
      </c>
      <c r="I45" t="str">
        <f t="shared" si="0"/>
        <v/>
      </c>
      <c r="Q45" s="43" t="str">
        <f t="shared" si="1"/>
        <v/>
      </c>
      <c r="R45" s="23" t="str">
        <f t="shared" si="2"/>
        <v/>
      </c>
      <c r="U45" s="43" t="str">
        <f t="shared" si="3"/>
        <v/>
      </c>
      <c r="V45" s="23" t="str">
        <f t="shared" si="4"/>
        <v/>
      </c>
      <c r="Z45" t="s">
        <v>442</v>
      </c>
      <c r="AC45" t="s">
        <v>516</v>
      </c>
    </row>
    <row r="46" spans="1:32" x14ac:dyDescent="0.3">
      <c r="A46" t="s">
        <v>245</v>
      </c>
      <c r="B46" s="23" t="s">
        <v>269</v>
      </c>
      <c r="C46" s="44" t="s">
        <v>451</v>
      </c>
      <c r="D46" t="s">
        <v>441</v>
      </c>
      <c r="G46" t="s">
        <v>252</v>
      </c>
      <c r="I46" t="str">
        <f t="shared" si="0"/>
        <v/>
      </c>
      <c r="Q46" s="43" t="str">
        <f t="shared" si="1"/>
        <v/>
      </c>
      <c r="R46" s="23" t="str">
        <f t="shared" si="2"/>
        <v/>
      </c>
      <c r="U46" s="43" t="str">
        <f t="shared" si="3"/>
        <v/>
      </c>
      <c r="V46" s="23" t="str">
        <f t="shared" si="4"/>
        <v/>
      </c>
      <c r="Z46" t="s">
        <v>442</v>
      </c>
    </row>
    <row r="47" spans="1:32" x14ac:dyDescent="0.3">
      <c r="A47" t="s">
        <v>462</v>
      </c>
      <c r="B47" s="23" t="s">
        <v>270</v>
      </c>
      <c r="C47" s="23" t="s">
        <v>451</v>
      </c>
      <c r="D47" t="s">
        <v>517</v>
      </c>
      <c r="E47" t="s">
        <v>250</v>
      </c>
      <c r="F47">
        <v>2027</v>
      </c>
      <c r="G47" t="s">
        <v>460</v>
      </c>
      <c r="I47">
        <f t="shared" si="0"/>
        <v>2029</v>
      </c>
      <c r="K47">
        <f>0.1*12%</f>
        <v>1.2E-2</v>
      </c>
      <c r="L47">
        <v>503</v>
      </c>
      <c r="N47" s="35">
        <v>0.85</v>
      </c>
      <c r="O47" s="35">
        <v>1</v>
      </c>
      <c r="P47" s="35">
        <v>0.25</v>
      </c>
      <c r="Q47" s="43">
        <f t="shared" si="1"/>
        <v>3.84795</v>
      </c>
      <c r="R47" s="23">
        <f t="shared" si="2"/>
        <v>0</v>
      </c>
      <c r="S47" s="46">
        <f>K47*L47*N47*(1-P47)</f>
        <v>3.84795</v>
      </c>
      <c r="U47" s="43">
        <f t="shared" si="3"/>
        <v>4.5270000000000001</v>
      </c>
      <c r="V47" s="23" t="str">
        <f t="shared" si="4"/>
        <v/>
      </c>
      <c r="Y47" t="s">
        <v>253</v>
      </c>
    </row>
    <row r="48" spans="1:32" x14ac:dyDescent="0.3">
      <c r="A48" t="s">
        <v>245</v>
      </c>
      <c r="B48" s="23" t="s">
        <v>271</v>
      </c>
      <c r="C48" s="44" t="s">
        <v>451</v>
      </c>
      <c r="D48" t="s">
        <v>441</v>
      </c>
      <c r="G48" t="s">
        <v>252</v>
      </c>
      <c r="I48" t="str">
        <f t="shared" si="0"/>
        <v/>
      </c>
      <c r="Q48" s="43" t="str">
        <f t="shared" si="1"/>
        <v/>
      </c>
      <c r="R48" s="23" t="str">
        <f t="shared" si="2"/>
        <v/>
      </c>
      <c r="U48" s="43" t="str">
        <f t="shared" si="3"/>
        <v/>
      </c>
      <c r="V48" s="23" t="str">
        <f t="shared" si="4"/>
        <v/>
      </c>
      <c r="Z48" t="s">
        <v>442</v>
      </c>
    </row>
    <row r="49" spans="1:32" x14ac:dyDescent="0.3">
      <c r="A49" t="s">
        <v>462</v>
      </c>
      <c r="B49" s="23" t="s">
        <v>272</v>
      </c>
      <c r="C49" s="23" t="s">
        <v>451</v>
      </c>
      <c r="D49" s="23" t="s">
        <v>441</v>
      </c>
      <c r="E49" t="s">
        <v>250</v>
      </c>
      <c r="F49">
        <v>2027</v>
      </c>
      <c r="G49" t="s">
        <v>460</v>
      </c>
      <c r="I49">
        <f t="shared" si="0"/>
        <v>2029</v>
      </c>
      <c r="K49">
        <f>0.2*12%</f>
        <v>2.4E-2</v>
      </c>
      <c r="M49">
        <f>6*10</f>
        <v>60</v>
      </c>
      <c r="N49" s="35">
        <v>0.85</v>
      </c>
      <c r="O49" s="35">
        <v>1</v>
      </c>
      <c r="P49" s="35">
        <v>0.25</v>
      </c>
      <c r="Q49" s="43" t="str">
        <f t="shared" si="1"/>
        <v/>
      </c>
      <c r="R49" s="23" t="str">
        <f t="shared" si="2"/>
        <v/>
      </c>
      <c r="S49" s="46"/>
      <c r="T49" s="48">
        <f>K49*M49*N49*(1-P49)</f>
        <v>0.91799999999999993</v>
      </c>
      <c r="U49" s="43" t="str">
        <f t="shared" si="3"/>
        <v/>
      </c>
      <c r="V49" s="23">
        <f t="shared" si="4"/>
        <v>1.08</v>
      </c>
      <c r="Y49" t="s">
        <v>253</v>
      </c>
    </row>
    <row r="50" spans="1:32" x14ac:dyDescent="0.3">
      <c r="A50" t="s">
        <v>462</v>
      </c>
      <c r="B50" s="41" t="s">
        <v>518</v>
      </c>
      <c r="C50" s="41" t="s">
        <v>440</v>
      </c>
      <c r="D50" t="s">
        <v>519</v>
      </c>
      <c r="E50" t="s">
        <v>250</v>
      </c>
      <c r="F50">
        <v>2023</v>
      </c>
      <c r="G50" t="s">
        <v>476</v>
      </c>
      <c r="H50" t="s">
        <v>453</v>
      </c>
      <c r="I50">
        <f>IF(F50&gt;0,RIGHT(F50,4)+2,"")</f>
        <v>2025</v>
      </c>
      <c r="K50">
        <f>5.4*12%</f>
        <v>0.64800000000000002</v>
      </c>
      <c r="L50">
        <v>1090</v>
      </c>
      <c r="N50" s="35">
        <v>0.85</v>
      </c>
      <c r="O50" s="35">
        <v>1</v>
      </c>
      <c r="P50" s="35">
        <v>0.25</v>
      </c>
      <c r="Q50" s="43">
        <f t="shared" si="1"/>
        <v>450.27900000000005</v>
      </c>
      <c r="R50" s="23">
        <f t="shared" si="2"/>
        <v>0</v>
      </c>
      <c r="S50" s="50">
        <f>K50*L50*N50*(1-P50)</f>
        <v>450.27900000000005</v>
      </c>
      <c r="U50" s="43">
        <f t="shared" si="3"/>
        <v>529.74</v>
      </c>
      <c r="V50" s="23" t="str">
        <f t="shared" si="4"/>
        <v/>
      </c>
      <c r="Y50" t="s">
        <v>253</v>
      </c>
      <c r="AC50" t="s">
        <v>520</v>
      </c>
    </row>
    <row r="51" spans="1:32" x14ac:dyDescent="0.3">
      <c r="A51" t="s">
        <v>462</v>
      </c>
      <c r="B51" s="41" t="s">
        <v>273</v>
      </c>
      <c r="C51" s="41" t="s">
        <v>440</v>
      </c>
      <c r="D51" t="s">
        <v>373</v>
      </c>
      <c r="E51" t="s">
        <v>250</v>
      </c>
      <c r="F51">
        <v>2023</v>
      </c>
      <c r="G51" t="s">
        <v>476</v>
      </c>
      <c r="H51" t="s">
        <v>453</v>
      </c>
      <c r="I51">
        <f>IF(F51&gt;0,RIGHT(F51,4)+2,"")</f>
        <v>2025</v>
      </c>
      <c r="K51">
        <f>4.4*12%</f>
        <v>0.52800000000000002</v>
      </c>
      <c r="M51">
        <f>3.6*10</f>
        <v>36</v>
      </c>
      <c r="N51" s="35">
        <v>0.85</v>
      </c>
      <c r="O51" s="35">
        <v>1</v>
      </c>
      <c r="P51" s="35">
        <v>0.25</v>
      </c>
      <c r="Q51" s="43">
        <f t="shared" si="1"/>
        <v>0</v>
      </c>
      <c r="R51" s="23">
        <f t="shared" si="2"/>
        <v>12.117599999999999</v>
      </c>
      <c r="T51" s="48">
        <f>K51*M51*N51*(1-P51)</f>
        <v>12.117599999999999</v>
      </c>
      <c r="U51" s="43" t="str">
        <f t="shared" si="3"/>
        <v/>
      </c>
      <c r="V51" s="23">
        <f t="shared" si="4"/>
        <v>14.256000000000002</v>
      </c>
      <c r="Y51" t="s">
        <v>253</v>
      </c>
    </row>
    <row r="52" spans="1:32" x14ac:dyDescent="0.3">
      <c r="A52" t="s">
        <v>462</v>
      </c>
      <c r="B52" s="41" t="s">
        <v>521</v>
      </c>
      <c r="C52" s="41" t="s">
        <v>440</v>
      </c>
      <c r="D52" t="s">
        <v>373</v>
      </c>
      <c r="E52" t="s">
        <v>250</v>
      </c>
      <c r="F52">
        <v>2023</v>
      </c>
      <c r="G52" t="s">
        <v>476</v>
      </c>
      <c r="H52" t="s">
        <v>453</v>
      </c>
      <c r="I52">
        <f>IF(F52&gt;0,RIGHT(F52,4)+2,"")</f>
        <v>2025</v>
      </c>
      <c r="K52">
        <f>1.5*12%</f>
        <v>0.18</v>
      </c>
      <c r="M52">
        <f>1.5*10</f>
        <v>15</v>
      </c>
      <c r="N52" s="35">
        <v>0.85</v>
      </c>
      <c r="O52" s="35">
        <v>1</v>
      </c>
      <c r="P52" s="35">
        <v>0.25</v>
      </c>
      <c r="Q52" s="43">
        <f t="shared" si="1"/>
        <v>0</v>
      </c>
      <c r="R52" s="23">
        <f t="shared" si="2"/>
        <v>1.7212499999999999</v>
      </c>
      <c r="T52" s="48">
        <f>K52*M52*N52*(1-P52)</f>
        <v>1.7212499999999999</v>
      </c>
      <c r="U52" s="43" t="str">
        <f t="shared" si="3"/>
        <v/>
      </c>
      <c r="V52" s="23">
        <f t="shared" si="4"/>
        <v>2.0249999999999999</v>
      </c>
      <c r="Y52" t="s">
        <v>253</v>
      </c>
    </row>
    <row r="53" spans="1:32" x14ac:dyDescent="0.3">
      <c r="A53" t="s">
        <v>245</v>
      </c>
      <c r="B53" s="41" t="s">
        <v>274</v>
      </c>
      <c r="C53" s="41" t="s">
        <v>443</v>
      </c>
      <c r="D53" t="s">
        <v>441</v>
      </c>
      <c r="G53" t="s">
        <v>367</v>
      </c>
      <c r="H53" t="s">
        <v>453</v>
      </c>
      <c r="I53" t="str">
        <f t="shared" si="0"/>
        <v/>
      </c>
      <c r="Q53" s="43" t="str">
        <f t="shared" si="1"/>
        <v/>
      </c>
      <c r="R53" s="23" t="str">
        <f t="shared" si="2"/>
        <v/>
      </c>
      <c r="U53" s="43" t="str">
        <f t="shared" si="3"/>
        <v/>
      </c>
      <c r="V53" s="23" t="str">
        <f t="shared" si="4"/>
        <v/>
      </c>
      <c r="Z53" t="s">
        <v>442</v>
      </c>
    </row>
    <row r="54" spans="1:32" x14ac:dyDescent="0.3">
      <c r="A54" t="s">
        <v>462</v>
      </c>
      <c r="B54" s="2" t="s">
        <v>522</v>
      </c>
      <c r="C54" s="2" t="s">
        <v>440</v>
      </c>
      <c r="D54" t="s">
        <v>459</v>
      </c>
      <c r="E54" t="s">
        <v>250</v>
      </c>
      <c r="F54">
        <v>2029</v>
      </c>
      <c r="G54" t="s">
        <v>476</v>
      </c>
      <c r="H54" t="s">
        <v>453</v>
      </c>
      <c r="I54">
        <f t="shared" si="0"/>
        <v>2031</v>
      </c>
      <c r="K54" s="48">
        <f>5.2*12%</f>
        <v>0.624</v>
      </c>
      <c r="L54">
        <f>205</f>
        <v>205</v>
      </c>
      <c r="N54" s="35">
        <v>0.85</v>
      </c>
      <c r="O54" s="35">
        <v>1</v>
      </c>
      <c r="P54" s="35">
        <v>0.25</v>
      </c>
      <c r="Q54" s="43">
        <f t="shared" si="1"/>
        <v>81.549000000000007</v>
      </c>
      <c r="R54" s="23">
        <f t="shared" si="2"/>
        <v>0</v>
      </c>
      <c r="S54" s="46">
        <f>K54*L54*N54*(1-P54)</f>
        <v>81.549000000000007</v>
      </c>
      <c r="U54" s="43">
        <f t="shared" si="3"/>
        <v>95.94</v>
      </c>
      <c r="V54" s="23" t="str">
        <f t="shared" si="4"/>
        <v/>
      </c>
      <c r="Y54" t="s">
        <v>253</v>
      </c>
      <c r="AC54" t="s">
        <v>464</v>
      </c>
    </row>
    <row r="55" spans="1:32" x14ac:dyDescent="0.3">
      <c r="A55" t="s">
        <v>65</v>
      </c>
      <c r="B55" s="2" t="s">
        <v>372</v>
      </c>
      <c r="C55" s="2" t="s">
        <v>443</v>
      </c>
      <c r="D55" t="s">
        <v>523</v>
      </c>
      <c r="E55" t="s">
        <v>6</v>
      </c>
      <c r="F55" t="s">
        <v>497</v>
      </c>
      <c r="G55" t="s">
        <v>365</v>
      </c>
      <c r="H55" t="s">
        <v>453</v>
      </c>
      <c r="I55">
        <f t="shared" si="0"/>
        <v>2024</v>
      </c>
      <c r="J55" s="13">
        <f>'TV calcs'!C24</f>
        <v>139.23308862087049</v>
      </c>
      <c r="K55">
        <v>4</v>
      </c>
      <c r="L55" s="35" t="s">
        <v>524</v>
      </c>
      <c r="M55" s="35"/>
      <c r="Q55" s="43">
        <f>S55</f>
        <v>318.62100000000004</v>
      </c>
      <c r="R55" s="23"/>
      <c r="S55" s="37">
        <f>'TV calcs'!H25</f>
        <v>318.62100000000004</v>
      </c>
      <c r="U55" s="43">
        <f>S55</f>
        <v>318.62100000000004</v>
      </c>
      <c r="V55" s="23"/>
      <c r="Y55" t="s">
        <v>525</v>
      </c>
      <c r="AC55" t="s">
        <v>526</v>
      </c>
      <c r="AD55" t="s">
        <v>527</v>
      </c>
      <c r="AE55" t="s">
        <v>528</v>
      </c>
      <c r="AF55" t="s">
        <v>526</v>
      </c>
    </row>
    <row r="56" spans="1:32" x14ac:dyDescent="0.3">
      <c r="A56" t="s">
        <v>462</v>
      </c>
      <c r="B56" s="2" t="s">
        <v>529</v>
      </c>
      <c r="C56" s="2" t="s">
        <v>440</v>
      </c>
      <c r="D56" t="s">
        <v>530</v>
      </c>
      <c r="E56" t="s">
        <v>250</v>
      </c>
      <c r="F56">
        <v>2024</v>
      </c>
      <c r="G56" t="s">
        <v>531</v>
      </c>
      <c r="H56" t="s">
        <v>453</v>
      </c>
      <c r="I56">
        <f t="shared" si="0"/>
        <v>2026</v>
      </c>
      <c r="K56">
        <f>16*12%</f>
        <v>1.92</v>
      </c>
      <c r="L56">
        <v>9</v>
      </c>
      <c r="N56" s="35">
        <v>0.85</v>
      </c>
      <c r="O56" s="35">
        <v>1</v>
      </c>
      <c r="P56" s="51">
        <v>0.1</v>
      </c>
      <c r="Q56" s="43">
        <f t="shared" si="1"/>
        <v>13.219200000000001</v>
      </c>
      <c r="R56" s="23">
        <f t="shared" si="2"/>
        <v>0</v>
      </c>
      <c r="S56" s="46">
        <f>K56*L56*N56*(1-P56)</f>
        <v>13.219200000000001</v>
      </c>
      <c r="U56" s="43">
        <f t="shared" si="3"/>
        <v>15.552000000000001</v>
      </c>
      <c r="V56" s="23" t="str">
        <f t="shared" si="4"/>
        <v/>
      </c>
      <c r="Y56" t="s">
        <v>253</v>
      </c>
    </row>
    <row r="57" spans="1:32" x14ac:dyDescent="0.3">
      <c r="A57" t="s">
        <v>532</v>
      </c>
      <c r="B57" s="2" t="s">
        <v>533</v>
      </c>
      <c r="C57" s="2" t="s">
        <v>440</v>
      </c>
      <c r="D57" t="s">
        <v>471</v>
      </c>
      <c r="E57" t="s">
        <v>250</v>
      </c>
      <c r="G57" t="s">
        <v>365</v>
      </c>
      <c r="I57" t="str">
        <f t="shared" si="0"/>
        <v/>
      </c>
      <c r="Q57" s="43">
        <f t="shared" si="1"/>
        <v>0</v>
      </c>
      <c r="R57" s="23">
        <f t="shared" si="2"/>
        <v>0</v>
      </c>
      <c r="U57" s="43" t="str">
        <f t="shared" si="3"/>
        <v/>
      </c>
      <c r="V57" s="23" t="str">
        <f t="shared" si="4"/>
        <v/>
      </c>
      <c r="Z57" t="s">
        <v>534</v>
      </c>
    </row>
    <row r="58" spans="1:32" x14ac:dyDescent="0.3">
      <c r="A58" t="s">
        <v>65</v>
      </c>
      <c r="B58" s="2" t="s">
        <v>81</v>
      </c>
      <c r="C58" s="2" t="s">
        <v>443</v>
      </c>
      <c r="D58" t="s">
        <v>441</v>
      </c>
      <c r="E58" t="s">
        <v>250</v>
      </c>
      <c r="F58" t="s">
        <v>535</v>
      </c>
      <c r="G58" t="s">
        <v>536</v>
      </c>
      <c r="H58" t="s">
        <v>453</v>
      </c>
      <c r="I58">
        <f t="shared" si="0"/>
        <v>2020</v>
      </c>
      <c r="J58" t="s">
        <v>537</v>
      </c>
      <c r="Q58" s="43" t="str">
        <f t="shared" si="1"/>
        <v/>
      </c>
      <c r="R58" s="23" t="str">
        <f t="shared" si="2"/>
        <v/>
      </c>
      <c r="U58" s="43" t="str">
        <f t="shared" si="3"/>
        <v/>
      </c>
      <c r="V58" s="23" t="str">
        <f t="shared" si="4"/>
        <v/>
      </c>
      <c r="Y58" t="s">
        <v>538</v>
      </c>
    </row>
    <row r="59" spans="1:32" x14ac:dyDescent="0.3">
      <c r="A59" t="s">
        <v>65</v>
      </c>
      <c r="B59" s="2" t="s">
        <v>82</v>
      </c>
      <c r="C59" s="2" t="s">
        <v>443</v>
      </c>
      <c r="D59" t="s">
        <v>441</v>
      </c>
      <c r="E59" t="s">
        <v>250</v>
      </c>
      <c r="F59" t="s">
        <v>535</v>
      </c>
      <c r="G59" t="s">
        <v>536</v>
      </c>
      <c r="H59" t="s">
        <v>453</v>
      </c>
      <c r="I59">
        <f t="shared" si="0"/>
        <v>2020</v>
      </c>
      <c r="J59" t="s">
        <v>537</v>
      </c>
      <c r="Q59" s="43" t="str">
        <f t="shared" si="1"/>
        <v/>
      </c>
      <c r="R59" s="23" t="str">
        <f t="shared" si="2"/>
        <v/>
      </c>
      <c r="U59" s="43" t="str">
        <f t="shared" si="3"/>
        <v/>
      </c>
      <c r="V59" s="23" t="str">
        <f t="shared" si="4"/>
        <v/>
      </c>
      <c r="Y59" t="s">
        <v>538</v>
      </c>
    </row>
    <row r="60" spans="1:32" x14ac:dyDescent="0.3">
      <c r="A60" t="s">
        <v>65</v>
      </c>
      <c r="B60" s="41" t="s">
        <v>172</v>
      </c>
      <c r="C60" s="41" t="s">
        <v>451</v>
      </c>
      <c r="D60" t="s">
        <v>441</v>
      </c>
      <c r="E60" t="s">
        <v>250</v>
      </c>
      <c r="G60" t="s">
        <v>231</v>
      </c>
      <c r="H60" t="s">
        <v>453</v>
      </c>
      <c r="I60" t="str">
        <f t="shared" si="0"/>
        <v/>
      </c>
      <c r="Q60" s="43" t="str">
        <f t="shared" si="1"/>
        <v/>
      </c>
      <c r="R60" s="23" t="str">
        <f t="shared" si="2"/>
        <v/>
      </c>
      <c r="U60" s="43" t="str">
        <f t="shared" si="3"/>
        <v/>
      </c>
      <c r="V60" s="23" t="str">
        <f t="shared" si="4"/>
        <v/>
      </c>
      <c r="Z60" t="s">
        <v>442</v>
      </c>
    </row>
    <row r="61" spans="1:32" x14ac:dyDescent="0.3">
      <c r="A61" t="s">
        <v>65</v>
      </c>
      <c r="B61" s="41" t="s">
        <v>173</v>
      </c>
      <c r="C61" s="41" t="s">
        <v>443</v>
      </c>
      <c r="D61" t="s">
        <v>441</v>
      </c>
      <c r="E61" t="s">
        <v>250</v>
      </c>
      <c r="G61" t="s">
        <v>231</v>
      </c>
      <c r="H61" t="s">
        <v>453</v>
      </c>
      <c r="I61" t="str">
        <f t="shared" si="0"/>
        <v/>
      </c>
      <c r="Q61" s="43" t="str">
        <f t="shared" si="1"/>
        <v/>
      </c>
      <c r="R61" s="23" t="str">
        <f t="shared" si="2"/>
        <v/>
      </c>
      <c r="U61" s="43" t="str">
        <f t="shared" si="3"/>
        <v/>
      </c>
      <c r="V61" s="23" t="str">
        <f t="shared" si="4"/>
        <v/>
      </c>
      <c r="Z61" t="s">
        <v>442</v>
      </c>
    </row>
    <row r="62" spans="1:32" x14ac:dyDescent="0.3">
      <c r="A62" t="s">
        <v>65</v>
      </c>
      <c r="B62" s="41" t="s">
        <v>236</v>
      </c>
      <c r="C62" s="41" t="s">
        <v>443</v>
      </c>
      <c r="D62" t="s">
        <v>441</v>
      </c>
      <c r="E62" t="s">
        <v>250</v>
      </c>
      <c r="G62" t="s">
        <v>231</v>
      </c>
      <c r="H62" t="s">
        <v>453</v>
      </c>
      <c r="I62" t="str">
        <f t="shared" si="0"/>
        <v/>
      </c>
      <c r="N62" s="52">
        <v>0.85</v>
      </c>
      <c r="O62" s="35">
        <v>1</v>
      </c>
      <c r="Q62" s="43" t="str">
        <f t="shared" si="1"/>
        <v/>
      </c>
      <c r="R62" s="23" t="str">
        <f t="shared" si="2"/>
        <v/>
      </c>
      <c r="S62">
        <f>24*N62</f>
        <v>20.399999999999999</v>
      </c>
      <c r="U62" s="43" t="str">
        <f t="shared" si="3"/>
        <v/>
      </c>
      <c r="V62" s="23" t="str">
        <f t="shared" si="4"/>
        <v/>
      </c>
      <c r="Z62" t="s">
        <v>442</v>
      </c>
      <c r="AC62" t="s">
        <v>539</v>
      </c>
      <c r="AD62" t="s">
        <v>540</v>
      </c>
      <c r="AE62" t="s">
        <v>541</v>
      </c>
    </row>
    <row r="63" spans="1:32" x14ac:dyDescent="0.3">
      <c r="A63" t="s">
        <v>65</v>
      </c>
      <c r="B63" s="41" t="s">
        <v>237</v>
      </c>
      <c r="C63" s="41" t="s">
        <v>443</v>
      </c>
      <c r="D63" t="s">
        <v>441</v>
      </c>
      <c r="E63" t="s">
        <v>250</v>
      </c>
      <c r="G63" t="s">
        <v>231</v>
      </c>
      <c r="H63" t="s">
        <v>453</v>
      </c>
      <c r="I63" t="str">
        <f t="shared" si="0"/>
        <v/>
      </c>
      <c r="Q63" s="43" t="str">
        <f t="shared" si="1"/>
        <v/>
      </c>
      <c r="R63" s="23" t="str">
        <f t="shared" si="2"/>
        <v/>
      </c>
      <c r="U63" s="43" t="str">
        <f t="shared" si="3"/>
        <v/>
      </c>
      <c r="V63" s="23" t="str">
        <f t="shared" si="4"/>
        <v/>
      </c>
      <c r="Z63" t="s">
        <v>442</v>
      </c>
      <c r="AC63" t="s">
        <v>542</v>
      </c>
    </row>
    <row r="64" spans="1:32" x14ac:dyDescent="0.3">
      <c r="A64" t="s">
        <v>65</v>
      </c>
      <c r="B64" t="s">
        <v>66</v>
      </c>
      <c r="C64" s="41" t="s">
        <v>451</v>
      </c>
      <c r="D64" t="s">
        <v>441</v>
      </c>
      <c r="E64" t="s">
        <v>543</v>
      </c>
      <c r="F64" t="s">
        <v>544</v>
      </c>
      <c r="G64" t="s">
        <v>229</v>
      </c>
      <c r="H64" t="s">
        <v>453</v>
      </c>
      <c r="I64">
        <f t="shared" si="0"/>
        <v>2022</v>
      </c>
      <c r="N64" s="5">
        <v>0.84566240920499902</v>
      </c>
      <c r="O64" s="35">
        <v>1</v>
      </c>
      <c r="Q64" s="43" t="str">
        <f t="shared" si="1"/>
        <v/>
      </c>
      <c r="R64" s="23" t="str">
        <f t="shared" si="2"/>
        <v/>
      </c>
      <c r="T64">
        <f>0.06*20%</f>
        <v>1.2E-2</v>
      </c>
      <c r="U64" s="43" t="str">
        <f t="shared" si="3"/>
        <v/>
      </c>
      <c r="V64" s="23" t="str">
        <f t="shared" si="4"/>
        <v/>
      </c>
      <c r="W64" s="53">
        <f>(69000+838000)/1000000</f>
        <v>0.90700000000000003</v>
      </c>
      <c r="Y64" t="s">
        <v>545</v>
      </c>
      <c r="Z64" t="s">
        <v>546</v>
      </c>
      <c r="AC64" t="s">
        <v>547</v>
      </c>
    </row>
    <row r="65" spans="1:31" x14ac:dyDescent="0.3">
      <c r="A65" t="s">
        <v>65</v>
      </c>
      <c r="B65" t="s">
        <v>67</v>
      </c>
      <c r="C65" s="41" t="s">
        <v>451</v>
      </c>
      <c r="D65" t="s">
        <v>441</v>
      </c>
      <c r="E65" t="s">
        <v>543</v>
      </c>
      <c r="F65" t="s">
        <v>228</v>
      </c>
      <c r="G65" t="s">
        <v>548</v>
      </c>
      <c r="H65" t="s">
        <v>453</v>
      </c>
      <c r="I65">
        <f t="shared" si="0"/>
        <v>2021</v>
      </c>
      <c r="N65" s="5">
        <v>0.85</v>
      </c>
      <c r="O65" s="35">
        <v>1</v>
      </c>
      <c r="Q65" s="43" t="str">
        <f t="shared" si="1"/>
        <v/>
      </c>
      <c r="R65" s="23" t="str">
        <f t="shared" si="2"/>
        <v/>
      </c>
      <c r="S65">
        <f>3.97*0.2</f>
        <v>0.79400000000000004</v>
      </c>
      <c r="T65">
        <v>0</v>
      </c>
      <c r="U65" s="43" t="str">
        <f t="shared" si="3"/>
        <v/>
      </c>
      <c r="V65" s="23" t="str">
        <f t="shared" si="4"/>
        <v/>
      </c>
      <c r="Y65" t="s">
        <v>538</v>
      </c>
    </row>
    <row r="66" spans="1:31" x14ac:dyDescent="0.3">
      <c r="A66" t="s">
        <v>65</v>
      </c>
      <c r="B66" s="23" t="s">
        <v>549</v>
      </c>
      <c r="C66" s="41" t="s">
        <v>451</v>
      </c>
      <c r="D66" s="23" t="s">
        <v>441</v>
      </c>
      <c r="E66" s="23" t="s">
        <v>543</v>
      </c>
      <c r="F66" s="23" t="s">
        <v>452</v>
      </c>
      <c r="G66" t="s">
        <v>548</v>
      </c>
      <c r="H66" t="s">
        <v>453</v>
      </c>
      <c r="I66">
        <f t="shared" si="0"/>
        <v>2027</v>
      </c>
      <c r="N66" s="5">
        <v>0.85</v>
      </c>
      <c r="O66" s="35">
        <v>1</v>
      </c>
      <c r="Q66" s="43" t="str">
        <f t="shared" si="1"/>
        <v/>
      </c>
      <c r="R66" s="23" t="str">
        <f t="shared" si="2"/>
        <v/>
      </c>
      <c r="S66">
        <f>1.44*0.2</f>
        <v>0.28799999999999998</v>
      </c>
      <c r="T66">
        <v>0</v>
      </c>
      <c r="U66" s="43" t="str">
        <f t="shared" si="3"/>
        <v/>
      </c>
      <c r="V66" s="23" t="str">
        <f t="shared" si="4"/>
        <v/>
      </c>
      <c r="Y66" t="s">
        <v>538</v>
      </c>
    </row>
    <row r="67" spans="1:31" x14ac:dyDescent="0.3">
      <c r="A67" t="s">
        <v>65</v>
      </c>
      <c r="B67" t="s">
        <v>69</v>
      </c>
      <c r="C67" s="41" t="s">
        <v>443</v>
      </c>
      <c r="D67" t="s">
        <v>441</v>
      </c>
      <c r="E67" t="s">
        <v>543</v>
      </c>
      <c r="F67" t="s">
        <v>228</v>
      </c>
      <c r="G67" t="s">
        <v>548</v>
      </c>
      <c r="H67" t="s">
        <v>453</v>
      </c>
      <c r="I67">
        <f t="shared" si="0"/>
        <v>2021</v>
      </c>
      <c r="N67" s="5">
        <v>0.85</v>
      </c>
      <c r="O67" s="35">
        <v>1</v>
      </c>
      <c r="Q67" s="43" t="str">
        <f t="shared" si="1"/>
        <v/>
      </c>
      <c r="R67" s="23" t="str">
        <f t="shared" si="2"/>
        <v/>
      </c>
      <c r="S67">
        <f>20.99*0.2</f>
        <v>4.1979999999999995</v>
      </c>
      <c r="T67">
        <v>0</v>
      </c>
      <c r="U67" s="43" t="str">
        <f t="shared" si="3"/>
        <v/>
      </c>
      <c r="V67" s="23" t="str">
        <f t="shared" si="4"/>
        <v/>
      </c>
      <c r="Y67" t="s">
        <v>538</v>
      </c>
    </row>
    <row r="68" spans="1:31" x14ac:dyDescent="0.3">
      <c r="A68" t="s">
        <v>65</v>
      </c>
      <c r="B68" t="s">
        <v>550</v>
      </c>
      <c r="C68" s="41" t="s">
        <v>443</v>
      </c>
      <c r="D68" t="s">
        <v>441</v>
      </c>
      <c r="E68" t="s">
        <v>250</v>
      </c>
      <c r="F68">
        <f>2019+6</f>
        <v>2025</v>
      </c>
      <c r="G68" t="s">
        <v>551</v>
      </c>
      <c r="H68" t="s">
        <v>453</v>
      </c>
      <c r="I68">
        <f t="shared" ref="I68:I114" si="5">IF(F68&gt;0,RIGHT(F68,4)+2,"")</f>
        <v>2027</v>
      </c>
      <c r="N68" s="5"/>
      <c r="Q68" s="43" t="str">
        <f t="shared" ref="Q68:Q115" si="6">IF($D68="none","",$K68*$L68*$N68*(1-$P68))</f>
        <v/>
      </c>
      <c r="R68" s="23" t="str">
        <f t="shared" ref="R68:R115" si="7">IF($D68="none","",$M68*$K68*$N68*(1-$P68))</f>
        <v/>
      </c>
      <c r="U68" s="43" t="str">
        <f t="shared" ref="U68:U115" si="8">IF($K68*$L68*$O68*(1-$P68)=0,"",$K68*$L68*$O68*(1-$P68))</f>
        <v/>
      </c>
      <c r="V68" s="23" t="str">
        <f t="shared" ref="V68:V115" si="9">IF($M68*$K68*$O68*(1-$P68)=0,"",$M68*$K68*$O68*(1-$P68))</f>
        <v/>
      </c>
      <c r="Y68" t="s">
        <v>538</v>
      </c>
    </row>
    <row r="69" spans="1:31" x14ac:dyDescent="0.3">
      <c r="A69" t="s">
        <v>65</v>
      </c>
      <c r="B69" t="s">
        <v>70</v>
      </c>
      <c r="C69" s="41" t="s">
        <v>443</v>
      </c>
      <c r="D69" t="s">
        <v>441</v>
      </c>
      <c r="E69" t="s">
        <v>543</v>
      </c>
      <c r="F69" t="s">
        <v>228</v>
      </c>
      <c r="G69" t="s">
        <v>548</v>
      </c>
      <c r="H69" t="s">
        <v>453</v>
      </c>
      <c r="I69">
        <f t="shared" si="5"/>
        <v>2021</v>
      </c>
      <c r="N69" s="5">
        <v>0.85</v>
      </c>
      <c r="O69" s="35">
        <v>1</v>
      </c>
      <c r="Q69" s="43" t="str">
        <f t="shared" si="6"/>
        <v/>
      </c>
      <c r="R69" s="23" t="str">
        <f t="shared" si="7"/>
        <v/>
      </c>
      <c r="S69" s="43">
        <f>300.72*0.2</f>
        <v>60.144000000000005</v>
      </c>
      <c r="T69">
        <v>0</v>
      </c>
      <c r="U69" s="43" t="str">
        <f t="shared" si="8"/>
        <v/>
      </c>
      <c r="V69" s="23" t="str">
        <f t="shared" si="9"/>
        <v/>
      </c>
      <c r="Y69" t="s">
        <v>538</v>
      </c>
    </row>
    <row r="70" spans="1:31" x14ac:dyDescent="0.3">
      <c r="A70" t="s">
        <v>65</v>
      </c>
      <c r="B70" t="s">
        <v>71</v>
      </c>
      <c r="C70" s="41" t="s">
        <v>443</v>
      </c>
      <c r="D70" t="s">
        <v>441</v>
      </c>
      <c r="E70" t="s">
        <v>543</v>
      </c>
      <c r="F70" t="s">
        <v>552</v>
      </c>
      <c r="G70" t="s">
        <v>548</v>
      </c>
      <c r="H70" t="s">
        <v>453</v>
      </c>
      <c r="I70">
        <f t="shared" si="5"/>
        <v>2023</v>
      </c>
      <c r="N70" s="5">
        <v>0.85</v>
      </c>
      <c r="O70" s="35">
        <v>1</v>
      </c>
      <c r="Q70" s="43" t="str">
        <f t="shared" si="6"/>
        <v/>
      </c>
      <c r="R70" s="23" t="str">
        <f t="shared" si="7"/>
        <v/>
      </c>
      <c r="U70" s="43" t="str">
        <f t="shared" si="8"/>
        <v/>
      </c>
      <c r="V70" s="23" t="str">
        <f t="shared" si="9"/>
        <v/>
      </c>
      <c r="Y70" t="s">
        <v>538</v>
      </c>
    </row>
    <row r="71" spans="1:31" x14ac:dyDescent="0.3">
      <c r="A71" t="s">
        <v>65</v>
      </c>
      <c r="B71" t="s">
        <v>144</v>
      </c>
      <c r="C71" s="41" t="s">
        <v>443</v>
      </c>
      <c r="D71" t="s">
        <v>441</v>
      </c>
      <c r="E71" t="s">
        <v>543</v>
      </c>
      <c r="F71" t="s">
        <v>228</v>
      </c>
      <c r="G71" t="s">
        <v>548</v>
      </c>
      <c r="H71" t="s">
        <v>453</v>
      </c>
      <c r="I71">
        <f t="shared" si="5"/>
        <v>2021</v>
      </c>
      <c r="N71" s="5">
        <v>0.85</v>
      </c>
      <c r="O71" s="35">
        <v>1</v>
      </c>
      <c r="Q71" s="43" t="str">
        <f t="shared" si="6"/>
        <v/>
      </c>
      <c r="R71" s="23" t="str">
        <f t="shared" si="7"/>
        <v/>
      </c>
      <c r="S71" s="43">
        <f>118.548*0.2</f>
        <v>23.709600000000002</v>
      </c>
      <c r="T71">
        <v>0</v>
      </c>
      <c r="U71" s="43" t="str">
        <f t="shared" si="8"/>
        <v/>
      </c>
      <c r="V71" s="23" t="str">
        <f t="shared" si="9"/>
        <v/>
      </c>
      <c r="W71" s="11">
        <f>15.38*0.2</f>
        <v>3.0760000000000005</v>
      </c>
      <c r="Y71" t="s">
        <v>538</v>
      </c>
    </row>
    <row r="72" spans="1:31" x14ac:dyDescent="0.3">
      <c r="A72" t="s">
        <v>65</v>
      </c>
      <c r="B72" t="s">
        <v>72</v>
      </c>
      <c r="C72" s="41" t="s">
        <v>443</v>
      </c>
      <c r="D72" t="s">
        <v>441</v>
      </c>
      <c r="E72" t="s">
        <v>543</v>
      </c>
      <c r="F72" t="s">
        <v>452</v>
      </c>
      <c r="G72" t="s">
        <v>229</v>
      </c>
      <c r="H72" t="s">
        <v>453</v>
      </c>
      <c r="I72">
        <f t="shared" si="5"/>
        <v>2027</v>
      </c>
      <c r="J72">
        <f>AVERAGE(181,233)</f>
        <v>207</v>
      </c>
      <c r="K72">
        <f>0.4+2+5+4+0.2</f>
        <v>11.6</v>
      </c>
      <c r="L72">
        <v>50</v>
      </c>
      <c r="N72" s="5">
        <v>0.84566240920499902</v>
      </c>
      <c r="O72" s="35">
        <v>1</v>
      </c>
      <c r="P72" s="35">
        <v>0.25</v>
      </c>
      <c r="Q72" s="43" t="str">
        <f t="shared" si="6"/>
        <v/>
      </c>
      <c r="R72" s="23" t="str">
        <f t="shared" si="7"/>
        <v/>
      </c>
      <c r="S72" s="13">
        <f>L72*K72*N72*(1-P72)</f>
        <v>367.8631480041746</v>
      </c>
      <c r="U72" s="43">
        <f t="shared" si="8"/>
        <v>435</v>
      </c>
      <c r="V72" s="23" t="str">
        <f t="shared" si="9"/>
        <v/>
      </c>
      <c r="Y72" t="s">
        <v>538</v>
      </c>
      <c r="AC72" t="s">
        <v>553</v>
      </c>
      <c r="AD72" t="s">
        <v>554</v>
      </c>
      <c r="AE72" t="s">
        <v>555</v>
      </c>
    </row>
    <row r="73" spans="1:31" x14ac:dyDescent="0.3">
      <c r="A73" t="s">
        <v>65</v>
      </c>
      <c r="B73" t="s">
        <v>73</v>
      </c>
      <c r="C73" s="41" t="s">
        <v>443</v>
      </c>
      <c r="D73" t="s">
        <v>441</v>
      </c>
      <c r="E73" t="s">
        <v>543</v>
      </c>
      <c r="F73" t="s">
        <v>452</v>
      </c>
      <c r="G73" t="s">
        <v>229</v>
      </c>
      <c r="H73" t="s">
        <v>453</v>
      </c>
      <c r="I73">
        <f t="shared" si="5"/>
        <v>2027</v>
      </c>
      <c r="N73" s="5">
        <v>0.84566240920499902</v>
      </c>
      <c r="Q73" s="43" t="str">
        <f t="shared" si="6"/>
        <v/>
      </c>
      <c r="R73" s="23" t="str">
        <f t="shared" si="7"/>
        <v/>
      </c>
      <c r="U73" s="43" t="str">
        <f t="shared" si="8"/>
        <v/>
      </c>
      <c r="V73" s="23" t="str">
        <f t="shared" si="9"/>
        <v/>
      </c>
      <c r="Y73" t="s">
        <v>538</v>
      </c>
    </row>
    <row r="74" spans="1:31" x14ac:dyDescent="0.3">
      <c r="A74" s="22" t="s">
        <v>65</v>
      </c>
      <c r="B74" s="2" t="s">
        <v>74</v>
      </c>
      <c r="C74" s="2" t="s">
        <v>443</v>
      </c>
      <c r="D74" t="s">
        <v>441</v>
      </c>
      <c r="E74" t="s">
        <v>543</v>
      </c>
      <c r="F74" s="14" t="s">
        <v>228</v>
      </c>
      <c r="G74" t="s">
        <v>229</v>
      </c>
      <c r="H74" t="s">
        <v>453</v>
      </c>
      <c r="I74">
        <f t="shared" si="5"/>
        <v>2021</v>
      </c>
      <c r="N74" s="24">
        <v>0.84566240920499902</v>
      </c>
      <c r="Q74" s="43" t="str">
        <f t="shared" si="6"/>
        <v/>
      </c>
      <c r="R74" s="23" t="str">
        <f t="shared" si="7"/>
        <v/>
      </c>
      <c r="U74" s="43" t="str">
        <f t="shared" si="8"/>
        <v/>
      </c>
      <c r="V74" s="23" t="str">
        <f t="shared" si="9"/>
        <v/>
      </c>
      <c r="Y74" t="s">
        <v>538</v>
      </c>
    </row>
    <row r="75" spans="1:31" x14ac:dyDescent="0.3">
      <c r="A75" s="14" t="s">
        <v>65</v>
      </c>
      <c r="B75" s="26" t="s">
        <v>14</v>
      </c>
      <c r="C75" s="14" t="s">
        <v>443</v>
      </c>
      <c r="D75" t="s">
        <v>441</v>
      </c>
      <c r="E75" t="s">
        <v>543</v>
      </c>
      <c r="F75" s="14" t="s">
        <v>228</v>
      </c>
      <c r="G75" s="14" t="s">
        <v>556</v>
      </c>
      <c r="H75" t="s">
        <v>453</v>
      </c>
      <c r="I75">
        <f t="shared" si="5"/>
        <v>2021</v>
      </c>
      <c r="N75" s="15">
        <v>0.84566240920499902</v>
      </c>
      <c r="Q75" s="43" t="str">
        <f t="shared" si="6"/>
        <v/>
      </c>
      <c r="R75" s="23" t="str">
        <f t="shared" si="7"/>
        <v/>
      </c>
      <c r="S75" s="14">
        <f>9*0.2</f>
        <v>1.8</v>
      </c>
      <c r="T75">
        <v>0</v>
      </c>
      <c r="U75" s="43" t="str">
        <f t="shared" si="8"/>
        <v/>
      </c>
      <c r="V75" s="23" t="str">
        <f t="shared" si="9"/>
        <v/>
      </c>
      <c r="W75" s="17">
        <f>1.5*0.2</f>
        <v>0.30000000000000004</v>
      </c>
      <c r="Y75" t="s">
        <v>538</v>
      </c>
    </row>
    <row r="76" spans="1:31" x14ac:dyDescent="0.3">
      <c r="A76" s="14" t="s">
        <v>65</v>
      </c>
      <c r="B76" s="26" t="s">
        <v>147</v>
      </c>
      <c r="C76" s="14" t="s">
        <v>443</v>
      </c>
      <c r="D76" t="s">
        <v>441</v>
      </c>
      <c r="E76" t="s">
        <v>543</v>
      </c>
      <c r="F76" s="14" t="s">
        <v>228</v>
      </c>
      <c r="G76" s="14" t="s">
        <v>556</v>
      </c>
      <c r="H76" t="s">
        <v>453</v>
      </c>
      <c r="I76">
        <f t="shared" si="5"/>
        <v>2021</v>
      </c>
      <c r="N76" s="15">
        <v>0.84566240920499902</v>
      </c>
      <c r="Q76" s="43" t="str">
        <f t="shared" si="6"/>
        <v/>
      </c>
      <c r="R76" s="23" t="str">
        <f t="shared" si="7"/>
        <v/>
      </c>
      <c r="S76" s="14">
        <f>4*0.2</f>
        <v>0.8</v>
      </c>
      <c r="T76">
        <v>0</v>
      </c>
      <c r="U76" s="43" t="str">
        <f t="shared" si="8"/>
        <v/>
      </c>
      <c r="V76" s="23" t="str">
        <f t="shared" si="9"/>
        <v/>
      </c>
      <c r="W76" s="17">
        <f>0.6*0.2</f>
        <v>0.12</v>
      </c>
      <c r="Y76" t="s">
        <v>538</v>
      </c>
    </row>
    <row r="77" spans="1:31" x14ac:dyDescent="0.3">
      <c r="A77" s="14" t="s">
        <v>65</v>
      </c>
      <c r="B77" s="26" t="s">
        <v>148</v>
      </c>
      <c r="C77" s="14" t="s">
        <v>443</v>
      </c>
      <c r="D77" t="s">
        <v>441</v>
      </c>
      <c r="E77" t="s">
        <v>543</v>
      </c>
      <c r="F77" s="14" t="s">
        <v>228</v>
      </c>
      <c r="G77" s="14" t="s">
        <v>556</v>
      </c>
      <c r="H77" t="s">
        <v>453</v>
      </c>
      <c r="I77">
        <f t="shared" si="5"/>
        <v>2021</v>
      </c>
      <c r="N77" s="15">
        <v>0.84566240920499902</v>
      </c>
      <c r="Q77" s="43" t="str">
        <f t="shared" si="6"/>
        <v/>
      </c>
      <c r="R77" s="23" t="str">
        <f t="shared" si="7"/>
        <v/>
      </c>
      <c r="S77" s="14">
        <f>1.4*0.2</f>
        <v>0.27999999999999997</v>
      </c>
      <c r="T77">
        <v>0</v>
      </c>
      <c r="U77" s="43" t="str">
        <f t="shared" si="8"/>
        <v/>
      </c>
      <c r="V77" s="23" t="str">
        <f t="shared" si="9"/>
        <v/>
      </c>
      <c r="W77" s="17">
        <f>0.2*0.2</f>
        <v>4.0000000000000008E-2</v>
      </c>
      <c r="Y77" t="s">
        <v>538</v>
      </c>
    </row>
    <row r="78" spans="1:31" x14ac:dyDescent="0.3">
      <c r="A78" s="14" t="s">
        <v>65</v>
      </c>
      <c r="B78" s="26" t="s">
        <v>149</v>
      </c>
      <c r="C78" s="14" t="s">
        <v>443</v>
      </c>
      <c r="D78" t="s">
        <v>441</v>
      </c>
      <c r="E78" t="s">
        <v>543</v>
      </c>
      <c r="F78" s="14" t="s">
        <v>228</v>
      </c>
      <c r="G78" s="14" t="s">
        <v>556</v>
      </c>
      <c r="H78" t="s">
        <v>453</v>
      </c>
      <c r="I78">
        <f t="shared" si="5"/>
        <v>2021</v>
      </c>
      <c r="N78" s="15">
        <v>0.84566240920499902</v>
      </c>
      <c r="Q78" s="43" t="str">
        <f t="shared" si="6"/>
        <v/>
      </c>
      <c r="R78" s="23" t="str">
        <f t="shared" si="7"/>
        <v/>
      </c>
      <c r="S78" s="54">
        <f>12.3*0.2</f>
        <v>2.4600000000000004</v>
      </c>
      <c r="T78">
        <v>0</v>
      </c>
      <c r="U78" s="43" t="str">
        <f t="shared" si="8"/>
        <v/>
      </c>
      <c r="V78" s="23" t="str">
        <f t="shared" si="9"/>
        <v/>
      </c>
      <c r="W78" s="17">
        <f>2*0.2</f>
        <v>0.4</v>
      </c>
      <c r="Y78" t="s">
        <v>538</v>
      </c>
    </row>
    <row r="79" spans="1:31" x14ac:dyDescent="0.3">
      <c r="A79" s="14" t="s">
        <v>65</v>
      </c>
      <c r="B79" s="26" t="s">
        <v>150</v>
      </c>
      <c r="C79" s="14" t="s">
        <v>443</v>
      </c>
      <c r="D79" t="s">
        <v>441</v>
      </c>
      <c r="E79" t="s">
        <v>543</v>
      </c>
      <c r="F79" s="14" t="s">
        <v>228</v>
      </c>
      <c r="G79" s="14" t="s">
        <v>556</v>
      </c>
      <c r="H79" t="s">
        <v>453</v>
      </c>
      <c r="I79">
        <f t="shared" si="5"/>
        <v>2021</v>
      </c>
      <c r="N79" s="15">
        <v>0.84566240920499902</v>
      </c>
      <c r="Q79" s="43" t="str">
        <f t="shared" si="6"/>
        <v/>
      </c>
      <c r="R79" s="23" t="str">
        <f t="shared" si="7"/>
        <v/>
      </c>
      <c r="S79" s="54">
        <f>92.9*0.2</f>
        <v>18.580000000000002</v>
      </c>
      <c r="T79">
        <v>0</v>
      </c>
      <c r="U79" s="43" t="str">
        <f t="shared" si="8"/>
        <v/>
      </c>
      <c r="V79" s="23" t="str">
        <f t="shared" si="9"/>
        <v/>
      </c>
      <c r="W79" s="17">
        <f>14.9*0.2</f>
        <v>2.9800000000000004</v>
      </c>
      <c r="Y79" t="s">
        <v>538</v>
      </c>
    </row>
    <row r="80" spans="1:31" x14ac:dyDescent="0.3">
      <c r="A80" s="14" t="s">
        <v>65</v>
      </c>
      <c r="B80" s="26" t="s">
        <v>151</v>
      </c>
      <c r="C80" s="14" t="s">
        <v>443</v>
      </c>
      <c r="D80" t="s">
        <v>441</v>
      </c>
      <c r="E80" t="s">
        <v>543</v>
      </c>
      <c r="F80" s="14" t="s">
        <v>228</v>
      </c>
      <c r="G80" s="14" t="s">
        <v>556</v>
      </c>
      <c r="H80" t="s">
        <v>453</v>
      </c>
      <c r="I80">
        <f t="shared" si="5"/>
        <v>2021</v>
      </c>
      <c r="N80" s="15">
        <v>0.84566240920499902</v>
      </c>
      <c r="Q80" s="43" t="str">
        <f t="shared" si="6"/>
        <v/>
      </c>
      <c r="R80" s="23" t="str">
        <f t="shared" si="7"/>
        <v/>
      </c>
      <c r="S80" s="54">
        <f>33.3*0.2</f>
        <v>6.66</v>
      </c>
      <c r="T80">
        <v>0</v>
      </c>
      <c r="U80" s="43" t="str">
        <f t="shared" si="8"/>
        <v/>
      </c>
      <c r="V80" s="23" t="str">
        <f t="shared" si="9"/>
        <v/>
      </c>
      <c r="W80" s="17">
        <f>5.3*0.2</f>
        <v>1.06</v>
      </c>
      <c r="Y80" t="s">
        <v>538</v>
      </c>
    </row>
    <row r="81" spans="1:31" x14ac:dyDescent="0.3">
      <c r="A81" s="14" t="s">
        <v>65</v>
      </c>
      <c r="B81" s="26" t="s">
        <v>152</v>
      </c>
      <c r="C81" s="14" t="s">
        <v>443</v>
      </c>
      <c r="D81" t="s">
        <v>441</v>
      </c>
      <c r="E81" t="s">
        <v>543</v>
      </c>
      <c r="F81" s="14" t="s">
        <v>228</v>
      </c>
      <c r="G81" s="14" t="s">
        <v>556</v>
      </c>
      <c r="H81" t="s">
        <v>453</v>
      </c>
      <c r="I81">
        <f t="shared" si="5"/>
        <v>2021</v>
      </c>
      <c r="N81" s="15">
        <v>0.84566240920499902</v>
      </c>
      <c r="Q81" s="43" t="str">
        <f t="shared" si="6"/>
        <v/>
      </c>
      <c r="R81" s="23" t="str">
        <f t="shared" si="7"/>
        <v/>
      </c>
      <c r="S81" s="14">
        <v>0</v>
      </c>
      <c r="T81">
        <v>0</v>
      </c>
      <c r="U81" s="43" t="str">
        <f t="shared" si="8"/>
        <v/>
      </c>
      <c r="V81" s="23" t="str">
        <f t="shared" si="9"/>
        <v/>
      </c>
      <c r="W81" s="17">
        <v>0</v>
      </c>
      <c r="Y81" t="s">
        <v>538</v>
      </c>
    </row>
    <row r="82" spans="1:31" x14ac:dyDescent="0.3">
      <c r="A82" s="14" t="s">
        <v>65</v>
      </c>
      <c r="B82" s="26" t="s">
        <v>153</v>
      </c>
      <c r="C82" s="14" t="s">
        <v>443</v>
      </c>
      <c r="D82" t="s">
        <v>441</v>
      </c>
      <c r="E82" t="s">
        <v>543</v>
      </c>
      <c r="F82" s="14" t="s">
        <v>228</v>
      </c>
      <c r="G82" s="14" t="s">
        <v>556</v>
      </c>
      <c r="H82" t="s">
        <v>453</v>
      </c>
      <c r="I82">
        <f t="shared" si="5"/>
        <v>2021</v>
      </c>
      <c r="N82" s="15">
        <v>0.84566240920499902</v>
      </c>
      <c r="Q82" s="43" t="str">
        <f t="shared" si="6"/>
        <v/>
      </c>
      <c r="R82" s="23" t="str">
        <f t="shared" si="7"/>
        <v/>
      </c>
      <c r="S82" s="14">
        <f>24*0.2</f>
        <v>4.8000000000000007</v>
      </c>
      <c r="T82">
        <v>0</v>
      </c>
      <c r="U82" s="43" t="str">
        <f t="shared" si="8"/>
        <v/>
      </c>
      <c r="V82" s="23" t="str">
        <f t="shared" si="9"/>
        <v/>
      </c>
      <c r="W82" s="17">
        <f>3.8*0.2</f>
        <v>0.76</v>
      </c>
      <c r="Y82" t="s">
        <v>538</v>
      </c>
    </row>
    <row r="83" spans="1:31" x14ac:dyDescent="0.3">
      <c r="A83" s="14" t="s">
        <v>65</v>
      </c>
      <c r="B83" s="26" t="s">
        <v>154</v>
      </c>
      <c r="C83" s="14" t="s">
        <v>443</v>
      </c>
      <c r="D83" t="s">
        <v>441</v>
      </c>
      <c r="E83" t="s">
        <v>543</v>
      </c>
      <c r="F83" s="14" t="s">
        <v>228</v>
      </c>
      <c r="G83" s="14" t="s">
        <v>556</v>
      </c>
      <c r="H83" t="s">
        <v>453</v>
      </c>
      <c r="I83">
        <f t="shared" si="5"/>
        <v>2021</v>
      </c>
      <c r="N83" s="15">
        <v>0.84566240920499902</v>
      </c>
      <c r="Q83" s="43" t="str">
        <f t="shared" si="6"/>
        <v/>
      </c>
      <c r="R83" s="23" t="str">
        <f t="shared" si="7"/>
        <v/>
      </c>
      <c r="S83" s="14">
        <f>49*0.2</f>
        <v>9.8000000000000007</v>
      </c>
      <c r="T83">
        <v>0</v>
      </c>
      <c r="U83" s="43" t="str">
        <f t="shared" si="8"/>
        <v/>
      </c>
      <c r="V83" s="23" t="str">
        <f t="shared" si="9"/>
        <v/>
      </c>
      <c r="W83" s="17">
        <f>7.8*0.2</f>
        <v>1.56</v>
      </c>
      <c r="Y83" t="s">
        <v>538</v>
      </c>
    </row>
    <row r="84" spans="1:31" x14ac:dyDescent="0.3">
      <c r="A84" t="s">
        <v>65</v>
      </c>
      <c r="B84" s="22" t="s">
        <v>75</v>
      </c>
      <c r="C84" s="22" t="s">
        <v>443</v>
      </c>
      <c r="D84" t="s">
        <v>441</v>
      </c>
      <c r="E84" t="s">
        <v>543</v>
      </c>
      <c r="F84" t="s">
        <v>228</v>
      </c>
      <c r="G84" t="s">
        <v>229</v>
      </c>
      <c r="H84" t="s">
        <v>453</v>
      </c>
      <c r="I84">
        <f t="shared" si="5"/>
        <v>2021</v>
      </c>
      <c r="J84" s="43" t="s">
        <v>557</v>
      </c>
      <c r="K84">
        <f>K55/3</f>
        <v>1.3333333333333333</v>
      </c>
      <c r="L84">
        <v>21</v>
      </c>
      <c r="N84" s="5">
        <v>0.84566240920499902</v>
      </c>
      <c r="O84" s="35">
        <v>1</v>
      </c>
      <c r="P84" s="35">
        <v>0.25</v>
      </c>
      <c r="Q84" s="43" t="str">
        <f t="shared" si="6"/>
        <v/>
      </c>
      <c r="R84" s="23" t="str">
        <f t="shared" si="7"/>
        <v/>
      </c>
      <c r="S84" s="43">
        <f>L84*K84*N84*(1-P84)</f>
        <v>17.758910593304982</v>
      </c>
      <c r="T84">
        <v>0</v>
      </c>
      <c r="U84" s="43">
        <f t="shared" si="8"/>
        <v>21</v>
      </c>
      <c r="V84" s="23" t="str">
        <f t="shared" si="9"/>
        <v/>
      </c>
      <c r="Y84" t="s">
        <v>538</v>
      </c>
      <c r="AC84" s="21" t="s">
        <v>558</v>
      </c>
      <c r="AD84" t="s">
        <v>559</v>
      </c>
    </row>
    <row r="85" spans="1:31" x14ac:dyDescent="0.3">
      <c r="A85" t="s">
        <v>65</v>
      </c>
      <c r="B85" s="22" t="s">
        <v>76</v>
      </c>
      <c r="C85" s="22" t="s">
        <v>443</v>
      </c>
      <c r="D85" t="s">
        <v>441</v>
      </c>
      <c r="E85" t="s">
        <v>543</v>
      </c>
      <c r="F85" t="s">
        <v>560</v>
      </c>
      <c r="G85" t="s">
        <v>229</v>
      </c>
      <c r="H85" t="s">
        <v>453</v>
      </c>
      <c r="I85">
        <f t="shared" si="5"/>
        <v>2020</v>
      </c>
      <c r="J85">
        <v>119</v>
      </c>
      <c r="L85">
        <v>45</v>
      </c>
      <c r="N85" s="5">
        <v>0.85</v>
      </c>
      <c r="O85" s="35">
        <v>1</v>
      </c>
      <c r="Q85" s="43" t="str">
        <f t="shared" si="6"/>
        <v/>
      </c>
      <c r="R85" s="23" t="str">
        <f t="shared" si="7"/>
        <v/>
      </c>
      <c r="S85" s="23">
        <f>1535*0.2</f>
        <v>307</v>
      </c>
      <c r="T85">
        <v>0</v>
      </c>
      <c r="U85" s="43" t="str">
        <f t="shared" si="8"/>
        <v/>
      </c>
      <c r="V85" s="23" t="str">
        <f t="shared" si="9"/>
        <v/>
      </c>
      <c r="W85" s="48">
        <f>465288652*0.2/1000000</f>
        <v>93.057730400000011</v>
      </c>
      <c r="Y85" t="s">
        <v>538</v>
      </c>
      <c r="AC85" s="21" t="s">
        <v>561</v>
      </c>
      <c r="AD85" t="s">
        <v>562</v>
      </c>
    </row>
    <row r="86" spans="1:31" x14ac:dyDescent="0.3">
      <c r="A86" t="s">
        <v>65</v>
      </c>
      <c r="B86" s="22" t="s">
        <v>77</v>
      </c>
      <c r="C86" s="22" t="s">
        <v>451</v>
      </c>
      <c r="D86" t="s">
        <v>441</v>
      </c>
      <c r="E86" t="s">
        <v>543</v>
      </c>
      <c r="F86" t="s">
        <v>563</v>
      </c>
      <c r="G86" t="s">
        <v>564</v>
      </c>
      <c r="H86" t="s">
        <v>453</v>
      </c>
      <c r="I86">
        <f t="shared" si="5"/>
        <v>2025</v>
      </c>
      <c r="N86" s="5">
        <v>0.84566240920499902</v>
      </c>
      <c r="O86" s="35">
        <v>1</v>
      </c>
      <c r="Q86" s="43" t="str">
        <f t="shared" si="6"/>
        <v/>
      </c>
      <c r="R86" s="23" t="str">
        <f t="shared" si="7"/>
        <v/>
      </c>
      <c r="S86">
        <f>93.5*0.2</f>
        <v>18.7</v>
      </c>
      <c r="T86">
        <v>0</v>
      </c>
      <c r="U86" s="43" t="str">
        <f t="shared" si="8"/>
        <v/>
      </c>
      <c r="V86" s="23" t="str">
        <f t="shared" si="9"/>
        <v/>
      </c>
      <c r="W86" s="48">
        <f>7990000*0.2/1000000</f>
        <v>1.5980000000000001</v>
      </c>
      <c r="Y86" t="s">
        <v>538</v>
      </c>
      <c r="AC86" s="21" t="s">
        <v>565</v>
      </c>
      <c r="AD86" t="s">
        <v>566</v>
      </c>
    </row>
    <row r="87" spans="1:31" x14ac:dyDescent="0.3">
      <c r="A87" t="s">
        <v>65</v>
      </c>
      <c r="B87" s="22" t="s">
        <v>78</v>
      </c>
      <c r="C87" s="22" t="s">
        <v>443</v>
      </c>
      <c r="D87" t="s">
        <v>441</v>
      </c>
      <c r="E87" t="s">
        <v>543</v>
      </c>
      <c r="F87" t="s">
        <v>228</v>
      </c>
      <c r="G87" t="s">
        <v>229</v>
      </c>
      <c r="H87" t="s">
        <v>453</v>
      </c>
      <c r="I87">
        <f t="shared" si="5"/>
        <v>2021</v>
      </c>
      <c r="K87">
        <f>829000/1000000</f>
        <v>0.82899999999999996</v>
      </c>
      <c r="L87">
        <f>13-9</f>
        <v>4</v>
      </c>
      <c r="N87" s="5">
        <v>0.84566240920499902</v>
      </c>
      <c r="O87" s="35">
        <v>1</v>
      </c>
      <c r="P87" s="36">
        <v>0.75</v>
      </c>
      <c r="Q87" s="43" t="str">
        <f t="shared" si="6"/>
        <v/>
      </c>
      <c r="R87" s="23" t="str">
        <f t="shared" si="7"/>
        <v/>
      </c>
      <c r="S87" s="43">
        <f>L87*K87*N87*(1-P87)</f>
        <v>0.70105413723094412</v>
      </c>
      <c r="U87" s="43">
        <f t="shared" si="8"/>
        <v>0.82899999999999996</v>
      </c>
      <c r="V87" s="23" t="str">
        <f t="shared" si="9"/>
        <v/>
      </c>
      <c r="Y87" t="s">
        <v>538</v>
      </c>
      <c r="AC87" t="s">
        <v>567</v>
      </c>
    </row>
    <row r="88" spans="1:31" x14ac:dyDescent="0.3">
      <c r="A88" t="s">
        <v>65</v>
      </c>
      <c r="B88" s="2" t="s">
        <v>568</v>
      </c>
      <c r="C88" s="2" t="s">
        <v>451</v>
      </c>
      <c r="D88" t="s">
        <v>441</v>
      </c>
      <c r="E88" t="s">
        <v>250</v>
      </c>
      <c r="F88" t="s">
        <v>497</v>
      </c>
      <c r="G88" t="s">
        <v>569</v>
      </c>
      <c r="H88" t="s">
        <v>453</v>
      </c>
      <c r="I88">
        <f t="shared" si="5"/>
        <v>2024</v>
      </c>
      <c r="Q88" s="43" t="str">
        <f t="shared" si="6"/>
        <v/>
      </c>
      <c r="R88" s="23" t="str">
        <f t="shared" si="7"/>
        <v/>
      </c>
      <c r="U88" s="43" t="str">
        <f t="shared" si="8"/>
        <v/>
      </c>
      <c r="V88" s="23" t="str">
        <f t="shared" si="9"/>
        <v/>
      </c>
    </row>
    <row r="89" spans="1:31" x14ac:dyDescent="0.3">
      <c r="A89" t="s">
        <v>65</v>
      </c>
      <c r="B89" s="2" t="s">
        <v>570</v>
      </c>
      <c r="C89" s="2" t="s">
        <v>443</v>
      </c>
      <c r="D89" t="s">
        <v>441</v>
      </c>
      <c r="E89" t="s">
        <v>250</v>
      </c>
      <c r="F89" t="s">
        <v>497</v>
      </c>
      <c r="G89" t="s">
        <v>569</v>
      </c>
      <c r="H89" t="s">
        <v>453</v>
      </c>
      <c r="I89">
        <f t="shared" si="5"/>
        <v>2024</v>
      </c>
      <c r="Q89" s="43" t="str">
        <f t="shared" si="6"/>
        <v/>
      </c>
      <c r="R89" s="23" t="str">
        <f t="shared" si="7"/>
        <v/>
      </c>
      <c r="U89" s="43" t="str">
        <f t="shared" si="8"/>
        <v/>
      </c>
      <c r="V89" s="23" t="str">
        <f t="shared" si="9"/>
        <v/>
      </c>
      <c r="AC89" t="s">
        <v>571</v>
      </c>
    </row>
    <row r="90" spans="1:31" x14ac:dyDescent="0.3">
      <c r="A90" t="s">
        <v>65</v>
      </c>
      <c r="B90" s="2" t="s">
        <v>572</v>
      </c>
      <c r="C90" s="2" t="s">
        <v>440</v>
      </c>
      <c r="D90" t="s">
        <v>441</v>
      </c>
      <c r="E90" t="s">
        <v>250</v>
      </c>
      <c r="F90" t="s">
        <v>497</v>
      </c>
      <c r="G90" t="s">
        <v>569</v>
      </c>
      <c r="H90" t="s">
        <v>453</v>
      </c>
      <c r="I90">
        <f t="shared" si="5"/>
        <v>2024</v>
      </c>
      <c r="J90">
        <f>60/1000*1*365</f>
        <v>21.9</v>
      </c>
      <c r="K90" t="s">
        <v>573</v>
      </c>
      <c r="L90">
        <f>10/1000*1*365</f>
        <v>3.65</v>
      </c>
      <c r="N90" s="35">
        <v>0.85</v>
      </c>
      <c r="O90" s="35">
        <v>1</v>
      </c>
      <c r="P90" s="35">
        <v>0.25</v>
      </c>
      <c r="Q90" s="43" t="str">
        <f t="shared" si="6"/>
        <v/>
      </c>
      <c r="R90" s="23" t="str">
        <f t="shared" si="7"/>
        <v/>
      </c>
      <c r="U90" s="43"/>
      <c r="V90" s="23"/>
      <c r="Y90" t="s">
        <v>252</v>
      </c>
      <c r="AC90" s="21" t="s">
        <v>574</v>
      </c>
      <c r="AD90" t="s">
        <v>575</v>
      </c>
      <c r="AE90" t="s">
        <v>576</v>
      </c>
    </row>
    <row r="91" spans="1:31" x14ac:dyDescent="0.3">
      <c r="A91" t="s">
        <v>65</v>
      </c>
      <c r="B91" s="2" t="s">
        <v>577</v>
      </c>
      <c r="C91" s="2" t="s">
        <v>443</v>
      </c>
      <c r="D91" t="s">
        <v>441</v>
      </c>
      <c r="E91" t="s">
        <v>250</v>
      </c>
      <c r="F91" t="s">
        <v>452</v>
      </c>
      <c r="G91" t="s">
        <v>569</v>
      </c>
      <c r="H91" t="s">
        <v>453</v>
      </c>
      <c r="I91">
        <f t="shared" si="5"/>
        <v>2027</v>
      </c>
      <c r="Q91" s="43" t="str">
        <f t="shared" si="6"/>
        <v/>
      </c>
      <c r="R91" s="23" t="str">
        <f t="shared" si="7"/>
        <v/>
      </c>
      <c r="U91" s="43" t="str">
        <f t="shared" si="8"/>
        <v/>
      </c>
      <c r="V91" s="23" t="str">
        <f t="shared" si="9"/>
        <v/>
      </c>
    </row>
    <row r="92" spans="1:31" x14ac:dyDescent="0.3">
      <c r="A92" t="s">
        <v>65</v>
      </c>
      <c r="B92" s="22" t="s">
        <v>578</v>
      </c>
      <c r="C92" s="22" t="s">
        <v>443</v>
      </c>
      <c r="D92" t="s">
        <v>441</v>
      </c>
      <c r="E92" t="s">
        <v>250</v>
      </c>
      <c r="F92" t="s">
        <v>452</v>
      </c>
      <c r="G92" t="s">
        <v>569</v>
      </c>
      <c r="H92" t="s">
        <v>453</v>
      </c>
      <c r="I92">
        <f t="shared" si="5"/>
        <v>2027</v>
      </c>
      <c r="J92">
        <v>89</v>
      </c>
      <c r="K92" s="13">
        <v>4</v>
      </c>
      <c r="L92">
        <v>60</v>
      </c>
      <c r="N92" s="35">
        <v>0.85</v>
      </c>
      <c r="O92" s="35">
        <v>1</v>
      </c>
      <c r="P92" s="35">
        <v>0.25</v>
      </c>
      <c r="Q92" s="43" t="str">
        <f t="shared" si="6"/>
        <v/>
      </c>
      <c r="R92" s="23" t="str">
        <f t="shared" si="7"/>
        <v/>
      </c>
      <c r="S92">
        <f>L92*K92*N92*(1-P92)</f>
        <v>153</v>
      </c>
      <c r="U92" s="43">
        <f t="shared" si="8"/>
        <v>180</v>
      </c>
      <c r="V92" s="23" t="str">
        <f t="shared" si="9"/>
        <v/>
      </c>
      <c r="W92" s="43">
        <f>583634435/1000000</f>
        <v>583.63443500000005</v>
      </c>
      <c r="Y92" t="s">
        <v>538</v>
      </c>
      <c r="AC92" s="21" t="s">
        <v>561</v>
      </c>
    </row>
    <row r="93" spans="1:31" x14ac:dyDescent="0.3">
      <c r="A93" t="s">
        <v>462</v>
      </c>
      <c r="B93" s="2" t="s">
        <v>579</v>
      </c>
      <c r="C93" s="2" t="s">
        <v>440</v>
      </c>
      <c r="D93" t="s">
        <v>489</v>
      </c>
      <c r="E93" t="s">
        <v>250</v>
      </c>
      <c r="F93">
        <v>2024</v>
      </c>
      <c r="G93" t="s">
        <v>253</v>
      </c>
      <c r="H93" t="s">
        <v>453</v>
      </c>
      <c r="I93">
        <f t="shared" si="5"/>
        <v>2026</v>
      </c>
      <c r="K93">
        <f>10.5*12%</f>
        <v>1.26</v>
      </c>
      <c r="L93">
        <v>29</v>
      </c>
      <c r="M93">
        <f>0.2*10</f>
        <v>2</v>
      </c>
      <c r="N93" s="35">
        <v>0.85</v>
      </c>
      <c r="O93" s="35">
        <v>1</v>
      </c>
      <c r="P93" s="35">
        <v>0.25</v>
      </c>
      <c r="Q93" s="43">
        <f t="shared" si="6"/>
        <v>23.294249999999998</v>
      </c>
      <c r="R93" s="23">
        <f t="shared" si="7"/>
        <v>1.6065</v>
      </c>
      <c r="S93">
        <f>L93*K93*N93*(1-P93)</f>
        <v>23.294249999999998</v>
      </c>
      <c r="T93" s="55">
        <f>K93*M93*N93*(1-P93)</f>
        <v>1.6065</v>
      </c>
      <c r="U93" s="43">
        <f t="shared" si="8"/>
        <v>27.405000000000001</v>
      </c>
      <c r="V93" s="23">
        <f t="shared" si="9"/>
        <v>1.8900000000000001</v>
      </c>
      <c r="Y93" t="s">
        <v>253</v>
      </c>
    </row>
    <row r="94" spans="1:31" x14ac:dyDescent="0.3">
      <c r="A94" t="s">
        <v>462</v>
      </c>
      <c r="B94" s="2" t="s">
        <v>580</v>
      </c>
      <c r="C94" s="2" t="s">
        <v>451</v>
      </c>
      <c r="D94" t="s">
        <v>489</v>
      </c>
      <c r="E94" t="s">
        <v>250</v>
      </c>
      <c r="F94">
        <v>2029</v>
      </c>
      <c r="G94" t="s">
        <v>253</v>
      </c>
      <c r="I94">
        <f t="shared" si="5"/>
        <v>2031</v>
      </c>
      <c r="K94">
        <f>0.3*12%</f>
        <v>3.5999999999999997E-2</v>
      </c>
      <c r="L94">
        <v>4685</v>
      </c>
      <c r="N94" s="35">
        <v>0.85</v>
      </c>
      <c r="O94" s="35">
        <v>1</v>
      </c>
      <c r="P94" s="35">
        <v>0.25</v>
      </c>
      <c r="Q94" s="43">
        <f t="shared" si="6"/>
        <v>107.52074999999999</v>
      </c>
      <c r="R94" s="23">
        <f t="shared" si="7"/>
        <v>0</v>
      </c>
      <c r="S94" s="43">
        <f>L94*K94*N94*(1-P94)</f>
        <v>107.52074999999999</v>
      </c>
      <c r="U94" s="43">
        <f t="shared" si="8"/>
        <v>126.495</v>
      </c>
      <c r="V94" s="23" t="str">
        <f t="shared" si="9"/>
        <v/>
      </c>
      <c r="Y94" t="s">
        <v>253</v>
      </c>
    </row>
    <row r="95" spans="1:31" x14ac:dyDescent="0.3">
      <c r="A95" t="s">
        <v>462</v>
      </c>
      <c r="B95" s="2" t="s">
        <v>581</v>
      </c>
      <c r="C95" t="s">
        <v>440</v>
      </c>
      <c r="D95" t="s">
        <v>489</v>
      </c>
      <c r="E95" t="s">
        <v>250</v>
      </c>
      <c r="F95">
        <v>2028</v>
      </c>
      <c r="G95" t="s">
        <v>253</v>
      </c>
      <c r="I95">
        <f t="shared" si="5"/>
        <v>2030</v>
      </c>
      <c r="K95" s="43">
        <f>6*12%</f>
        <v>0.72</v>
      </c>
      <c r="L95">
        <v>25</v>
      </c>
      <c r="N95" s="35">
        <v>0.85</v>
      </c>
      <c r="O95" s="35">
        <v>1</v>
      </c>
      <c r="P95" s="51">
        <v>0.1</v>
      </c>
      <c r="Q95" s="43">
        <f t="shared" si="6"/>
        <v>13.77</v>
      </c>
      <c r="R95" s="23">
        <f t="shared" si="7"/>
        <v>0</v>
      </c>
      <c r="S95" s="46">
        <f>K95*L95*N95*(1-P95)</f>
        <v>13.77</v>
      </c>
      <c r="T95" s="23"/>
      <c r="U95" s="43">
        <f t="shared" si="8"/>
        <v>16.2</v>
      </c>
      <c r="V95" s="23" t="str">
        <f t="shared" si="9"/>
        <v/>
      </c>
      <c r="Y95" t="s">
        <v>253</v>
      </c>
      <c r="AC95" t="s">
        <v>464</v>
      </c>
    </row>
    <row r="96" spans="1:31" x14ac:dyDescent="0.3">
      <c r="A96" t="s">
        <v>462</v>
      </c>
      <c r="B96" s="2" t="s">
        <v>582</v>
      </c>
      <c r="C96" t="s">
        <v>440</v>
      </c>
      <c r="D96" t="s">
        <v>489</v>
      </c>
      <c r="E96" t="s">
        <v>250</v>
      </c>
      <c r="F96">
        <v>2028</v>
      </c>
      <c r="G96" t="s">
        <v>253</v>
      </c>
      <c r="I96">
        <f>IF(F96&gt;0,RIGHT(F96,4)+2,"")</f>
        <v>2030</v>
      </c>
      <c r="K96" s="43">
        <f>2.8*12%</f>
        <v>0.33599999999999997</v>
      </c>
      <c r="M96">
        <f>0.03*10</f>
        <v>0.3</v>
      </c>
      <c r="N96" s="35">
        <v>0.85</v>
      </c>
      <c r="O96" s="35">
        <v>1</v>
      </c>
      <c r="P96" s="51">
        <v>0.1</v>
      </c>
      <c r="Q96" s="43">
        <f t="shared" si="6"/>
        <v>0</v>
      </c>
      <c r="R96" s="23">
        <f t="shared" si="7"/>
        <v>7.7112E-2</v>
      </c>
      <c r="S96" s="23"/>
      <c r="T96" s="55">
        <f>K96*M96*N96*(1-P96)</f>
        <v>7.7112E-2</v>
      </c>
      <c r="U96" s="43" t="str">
        <f t="shared" si="8"/>
        <v/>
      </c>
      <c r="V96" s="23">
        <f t="shared" si="9"/>
        <v>9.0719999999999995E-2</v>
      </c>
      <c r="Y96" t="s">
        <v>253</v>
      </c>
    </row>
    <row r="97" spans="1:29" x14ac:dyDescent="0.3">
      <c r="A97" t="s">
        <v>462</v>
      </c>
      <c r="B97" s="2" t="s">
        <v>583</v>
      </c>
      <c r="C97" t="s">
        <v>440</v>
      </c>
      <c r="D97" t="s">
        <v>441</v>
      </c>
      <c r="E97" t="s">
        <v>250</v>
      </c>
      <c r="F97">
        <v>2027</v>
      </c>
      <c r="G97" t="s">
        <v>253</v>
      </c>
      <c r="I97">
        <f t="shared" si="5"/>
        <v>2029</v>
      </c>
      <c r="K97">
        <f>1.7*12%</f>
        <v>0.20399999999999999</v>
      </c>
      <c r="L97">
        <v>99</v>
      </c>
      <c r="N97" s="35">
        <v>0.85</v>
      </c>
      <c r="O97" s="35">
        <v>1</v>
      </c>
      <c r="P97" s="51">
        <v>0.1</v>
      </c>
      <c r="Q97" s="43" t="str">
        <f t="shared" si="6"/>
        <v/>
      </c>
      <c r="R97" s="23" t="str">
        <f t="shared" si="7"/>
        <v/>
      </c>
      <c r="S97" s="43">
        <f>K97*L97*N97*(1-P97)</f>
        <v>15.44994</v>
      </c>
      <c r="U97" s="43">
        <f t="shared" si="8"/>
        <v>18.176399999999997</v>
      </c>
      <c r="V97" s="23" t="str">
        <f t="shared" si="9"/>
        <v/>
      </c>
      <c r="Y97" t="s">
        <v>253</v>
      </c>
      <c r="AC97" t="s">
        <v>464</v>
      </c>
    </row>
    <row r="98" spans="1:29" x14ac:dyDescent="0.3">
      <c r="A98" t="s">
        <v>532</v>
      </c>
      <c r="B98" s="2" t="s">
        <v>584</v>
      </c>
      <c r="C98" t="s">
        <v>440</v>
      </c>
      <c r="D98" t="s">
        <v>585</v>
      </c>
      <c r="E98" t="s">
        <v>250</v>
      </c>
      <c r="F98">
        <v>2026</v>
      </c>
      <c r="G98" t="s">
        <v>253</v>
      </c>
      <c r="I98">
        <f t="shared" si="5"/>
        <v>2028</v>
      </c>
      <c r="N98" s="35"/>
      <c r="P98" s="35"/>
      <c r="Q98" s="43">
        <f t="shared" si="6"/>
        <v>0</v>
      </c>
      <c r="R98" s="23">
        <f t="shared" si="7"/>
        <v>0</v>
      </c>
      <c r="S98" s="43"/>
      <c r="U98" s="43" t="str">
        <f t="shared" si="8"/>
        <v/>
      </c>
      <c r="V98" s="23" t="str">
        <f t="shared" si="9"/>
        <v/>
      </c>
      <c r="Y98" t="s">
        <v>253</v>
      </c>
    </row>
    <row r="99" spans="1:29" x14ac:dyDescent="0.3">
      <c r="A99" t="s">
        <v>462</v>
      </c>
      <c r="B99" s="2" t="s">
        <v>178</v>
      </c>
      <c r="C99" t="s">
        <v>440</v>
      </c>
      <c r="D99" t="s">
        <v>586</v>
      </c>
      <c r="E99" t="s">
        <v>250</v>
      </c>
      <c r="F99">
        <v>2025</v>
      </c>
      <c r="G99" t="s">
        <v>253</v>
      </c>
      <c r="I99">
        <f t="shared" si="5"/>
        <v>2027</v>
      </c>
      <c r="K99">
        <f>236*12%</f>
        <v>28.32</v>
      </c>
      <c r="L99">
        <v>0.5</v>
      </c>
      <c r="N99" s="35">
        <v>0.85</v>
      </c>
      <c r="O99" s="35">
        <v>1</v>
      </c>
      <c r="P99" s="51">
        <v>0.25</v>
      </c>
      <c r="Q99" s="43">
        <f t="shared" si="6"/>
        <v>9.0269999999999992</v>
      </c>
      <c r="R99" s="23">
        <f t="shared" si="7"/>
        <v>0</v>
      </c>
      <c r="S99" s="46">
        <f>K99*L99*N99*(1-P99)</f>
        <v>9.0269999999999992</v>
      </c>
      <c r="U99" s="43">
        <f t="shared" si="8"/>
        <v>10.620000000000001</v>
      </c>
      <c r="V99" s="23" t="str">
        <f t="shared" si="9"/>
        <v/>
      </c>
      <c r="Y99" t="s">
        <v>253</v>
      </c>
    </row>
    <row r="100" spans="1:29" x14ac:dyDescent="0.3">
      <c r="A100" t="s">
        <v>462</v>
      </c>
      <c r="B100" s="2" t="s">
        <v>109</v>
      </c>
      <c r="C100" t="s">
        <v>440</v>
      </c>
      <c r="D100" t="s">
        <v>530</v>
      </c>
      <c r="E100" t="s">
        <v>250</v>
      </c>
      <c r="F100" s="23">
        <v>2023</v>
      </c>
      <c r="G100" t="s">
        <v>253</v>
      </c>
      <c r="I100">
        <f t="shared" si="5"/>
        <v>2025</v>
      </c>
      <c r="K100" s="43">
        <f>288.9*12%</f>
        <v>34.667999999999999</v>
      </c>
      <c r="L100">
        <v>1.4</v>
      </c>
      <c r="N100" s="35">
        <v>0.85</v>
      </c>
      <c r="O100" s="35">
        <v>1</v>
      </c>
      <c r="P100" s="51">
        <v>0.25</v>
      </c>
      <c r="Q100" s="43">
        <f t="shared" si="6"/>
        <v>30.941189999999999</v>
      </c>
      <c r="R100" s="23">
        <f t="shared" si="7"/>
        <v>0</v>
      </c>
      <c r="S100" s="46">
        <f>K100*L100*N100*(1-P100)</f>
        <v>30.941189999999999</v>
      </c>
      <c r="U100" s="43">
        <f t="shared" si="8"/>
        <v>36.401399999999995</v>
      </c>
      <c r="V100" s="23" t="str">
        <f t="shared" si="9"/>
        <v/>
      </c>
      <c r="Y100" t="s">
        <v>253</v>
      </c>
    </row>
    <row r="101" spans="1:29" x14ac:dyDescent="0.3">
      <c r="A101" t="s">
        <v>532</v>
      </c>
      <c r="B101" s="2" t="s">
        <v>587</v>
      </c>
      <c r="C101" t="s">
        <v>440</v>
      </c>
      <c r="D101" t="s">
        <v>585</v>
      </c>
      <c r="G101" t="s">
        <v>253</v>
      </c>
      <c r="I101" t="str">
        <f t="shared" si="5"/>
        <v/>
      </c>
      <c r="Q101" s="43">
        <f t="shared" si="6"/>
        <v>0</v>
      </c>
      <c r="R101" s="23">
        <f t="shared" si="7"/>
        <v>0</v>
      </c>
      <c r="S101" s="23"/>
      <c r="U101" s="43" t="str">
        <f t="shared" si="8"/>
        <v/>
      </c>
      <c r="V101" s="23" t="str">
        <f t="shared" si="9"/>
        <v/>
      </c>
      <c r="Z101" t="s">
        <v>534</v>
      </c>
    </row>
    <row r="102" spans="1:29" x14ac:dyDescent="0.3">
      <c r="A102" t="s">
        <v>462</v>
      </c>
      <c r="B102" s="2" t="s">
        <v>123</v>
      </c>
      <c r="C102" t="s">
        <v>440</v>
      </c>
      <c r="D102" t="s">
        <v>557</v>
      </c>
      <c r="E102" s="34" t="s">
        <v>250</v>
      </c>
      <c r="F102">
        <v>2029</v>
      </c>
      <c r="G102" t="s">
        <v>253</v>
      </c>
      <c r="I102">
        <f t="shared" si="5"/>
        <v>2031</v>
      </c>
      <c r="K102">
        <f>4.3*12%</f>
        <v>0.51600000000000001</v>
      </c>
      <c r="L102">
        <v>86</v>
      </c>
      <c r="N102" s="35">
        <v>0.85</v>
      </c>
      <c r="O102" s="35">
        <v>1</v>
      </c>
      <c r="P102" s="51">
        <v>0.1</v>
      </c>
      <c r="Q102" s="43">
        <f t="shared" si="6"/>
        <v>33.94764</v>
      </c>
      <c r="R102" s="23">
        <f t="shared" si="7"/>
        <v>0</v>
      </c>
      <c r="S102" s="46">
        <f>K102*L102*N102*(1-P102)</f>
        <v>33.94764</v>
      </c>
      <c r="U102" s="43">
        <f t="shared" si="8"/>
        <v>39.938400000000009</v>
      </c>
      <c r="V102" s="23" t="str">
        <f t="shared" si="9"/>
        <v/>
      </c>
      <c r="Y102" t="s">
        <v>253</v>
      </c>
    </row>
    <row r="103" spans="1:29" x14ac:dyDescent="0.3">
      <c r="A103" t="s">
        <v>532</v>
      </c>
      <c r="B103" s="2" t="s">
        <v>588</v>
      </c>
      <c r="C103" t="s">
        <v>440</v>
      </c>
      <c r="D103" t="s">
        <v>585</v>
      </c>
      <c r="I103" t="str">
        <f t="shared" si="5"/>
        <v/>
      </c>
      <c r="Q103" s="43">
        <f t="shared" si="6"/>
        <v>0</v>
      </c>
      <c r="R103" s="23">
        <f t="shared" si="7"/>
        <v>0</v>
      </c>
      <c r="U103" s="43" t="str">
        <f t="shared" si="8"/>
        <v/>
      </c>
      <c r="V103" s="23" t="str">
        <f t="shared" si="9"/>
        <v/>
      </c>
      <c r="Z103" t="s">
        <v>534</v>
      </c>
    </row>
    <row r="104" spans="1:29" x14ac:dyDescent="0.3">
      <c r="A104" t="s">
        <v>532</v>
      </c>
      <c r="B104" s="2" t="s">
        <v>589</v>
      </c>
      <c r="C104" t="s">
        <v>440</v>
      </c>
      <c r="D104" t="s">
        <v>585</v>
      </c>
      <c r="I104" t="str">
        <f t="shared" si="5"/>
        <v/>
      </c>
      <c r="Q104" s="43">
        <f t="shared" si="6"/>
        <v>0</v>
      </c>
      <c r="R104" s="23">
        <f t="shared" si="7"/>
        <v>0</v>
      </c>
      <c r="U104" s="43" t="str">
        <f t="shared" si="8"/>
        <v/>
      </c>
      <c r="V104" s="23" t="str">
        <f t="shared" si="9"/>
        <v/>
      </c>
      <c r="Z104" t="s">
        <v>534</v>
      </c>
    </row>
    <row r="105" spans="1:29" x14ac:dyDescent="0.3">
      <c r="A105" t="s">
        <v>462</v>
      </c>
      <c r="B105" s="2" t="s">
        <v>590</v>
      </c>
      <c r="C105" t="s">
        <v>451</v>
      </c>
      <c r="D105" t="s">
        <v>441</v>
      </c>
      <c r="E105" t="s">
        <v>250</v>
      </c>
      <c r="G105" t="s">
        <v>531</v>
      </c>
      <c r="H105" t="s">
        <v>453</v>
      </c>
      <c r="I105" t="str">
        <f t="shared" si="5"/>
        <v/>
      </c>
      <c r="K105">
        <f>0.3*12%</f>
        <v>3.5999999999999997E-2</v>
      </c>
      <c r="L105">
        <f>516</f>
        <v>516</v>
      </c>
      <c r="N105" s="35">
        <v>0.85</v>
      </c>
      <c r="O105" s="35">
        <v>1</v>
      </c>
      <c r="P105" s="35">
        <v>0.25</v>
      </c>
      <c r="Q105" s="43" t="str">
        <f t="shared" si="6"/>
        <v/>
      </c>
      <c r="R105" s="23" t="str">
        <f t="shared" si="7"/>
        <v/>
      </c>
      <c r="S105">
        <f t="shared" ref="S105:S114" si="10">K105*L105*N105*(1-P105)</f>
        <v>11.842199999999998</v>
      </c>
      <c r="U105" s="43">
        <f t="shared" si="8"/>
        <v>13.931999999999999</v>
      </c>
      <c r="V105" s="23" t="str">
        <f t="shared" si="9"/>
        <v/>
      </c>
    </row>
    <row r="106" spans="1:29" x14ac:dyDescent="0.3">
      <c r="A106" t="s">
        <v>462</v>
      </c>
      <c r="B106" s="2" t="s">
        <v>591</v>
      </c>
      <c r="C106" t="s">
        <v>451</v>
      </c>
      <c r="D106" t="s">
        <v>441</v>
      </c>
      <c r="E106" t="s">
        <v>250</v>
      </c>
      <c r="F106">
        <v>2028</v>
      </c>
      <c r="G106" t="s">
        <v>253</v>
      </c>
      <c r="I106">
        <f t="shared" si="5"/>
        <v>2030</v>
      </c>
      <c r="K106">
        <f>1.6*12%</f>
        <v>0.192</v>
      </c>
      <c r="L106">
        <v>1204</v>
      </c>
      <c r="N106" s="35">
        <v>0.85</v>
      </c>
      <c r="O106" s="35">
        <v>1</v>
      </c>
      <c r="P106" s="35">
        <v>0.1</v>
      </c>
      <c r="Q106" s="43" t="str">
        <f t="shared" si="6"/>
        <v/>
      </c>
      <c r="R106" s="23" t="str">
        <f t="shared" si="7"/>
        <v/>
      </c>
      <c r="S106" s="46">
        <f t="shared" si="10"/>
        <v>176.84351999999998</v>
      </c>
      <c r="U106" s="43">
        <f t="shared" si="8"/>
        <v>208.05120000000002</v>
      </c>
      <c r="V106" s="23" t="str">
        <f t="shared" si="9"/>
        <v/>
      </c>
      <c r="Y106" t="s">
        <v>253</v>
      </c>
    </row>
    <row r="107" spans="1:29" x14ac:dyDescent="0.3">
      <c r="A107" t="s">
        <v>462</v>
      </c>
      <c r="B107" s="2" t="s">
        <v>592</v>
      </c>
      <c r="C107" t="s">
        <v>451</v>
      </c>
      <c r="D107" t="s">
        <v>489</v>
      </c>
      <c r="E107" t="s">
        <v>250</v>
      </c>
      <c r="F107">
        <v>2023</v>
      </c>
      <c r="G107" t="s">
        <v>253</v>
      </c>
      <c r="I107">
        <f t="shared" si="5"/>
        <v>2025</v>
      </c>
      <c r="K107">
        <f>0.02*12%</f>
        <v>2.3999999999999998E-3</v>
      </c>
      <c r="L107">
        <f>8824*50%</f>
        <v>4412</v>
      </c>
      <c r="N107" s="35">
        <v>0.85</v>
      </c>
      <c r="O107" s="35">
        <v>1</v>
      </c>
      <c r="P107" s="35">
        <v>0.25</v>
      </c>
      <c r="Q107" s="43">
        <f t="shared" si="6"/>
        <v>6.7503599999999997</v>
      </c>
      <c r="R107" s="23">
        <f t="shared" si="7"/>
        <v>0</v>
      </c>
      <c r="S107" s="46">
        <f t="shared" si="10"/>
        <v>6.7503599999999997</v>
      </c>
      <c r="U107" s="43">
        <f t="shared" si="8"/>
        <v>7.9415999999999993</v>
      </c>
      <c r="V107" s="23" t="str">
        <f t="shared" si="9"/>
        <v/>
      </c>
      <c r="Y107" t="s">
        <v>253</v>
      </c>
    </row>
    <row r="108" spans="1:29" x14ac:dyDescent="0.3">
      <c r="A108" t="s">
        <v>462</v>
      </c>
      <c r="B108" s="2" t="s">
        <v>593</v>
      </c>
      <c r="C108" t="s">
        <v>451</v>
      </c>
      <c r="D108" t="s">
        <v>441</v>
      </c>
      <c r="E108" t="s">
        <v>250</v>
      </c>
      <c r="F108">
        <v>2024</v>
      </c>
      <c r="G108" t="s">
        <v>253</v>
      </c>
      <c r="I108">
        <f t="shared" si="5"/>
        <v>2026</v>
      </c>
      <c r="K108">
        <f>0.1*12%</f>
        <v>1.2E-2</v>
      </c>
      <c r="L108">
        <v>11910</v>
      </c>
      <c r="N108" s="35">
        <v>0.85</v>
      </c>
      <c r="O108" s="35">
        <v>1</v>
      </c>
      <c r="P108" s="35">
        <v>0.1</v>
      </c>
      <c r="Q108" s="43" t="str">
        <f t="shared" si="6"/>
        <v/>
      </c>
      <c r="R108" s="23" t="str">
        <f t="shared" si="7"/>
        <v/>
      </c>
      <c r="S108" s="46">
        <f t="shared" si="10"/>
        <v>109.33380000000001</v>
      </c>
      <c r="U108" s="43">
        <f t="shared" si="8"/>
        <v>128.62800000000001</v>
      </c>
      <c r="V108" s="23" t="str">
        <f t="shared" si="9"/>
        <v/>
      </c>
      <c r="Y108" t="s">
        <v>253</v>
      </c>
    </row>
    <row r="109" spans="1:29" x14ac:dyDescent="0.3">
      <c r="A109" t="s">
        <v>462</v>
      </c>
      <c r="B109" s="2" t="s">
        <v>594</v>
      </c>
      <c r="C109" t="s">
        <v>451</v>
      </c>
      <c r="D109" t="s">
        <v>530</v>
      </c>
      <c r="E109" t="s">
        <v>250</v>
      </c>
      <c r="F109">
        <v>2025</v>
      </c>
      <c r="G109" t="s">
        <v>253</v>
      </c>
      <c r="I109">
        <f t="shared" si="5"/>
        <v>2027</v>
      </c>
      <c r="K109">
        <f>8.7*12%</f>
        <v>1.0439999999999998</v>
      </c>
      <c r="L109">
        <v>193</v>
      </c>
      <c r="N109" s="35">
        <v>0.85</v>
      </c>
      <c r="O109" s="35">
        <v>1</v>
      </c>
      <c r="P109" s="35">
        <v>0.1</v>
      </c>
      <c r="Q109" s="43">
        <f t="shared" si="6"/>
        <v>154.14137999999997</v>
      </c>
      <c r="R109" s="23">
        <f t="shared" si="7"/>
        <v>0</v>
      </c>
      <c r="S109" s="46">
        <f t="shared" si="10"/>
        <v>154.14137999999997</v>
      </c>
      <c r="U109" s="43">
        <f t="shared" si="8"/>
        <v>181.34279999999998</v>
      </c>
      <c r="V109" s="23" t="str">
        <f t="shared" si="9"/>
        <v/>
      </c>
      <c r="Y109" t="s">
        <v>253</v>
      </c>
    </row>
    <row r="110" spans="1:29" x14ac:dyDescent="0.3">
      <c r="A110" t="s">
        <v>462</v>
      </c>
      <c r="B110" s="2" t="s">
        <v>595</v>
      </c>
      <c r="C110" t="s">
        <v>451</v>
      </c>
      <c r="D110" t="s">
        <v>596</v>
      </c>
      <c r="E110" t="s">
        <v>250</v>
      </c>
      <c r="F110">
        <v>2026</v>
      </c>
      <c r="G110" t="s">
        <v>253</v>
      </c>
      <c r="I110">
        <f t="shared" si="5"/>
        <v>2028</v>
      </c>
      <c r="K110">
        <f>0.6*12%</f>
        <v>7.1999999999999995E-2</v>
      </c>
      <c r="L110">
        <v>137</v>
      </c>
      <c r="N110" s="35">
        <v>0.85</v>
      </c>
      <c r="O110" s="35">
        <v>1</v>
      </c>
      <c r="P110" s="35">
        <v>0.1</v>
      </c>
      <c r="Q110" s="43">
        <f t="shared" si="6"/>
        <v>7.54596</v>
      </c>
      <c r="R110" s="23">
        <f t="shared" si="7"/>
        <v>0</v>
      </c>
      <c r="S110" s="46">
        <f t="shared" si="10"/>
        <v>7.54596</v>
      </c>
      <c r="U110" s="43">
        <f t="shared" si="8"/>
        <v>8.8775999999999993</v>
      </c>
      <c r="V110" s="23" t="str">
        <f t="shared" si="9"/>
        <v/>
      </c>
      <c r="Y110" t="s">
        <v>253</v>
      </c>
    </row>
    <row r="111" spans="1:29" x14ac:dyDescent="0.3">
      <c r="A111" t="s">
        <v>462</v>
      </c>
      <c r="B111" s="2" t="s">
        <v>597</v>
      </c>
      <c r="C111" t="s">
        <v>451</v>
      </c>
      <c r="D111" t="s">
        <v>596</v>
      </c>
      <c r="E111" t="s">
        <v>250</v>
      </c>
      <c r="F111">
        <v>2027</v>
      </c>
      <c r="G111" t="s">
        <v>253</v>
      </c>
      <c r="I111">
        <f t="shared" si="5"/>
        <v>2029</v>
      </c>
      <c r="K111">
        <f>0.5*12%</f>
        <v>0.06</v>
      </c>
      <c r="L111">
        <v>668</v>
      </c>
      <c r="N111" s="35">
        <v>0.85</v>
      </c>
      <c r="O111" s="35">
        <v>1</v>
      </c>
      <c r="P111" s="35">
        <v>0.1</v>
      </c>
      <c r="Q111" s="43">
        <f t="shared" si="6"/>
        <v>30.661199999999997</v>
      </c>
      <c r="R111" s="23">
        <f t="shared" si="7"/>
        <v>0</v>
      </c>
      <c r="S111" s="46">
        <f t="shared" si="10"/>
        <v>30.661199999999997</v>
      </c>
      <c r="U111" s="43">
        <f t="shared" si="8"/>
        <v>36.072000000000003</v>
      </c>
      <c r="V111" s="23" t="str">
        <f t="shared" si="9"/>
        <v/>
      </c>
      <c r="Y111" t="s">
        <v>253</v>
      </c>
    </row>
    <row r="112" spans="1:29" x14ac:dyDescent="0.3">
      <c r="A112" t="s">
        <v>462</v>
      </c>
      <c r="B112" s="2" t="s">
        <v>598</v>
      </c>
      <c r="C112" t="s">
        <v>451</v>
      </c>
      <c r="D112" t="s">
        <v>468</v>
      </c>
      <c r="E112" t="s">
        <v>250</v>
      </c>
      <c r="F112">
        <v>2026</v>
      </c>
      <c r="G112" t="s">
        <v>253</v>
      </c>
      <c r="I112">
        <f t="shared" si="5"/>
        <v>2028</v>
      </c>
      <c r="K112">
        <f>0.1*12%</f>
        <v>1.2E-2</v>
      </c>
      <c r="L112">
        <v>503</v>
      </c>
      <c r="N112" s="35">
        <v>0.85</v>
      </c>
      <c r="O112" s="35">
        <v>1</v>
      </c>
      <c r="P112" s="35">
        <v>0.1</v>
      </c>
      <c r="Q112" s="43">
        <f t="shared" si="6"/>
        <v>4.61754</v>
      </c>
      <c r="R112" s="23">
        <f t="shared" si="7"/>
        <v>0</v>
      </c>
      <c r="S112" s="46">
        <f t="shared" si="10"/>
        <v>4.61754</v>
      </c>
      <c r="U112" s="43">
        <f t="shared" si="8"/>
        <v>5.4324000000000003</v>
      </c>
      <c r="V112" s="23" t="str">
        <f t="shared" si="9"/>
        <v/>
      </c>
      <c r="Y112" t="s">
        <v>253</v>
      </c>
    </row>
    <row r="113" spans="1:26" x14ac:dyDescent="0.3">
      <c r="A113" t="s">
        <v>462</v>
      </c>
      <c r="B113" s="2" t="s">
        <v>599</v>
      </c>
      <c r="C113" t="s">
        <v>451</v>
      </c>
      <c r="D113" t="s">
        <v>459</v>
      </c>
      <c r="E113" t="s">
        <v>250</v>
      </c>
      <c r="F113">
        <v>2023</v>
      </c>
      <c r="G113" t="s">
        <v>253</v>
      </c>
      <c r="I113">
        <f t="shared" si="5"/>
        <v>2025</v>
      </c>
      <c r="K113">
        <f>5*12%</f>
        <v>0.6</v>
      </c>
      <c r="L113">
        <v>45</v>
      </c>
      <c r="N113" s="35">
        <v>0.85</v>
      </c>
      <c r="O113" s="35">
        <v>1</v>
      </c>
      <c r="P113" s="35">
        <v>0.25</v>
      </c>
      <c r="Q113" s="43">
        <f t="shared" si="6"/>
        <v>17.212499999999999</v>
      </c>
      <c r="R113" s="23">
        <f t="shared" si="7"/>
        <v>0</v>
      </c>
      <c r="S113" s="46">
        <f t="shared" si="10"/>
        <v>17.212499999999999</v>
      </c>
      <c r="U113" s="43">
        <f t="shared" si="8"/>
        <v>20.25</v>
      </c>
      <c r="V113" s="23" t="str">
        <f t="shared" si="9"/>
        <v/>
      </c>
      <c r="Y113" t="s">
        <v>253</v>
      </c>
    </row>
    <row r="114" spans="1:26" x14ac:dyDescent="0.3">
      <c r="A114" t="s">
        <v>462</v>
      </c>
      <c r="B114" s="2" t="s">
        <v>600</v>
      </c>
      <c r="C114" t="s">
        <v>451</v>
      </c>
      <c r="D114" t="s">
        <v>441</v>
      </c>
      <c r="E114" t="s">
        <v>250</v>
      </c>
      <c r="F114">
        <v>2026</v>
      </c>
      <c r="G114" t="s">
        <v>253</v>
      </c>
      <c r="I114">
        <f t="shared" si="5"/>
        <v>2028</v>
      </c>
      <c r="K114">
        <f>0.2*12%</f>
        <v>2.4E-2</v>
      </c>
      <c r="L114">
        <v>1591</v>
      </c>
      <c r="N114" s="35">
        <v>0.85</v>
      </c>
      <c r="O114" s="35">
        <v>1</v>
      </c>
      <c r="P114" s="35">
        <v>0.1</v>
      </c>
      <c r="Q114" s="43" t="str">
        <f t="shared" si="6"/>
        <v/>
      </c>
      <c r="R114" s="23" t="str">
        <f t="shared" si="7"/>
        <v/>
      </c>
      <c r="S114" s="46">
        <f t="shared" si="10"/>
        <v>29.210759999999997</v>
      </c>
      <c r="U114" s="43">
        <f t="shared" si="8"/>
        <v>34.365600000000001</v>
      </c>
      <c r="V114" s="23" t="str">
        <f t="shared" si="9"/>
        <v/>
      </c>
      <c r="Y114" t="s">
        <v>253</v>
      </c>
    </row>
    <row r="115" spans="1:26" x14ac:dyDescent="0.3">
      <c r="A115" t="s">
        <v>532</v>
      </c>
      <c r="B115" s="2" t="s">
        <v>176</v>
      </c>
      <c r="C115" t="s">
        <v>451</v>
      </c>
      <c r="D115" t="s">
        <v>585</v>
      </c>
      <c r="Q115" s="43">
        <f t="shared" si="6"/>
        <v>0</v>
      </c>
      <c r="R115" s="23">
        <f t="shared" si="7"/>
        <v>0</v>
      </c>
      <c r="U115" s="43" t="str">
        <f t="shared" si="8"/>
        <v/>
      </c>
      <c r="V115" s="23" t="str">
        <f t="shared" si="9"/>
        <v/>
      </c>
      <c r="Z115" t="s">
        <v>534</v>
      </c>
    </row>
  </sheetData>
  <autoFilter ref="A2:AG115"/>
  <mergeCells count="3">
    <mergeCell ref="Q1:R1"/>
    <mergeCell ref="S1:T1"/>
    <mergeCell ref="U1:V1"/>
  </mergeCells>
  <conditionalFormatting sqref="D13:D14 B28:D28 A23:F23 A30:F30 A33:F34 B15:D16 A17:D17 A21:D22 A24:D24 A31:D32 A50:D50 J42:J43 A58:F63 G84 D85:F87 D66:D71 A85:C89 D88:D89 E89 A91:E91 A3:F5 D93 F13:F17 F21:F22 F24 F31:F32 F35 A36:F46 F50 A48:F49 A47:D47 F47 A8:F11 A12:E12 A18:F20 A51:F53 A35:D35 A25:F27 A28:A29 A54:D57 F54:F57 E65:E83 F64:F83 A64:C83">
    <cfRule type="expression" dxfId="77" priority="73">
      <formula>$AD3="Yes"</formula>
    </cfRule>
  </conditionalFormatting>
  <conditionalFormatting sqref="E88">
    <cfRule type="expression" dxfId="76" priority="72">
      <formula>$AD88="Yes"</formula>
    </cfRule>
  </conditionalFormatting>
  <conditionalFormatting sqref="J58">
    <cfRule type="expression" dxfId="75" priority="71">
      <formula>$AD58="Yes"</formula>
    </cfRule>
  </conditionalFormatting>
  <conditionalFormatting sqref="G38:G43 G27 G24 G91 G3:I5 G44:I49 N44:P46 G20:I23 N20:P21 G85:G88 G8:G9 H12:I12 G10:I11 G13:I18 I97 G19 G53 G50:G51 N23:P23 N48:P48 G25:I26 N25:P26 G28:I37 G55:G83 I6:I9 I19 I24 I27 I38:I43 I50:I95 N28:P37 I109:I114 N3:P5 N10:P18">
    <cfRule type="expression" dxfId="74" priority="70">
      <formula>$AC3="Yes"</formula>
    </cfRule>
  </conditionalFormatting>
  <conditionalFormatting sqref="B13:C14">
    <cfRule type="expression" dxfId="73" priority="69">
      <formula>$AC13="Yes"</formula>
    </cfRule>
  </conditionalFormatting>
  <conditionalFormatting sqref="B29:D29">
    <cfRule type="expression" dxfId="72" priority="68">
      <formula>$AD29="Yes"</formula>
    </cfRule>
  </conditionalFormatting>
  <conditionalFormatting sqref="G89">
    <cfRule type="expression" dxfId="71" priority="67">
      <formula>$AC89="Yes"</formula>
    </cfRule>
  </conditionalFormatting>
  <conditionalFormatting sqref="AC33">
    <cfRule type="expression" dxfId="70" priority="66">
      <formula>$AD33="Yes"</formula>
    </cfRule>
  </conditionalFormatting>
  <conditionalFormatting sqref="E21">
    <cfRule type="expression" dxfId="69" priority="65">
      <formula>$AD21="Yes"</formula>
    </cfRule>
  </conditionalFormatting>
  <conditionalFormatting sqref="F88">
    <cfRule type="expression" dxfId="68" priority="63">
      <formula>$AD88="Yes"</formula>
    </cfRule>
  </conditionalFormatting>
  <conditionalFormatting sqref="E64">
    <cfRule type="expression" dxfId="67" priority="64">
      <formula>$AD64="Yes"</formula>
    </cfRule>
  </conditionalFormatting>
  <conditionalFormatting sqref="F89">
    <cfRule type="expression" dxfId="66" priority="62">
      <formula>$AD89="Yes"</formula>
    </cfRule>
  </conditionalFormatting>
  <conditionalFormatting sqref="E55">
    <cfRule type="expression" dxfId="65" priority="61">
      <formula>$AD55="Yes"</formula>
    </cfRule>
  </conditionalFormatting>
  <conditionalFormatting sqref="D64">
    <cfRule type="expression" dxfId="64" priority="60">
      <formula>$AD64="Yes"</formula>
    </cfRule>
  </conditionalFormatting>
  <conditionalFormatting sqref="D65">
    <cfRule type="expression" dxfId="63" priority="59">
      <formula>$AD65="Yes"</formula>
    </cfRule>
  </conditionalFormatting>
  <conditionalFormatting sqref="D72:D73">
    <cfRule type="expression" dxfId="62" priority="58">
      <formula>$AD72="Yes"</formula>
    </cfRule>
  </conditionalFormatting>
  <conditionalFormatting sqref="D74:D83">
    <cfRule type="expression" dxfId="61" priority="57">
      <formula>$AD74="Yes"</formula>
    </cfRule>
  </conditionalFormatting>
  <conditionalFormatting sqref="A13:A16">
    <cfRule type="expression" dxfId="60" priority="56">
      <formula>$AD13="Yes"</formula>
    </cfRule>
  </conditionalFormatting>
  <conditionalFormatting sqref="D95:E95 G95 G97 A97:C103 B104 A105:C115 A3:C95">
    <cfRule type="expression" dxfId="59" priority="54">
      <formula>AND($A3="Future Fed",$H3="High")</formula>
    </cfRule>
    <cfRule type="expression" dxfId="58" priority="55">
      <formula>AND($A3="Future Title 20",$H3="High")</formula>
    </cfRule>
  </conditionalFormatting>
  <conditionalFormatting sqref="J59">
    <cfRule type="expression" dxfId="57" priority="53">
      <formula>$AD59="Yes"</formula>
    </cfRule>
  </conditionalFormatting>
  <conditionalFormatting sqref="S65:S71">
    <cfRule type="expression" dxfId="56" priority="52">
      <formula>#REF!="Yes"</formula>
    </cfRule>
  </conditionalFormatting>
  <conditionalFormatting sqref="S75:S83">
    <cfRule type="expression" dxfId="55" priority="51">
      <formula>#REF!="Yes"</formula>
    </cfRule>
  </conditionalFormatting>
  <conditionalFormatting sqref="A92:C92">
    <cfRule type="expression" dxfId="54" priority="50">
      <formula>$AD92="Yes"</formula>
    </cfRule>
  </conditionalFormatting>
  <conditionalFormatting sqref="D92">
    <cfRule type="expression" dxfId="53" priority="49">
      <formula>$AD92="Yes"</formula>
    </cfRule>
  </conditionalFormatting>
  <conditionalFormatting sqref="E92">
    <cfRule type="expression" dxfId="52" priority="48">
      <formula>$AD92="Yes"</formula>
    </cfRule>
  </conditionalFormatting>
  <conditionalFormatting sqref="A84:F84 G90 N90 P90">
    <cfRule type="expression" dxfId="51" priority="74">
      <formula>#REF!="Yes"</formula>
    </cfRule>
  </conditionalFormatting>
  <conditionalFormatting sqref="W71">
    <cfRule type="expression" dxfId="50" priority="47">
      <formula>#REF!="Yes"</formula>
    </cfRule>
  </conditionalFormatting>
  <conditionalFormatting sqref="W75:W83">
    <cfRule type="expression" dxfId="49" priority="46">
      <formula>#REF!="Yes"</formula>
    </cfRule>
  </conditionalFormatting>
  <conditionalFormatting sqref="N64:N73">
    <cfRule type="expression" dxfId="48" priority="45">
      <formula>$H64="Yes"</formula>
    </cfRule>
  </conditionalFormatting>
  <conditionalFormatting sqref="N74:N87">
    <cfRule type="expression" dxfId="47" priority="44">
      <formula>$H74="Yes"</formula>
    </cfRule>
  </conditionalFormatting>
  <conditionalFormatting sqref="A90:F90">
    <cfRule type="expression" dxfId="46" priority="75">
      <formula>#REF!="Yes"</formula>
    </cfRule>
  </conditionalFormatting>
  <conditionalFormatting sqref="A6:F7 J7 H6:I6">
    <cfRule type="expression" dxfId="45" priority="76">
      <formula>$AG6="Yes"</formula>
    </cfRule>
  </conditionalFormatting>
  <conditionalFormatting sqref="G6:G7">
    <cfRule type="expression" dxfId="44" priority="77">
      <formula>$AF6="Yes"</formula>
    </cfRule>
  </conditionalFormatting>
  <conditionalFormatting sqref="F28">
    <cfRule type="expression" dxfId="43" priority="43">
      <formula>$AD28="Yes"</formula>
    </cfRule>
  </conditionalFormatting>
  <conditionalFormatting sqref="F29">
    <cfRule type="expression" dxfId="42" priority="42">
      <formula>$AD29="Yes"</formula>
    </cfRule>
  </conditionalFormatting>
  <conditionalFormatting sqref="F93">
    <cfRule type="expression" dxfId="41" priority="41">
      <formula>$AD93="Yes"</formula>
    </cfRule>
  </conditionalFormatting>
  <conditionalFormatting sqref="D94">
    <cfRule type="expression" dxfId="40" priority="40">
      <formula>$AD94="Yes"</formula>
    </cfRule>
  </conditionalFormatting>
  <conditionalFormatting sqref="F94">
    <cfRule type="expression" dxfId="39" priority="39">
      <formula>$AD94="Yes"</formula>
    </cfRule>
  </conditionalFormatting>
  <conditionalFormatting sqref="E13">
    <cfRule type="expression" dxfId="38" priority="38">
      <formula>$AD13="Yes"</formula>
    </cfRule>
  </conditionalFormatting>
  <conditionalFormatting sqref="E14">
    <cfRule type="expression" dxfId="37" priority="37">
      <formula>$AD14="Yes"</formula>
    </cfRule>
  </conditionalFormatting>
  <conditionalFormatting sqref="E15">
    <cfRule type="expression" dxfId="36" priority="36">
      <formula>$AD15="Yes"</formula>
    </cfRule>
  </conditionalFormatting>
  <conditionalFormatting sqref="E16">
    <cfRule type="expression" dxfId="35" priority="35">
      <formula>$AD16="Yes"</formula>
    </cfRule>
  </conditionalFormatting>
  <conditionalFormatting sqref="E17">
    <cfRule type="expression" dxfId="34" priority="34">
      <formula>$AD17="Yes"</formula>
    </cfRule>
  </conditionalFormatting>
  <conditionalFormatting sqref="E22">
    <cfRule type="expression" dxfId="33" priority="33">
      <formula>$AD22="Yes"</formula>
    </cfRule>
  </conditionalFormatting>
  <conditionalFormatting sqref="E24">
    <cfRule type="expression" dxfId="32" priority="32">
      <formula>$AD24="Yes"</formula>
    </cfRule>
  </conditionalFormatting>
  <conditionalFormatting sqref="E28">
    <cfRule type="expression" dxfId="31" priority="31">
      <formula>$AD28="Yes"</formula>
    </cfRule>
  </conditionalFormatting>
  <conditionalFormatting sqref="E29">
    <cfRule type="expression" dxfId="30" priority="30">
      <formula>$AD29="Yes"</formula>
    </cfRule>
  </conditionalFormatting>
  <conditionalFormatting sqref="E31">
    <cfRule type="expression" dxfId="29" priority="29">
      <formula>$AD31="Yes"</formula>
    </cfRule>
  </conditionalFormatting>
  <conditionalFormatting sqref="E32">
    <cfRule type="expression" dxfId="28" priority="28">
      <formula>$AD32="Yes"</formula>
    </cfRule>
  </conditionalFormatting>
  <conditionalFormatting sqref="E35">
    <cfRule type="expression" dxfId="27" priority="27">
      <formula>$AD35="Yes"</formula>
    </cfRule>
  </conditionalFormatting>
  <conditionalFormatting sqref="E47">
    <cfRule type="expression" dxfId="26" priority="26">
      <formula>$AD47="Yes"</formula>
    </cfRule>
  </conditionalFormatting>
  <conditionalFormatting sqref="E50">
    <cfRule type="expression" dxfId="25" priority="25">
      <formula>$AD50="Yes"</formula>
    </cfRule>
  </conditionalFormatting>
  <conditionalFormatting sqref="E54">
    <cfRule type="expression" dxfId="24" priority="24">
      <formula>$AD54="Yes"</formula>
    </cfRule>
  </conditionalFormatting>
  <conditionalFormatting sqref="E56">
    <cfRule type="expression" dxfId="23" priority="23">
      <formula>$AD56="Yes"</formula>
    </cfRule>
  </conditionalFormatting>
  <conditionalFormatting sqref="E57">
    <cfRule type="expression" dxfId="22" priority="22">
      <formula>$AD57="Yes"</formula>
    </cfRule>
  </conditionalFormatting>
  <conditionalFormatting sqref="E93">
    <cfRule type="expression" dxfId="21" priority="21">
      <formula>$AD93="Yes"</formula>
    </cfRule>
  </conditionalFormatting>
  <conditionalFormatting sqref="E94">
    <cfRule type="expression" dxfId="20" priority="20">
      <formula>$AD94="Yes"</formula>
    </cfRule>
  </conditionalFormatting>
  <conditionalFormatting sqref="F12">
    <cfRule type="expression" dxfId="19" priority="19">
      <formula>$AD12="Yes"</formula>
    </cfRule>
  </conditionalFormatting>
  <conditionalFormatting sqref="G98:G99">
    <cfRule type="expression" dxfId="18" priority="17">
      <formula>AND($A98="Future Fed",$H98="High")</formula>
    </cfRule>
    <cfRule type="expression" dxfId="17" priority="18">
      <formula>AND($A98="Future Title 20",$H98="High")</formula>
    </cfRule>
  </conditionalFormatting>
  <conditionalFormatting sqref="I98">
    <cfRule type="expression" dxfId="16" priority="16">
      <formula>$AC98="Yes"</formula>
    </cfRule>
  </conditionalFormatting>
  <conditionalFormatting sqref="G12">
    <cfRule type="expression" dxfId="15" priority="15">
      <formula>$AC12="Yes"</formula>
    </cfRule>
  </conditionalFormatting>
  <conditionalFormatting sqref="I99:I102">
    <cfRule type="expression" dxfId="14" priority="14">
      <formula>$AC99="Yes"</formula>
    </cfRule>
  </conditionalFormatting>
  <conditionalFormatting sqref="I96">
    <cfRule type="expression" dxfId="13" priority="13">
      <formula>$AC96="Yes"</formula>
    </cfRule>
  </conditionalFormatting>
  <conditionalFormatting sqref="G96 A96:E96">
    <cfRule type="expression" dxfId="12" priority="11">
      <formula>AND($A96="Future Fed",$H96="High")</formula>
    </cfRule>
    <cfRule type="expression" dxfId="11" priority="12">
      <formula>AND($A96="Future Title 20",$H96="High")</formula>
    </cfRule>
  </conditionalFormatting>
  <conditionalFormatting sqref="A104">
    <cfRule type="expression" dxfId="10" priority="9">
      <formula>AND($A104="Future Fed",$H104="High")</formula>
    </cfRule>
    <cfRule type="expression" dxfId="9" priority="10">
      <formula>AND($A104="Future Title 20",$H104="High")</formula>
    </cfRule>
  </conditionalFormatting>
  <conditionalFormatting sqref="C104">
    <cfRule type="expression" dxfId="8" priority="7">
      <formula>AND($A104="Future Fed",$H104="High")</formula>
    </cfRule>
    <cfRule type="expression" dxfId="7" priority="8">
      <formula>AND($A104="Future Title 20",$H104="High")</formula>
    </cfRule>
  </conditionalFormatting>
  <conditionalFormatting sqref="G52">
    <cfRule type="expression" dxfId="6" priority="6">
      <formula>$AC52="Yes"</formula>
    </cfRule>
  </conditionalFormatting>
  <conditionalFormatting sqref="I103:I106">
    <cfRule type="expression" dxfId="5" priority="5">
      <formula>$AC103="Yes"</formula>
    </cfRule>
  </conditionalFormatting>
  <conditionalFormatting sqref="I107">
    <cfRule type="expression" dxfId="4" priority="4">
      <formula>$AC107="Yes"</formula>
    </cfRule>
  </conditionalFormatting>
  <conditionalFormatting sqref="I108">
    <cfRule type="expression" dxfId="3" priority="3">
      <formula>$AC108="Yes"</formula>
    </cfRule>
  </conditionalFormatting>
  <conditionalFormatting sqref="G54">
    <cfRule type="expression" dxfId="2" priority="2">
      <formula>$AC54="Yes"</formula>
    </cfRule>
  </conditionalFormatting>
  <conditionalFormatting sqref="N7:P7">
    <cfRule type="expression" dxfId="1" priority="1">
      <formula>$AC7="Yes"</formula>
    </cfRule>
  </conditionalFormatting>
  <hyperlinks>
    <hyperlink ref="AC84" r:id="rId1" location="5602dad07315 "/>
    <hyperlink ref="AC85" r:id="rId2"/>
    <hyperlink ref="AC86" r:id="rId3"/>
    <hyperlink ref="AC90" r:id="rId4"/>
    <hyperlink ref="AD7" r:id="rId5" location="FpOeifQJnuqp "/>
    <hyperlink ref="AC92" r:id="rId6"/>
    <hyperlink ref="AC7" r:id="rId7" location="servers "/>
  </hyperlinks>
  <pageMargins left="0.7" right="0.7" top="0.75" bottom="0.75" header="0.3" footer="0.3"/>
  <pageSetup orientation="portrait" r:id="rId8"/>
  <legacy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T884"/>
  <sheetViews>
    <sheetView windowProtection="1" tabSelected="1" workbookViewId="0">
      <selection activeCell="I8" sqref="I8"/>
    </sheetView>
  </sheetViews>
  <sheetFormatPr defaultRowHeight="14.4" x14ac:dyDescent="0.3"/>
  <cols>
    <col min="1" max="1" width="25.6640625" bestFit="1" customWidth="1"/>
    <col min="2" max="2" width="37.33203125" bestFit="1" customWidth="1"/>
  </cols>
  <sheetData>
    <row r="1" spans="1:20" x14ac:dyDescent="0.3">
      <c r="A1" s="2" t="s">
        <v>602</v>
      </c>
      <c r="B1" s="21" t="s">
        <v>603</v>
      </c>
      <c r="K1" t="s">
        <v>604</v>
      </c>
      <c r="L1" t="s">
        <v>605</v>
      </c>
      <c r="M1" t="s">
        <v>606</v>
      </c>
      <c r="N1" t="s">
        <v>607</v>
      </c>
      <c r="O1" t="s">
        <v>608</v>
      </c>
      <c r="P1" t="s">
        <v>609</v>
      </c>
      <c r="Q1" t="s">
        <v>610</v>
      </c>
      <c r="R1" t="s">
        <v>611</v>
      </c>
      <c r="S1" t="s">
        <v>612</v>
      </c>
      <c r="T1" t="s">
        <v>613</v>
      </c>
    </row>
    <row r="2" spans="1:20" x14ac:dyDescent="0.3">
      <c r="A2" t="s">
        <v>614</v>
      </c>
      <c r="K2" t="s">
        <v>615</v>
      </c>
      <c r="L2">
        <v>31.51</v>
      </c>
      <c r="M2">
        <v>424.14</v>
      </c>
      <c r="N2" t="s">
        <v>616</v>
      </c>
      <c r="O2">
        <v>28</v>
      </c>
      <c r="P2">
        <v>0.5</v>
      </c>
      <c r="R2" t="s">
        <v>617</v>
      </c>
      <c r="S2">
        <v>47.7</v>
      </c>
      <c r="T2" t="s">
        <v>235</v>
      </c>
    </row>
    <row r="3" spans="1:20" x14ac:dyDescent="0.3">
      <c r="A3" t="s">
        <v>618</v>
      </c>
      <c r="K3" t="s">
        <v>615</v>
      </c>
      <c r="L3">
        <v>40</v>
      </c>
      <c r="M3">
        <v>683.8</v>
      </c>
      <c r="N3" t="s">
        <v>619</v>
      </c>
      <c r="O3">
        <v>37.5</v>
      </c>
      <c r="P3">
        <v>0.5</v>
      </c>
      <c r="R3" t="s">
        <v>617</v>
      </c>
      <c r="S3">
        <v>67.400000000000006</v>
      </c>
      <c r="T3" t="s">
        <v>235</v>
      </c>
    </row>
    <row r="4" spans="1:20" x14ac:dyDescent="0.3">
      <c r="C4" t="s">
        <v>620</v>
      </c>
      <c r="K4" t="s">
        <v>615</v>
      </c>
      <c r="L4">
        <v>49</v>
      </c>
      <c r="M4">
        <v>1005.18</v>
      </c>
      <c r="N4" t="s">
        <v>621</v>
      </c>
      <c r="O4">
        <v>72.7</v>
      </c>
      <c r="P4">
        <v>0.5</v>
      </c>
      <c r="R4" t="s">
        <v>617</v>
      </c>
      <c r="S4">
        <v>133.69999999999999</v>
      </c>
      <c r="T4" t="s">
        <v>235</v>
      </c>
    </row>
    <row r="5" spans="1:20" x14ac:dyDescent="0.3">
      <c r="A5" t="s">
        <v>622</v>
      </c>
      <c r="B5">
        <f>40*22.5</f>
        <v>900</v>
      </c>
      <c r="K5" t="s">
        <v>615</v>
      </c>
      <c r="L5">
        <v>49.5</v>
      </c>
      <c r="M5">
        <v>1047.01</v>
      </c>
      <c r="N5" t="s">
        <v>619</v>
      </c>
      <c r="O5">
        <v>49.7</v>
      </c>
      <c r="P5">
        <v>0.5</v>
      </c>
      <c r="R5" t="s">
        <v>617</v>
      </c>
      <c r="S5">
        <v>89.5</v>
      </c>
      <c r="T5" t="s">
        <v>235</v>
      </c>
    </row>
    <row r="6" spans="1:20" x14ac:dyDescent="0.3">
      <c r="A6" t="s">
        <v>623</v>
      </c>
      <c r="B6">
        <v>46</v>
      </c>
      <c r="K6" t="s">
        <v>615</v>
      </c>
      <c r="L6">
        <v>55</v>
      </c>
      <c r="M6">
        <v>1275.74</v>
      </c>
      <c r="N6" t="s">
        <v>619</v>
      </c>
      <c r="O6">
        <v>56.4</v>
      </c>
      <c r="P6">
        <v>0.5</v>
      </c>
      <c r="R6" t="s">
        <v>617</v>
      </c>
      <c r="S6">
        <v>99.2</v>
      </c>
      <c r="T6" t="s">
        <v>235</v>
      </c>
    </row>
    <row r="7" spans="1:20" x14ac:dyDescent="0.3">
      <c r="A7" t="s">
        <v>624</v>
      </c>
      <c r="B7" t="s">
        <v>625</v>
      </c>
      <c r="C7">
        <f>0.12*B5+25</f>
        <v>133</v>
      </c>
      <c r="K7" t="s">
        <v>615</v>
      </c>
      <c r="L7">
        <v>49.46</v>
      </c>
      <c r="M7">
        <v>1045.42</v>
      </c>
      <c r="N7" t="s">
        <v>619</v>
      </c>
      <c r="O7">
        <v>49.7</v>
      </c>
      <c r="P7">
        <v>0.5</v>
      </c>
      <c r="R7" t="s">
        <v>617</v>
      </c>
      <c r="S7">
        <v>76</v>
      </c>
      <c r="T7" t="s">
        <v>235</v>
      </c>
    </row>
    <row r="8" spans="1:20" x14ac:dyDescent="0.3">
      <c r="A8" t="s">
        <v>626</v>
      </c>
      <c r="B8" t="s">
        <v>627</v>
      </c>
      <c r="C8">
        <f>0.084*B5+18</f>
        <v>93.600000000000009</v>
      </c>
      <c r="D8" s="18">
        <f>(C7-C8)/C7</f>
        <v>0.29624060150375936</v>
      </c>
    </row>
    <row r="9" spans="1:20" x14ac:dyDescent="0.3">
      <c r="A9" t="s">
        <v>628</v>
      </c>
      <c r="B9" t="s">
        <v>629</v>
      </c>
      <c r="C9" s="13">
        <f>78.5*TANH(0.0005*(B5-140)+0.0038)+14</f>
        <v>42.731235032378386</v>
      </c>
      <c r="D9" s="18">
        <f>(C7-C9)/C7</f>
        <v>0.67871251855354597</v>
      </c>
      <c r="K9" t="s">
        <v>615</v>
      </c>
      <c r="L9">
        <v>54.4</v>
      </c>
      <c r="M9">
        <v>1258.8</v>
      </c>
      <c r="N9" t="s">
        <v>621</v>
      </c>
      <c r="O9">
        <v>84</v>
      </c>
      <c r="P9">
        <v>0.5</v>
      </c>
      <c r="R9" t="s">
        <v>617</v>
      </c>
      <c r="S9">
        <v>151.1</v>
      </c>
      <c r="T9" t="s">
        <v>235</v>
      </c>
    </row>
    <row r="10" spans="1:20" x14ac:dyDescent="0.3">
      <c r="A10" t="s">
        <v>630</v>
      </c>
      <c r="K10" t="s">
        <v>615</v>
      </c>
      <c r="L10">
        <v>64.42</v>
      </c>
      <c r="M10">
        <v>1771.36</v>
      </c>
      <c r="N10" t="s">
        <v>621</v>
      </c>
      <c r="O10">
        <v>102.6</v>
      </c>
      <c r="P10">
        <v>0.5</v>
      </c>
      <c r="R10" t="s">
        <v>617</v>
      </c>
      <c r="S10">
        <v>188.4</v>
      </c>
      <c r="T10" t="s">
        <v>235</v>
      </c>
    </row>
    <row r="11" spans="1:20" x14ac:dyDescent="0.3">
      <c r="A11" t="s">
        <v>631</v>
      </c>
      <c r="B11" t="s">
        <v>632</v>
      </c>
      <c r="C11">
        <v>1</v>
      </c>
      <c r="E11">
        <f>(C11*1907*2/3+C7*1907*1/3)/1000</f>
        <v>85.814999999999998</v>
      </c>
      <c r="K11" t="s">
        <v>615</v>
      </c>
      <c r="L11">
        <v>64.53</v>
      </c>
      <c r="M11">
        <v>1779.1</v>
      </c>
      <c r="N11" t="s">
        <v>621</v>
      </c>
      <c r="O11">
        <v>102.8</v>
      </c>
      <c r="P11">
        <v>0.5</v>
      </c>
      <c r="R11" t="s">
        <v>617</v>
      </c>
      <c r="S11">
        <v>186.6</v>
      </c>
      <c r="T11" t="s">
        <v>235</v>
      </c>
    </row>
    <row r="12" spans="1:20" x14ac:dyDescent="0.3">
      <c r="A12" t="s">
        <v>633</v>
      </c>
      <c r="B12" t="s">
        <v>634</v>
      </c>
      <c r="K12" t="s">
        <v>615</v>
      </c>
      <c r="L12">
        <v>31.51</v>
      </c>
      <c r="M12">
        <v>424.14</v>
      </c>
      <c r="N12" t="s">
        <v>616</v>
      </c>
      <c r="O12">
        <v>28</v>
      </c>
      <c r="P12">
        <v>0.5</v>
      </c>
      <c r="R12" t="s">
        <v>617</v>
      </c>
      <c r="S12">
        <v>49.5</v>
      </c>
      <c r="T12" t="s">
        <v>235</v>
      </c>
    </row>
    <row r="13" spans="1:20" x14ac:dyDescent="0.3">
      <c r="A13" t="s">
        <v>635</v>
      </c>
      <c r="B13" t="s">
        <v>457</v>
      </c>
      <c r="K13" t="s">
        <v>615</v>
      </c>
      <c r="L13">
        <v>31.64</v>
      </c>
      <c r="M13">
        <v>428.56</v>
      </c>
      <c r="N13" t="s">
        <v>619</v>
      </c>
      <c r="O13">
        <v>28.2</v>
      </c>
      <c r="P13">
        <v>0.5</v>
      </c>
      <c r="R13" t="s">
        <v>617</v>
      </c>
      <c r="S13">
        <v>43</v>
      </c>
      <c r="T13" t="s">
        <v>235</v>
      </c>
    </row>
    <row r="14" spans="1:20" x14ac:dyDescent="0.3">
      <c r="A14" t="s">
        <v>636</v>
      </c>
      <c r="B14" t="s">
        <v>637</v>
      </c>
      <c r="D14" t="s">
        <v>638</v>
      </c>
      <c r="K14" t="s">
        <v>615</v>
      </c>
      <c r="L14">
        <v>42.5</v>
      </c>
      <c r="M14">
        <v>771.91</v>
      </c>
      <c r="N14" t="s">
        <v>619</v>
      </c>
      <c r="O14">
        <v>40.700000000000003</v>
      </c>
      <c r="P14">
        <v>0.5</v>
      </c>
      <c r="R14" t="s">
        <v>617</v>
      </c>
      <c r="S14">
        <v>68</v>
      </c>
      <c r="T14" t="s">
        <v>235</v>
      </c>
    </row>
    <row r="15" spans="1:20" x14ac:dyDescent="0.3">
      <c r="K15" t="s">
        <v>639</v>
      </c>
      <c r="L15">
        <v>55.39</v>
      </c>
      <c r="M15">
        <v>1316.97</v>
      </c>
      <c r="N15" t="s">
        <v>621</v>
      </c>
      <c r="O15">
        <v>85.4</v>
      </c>
      <c r="P15">
        <v>0.5</v>
      </c>
      <c r="R15" t="s">
        <v>617</v>
      </c>
      <c r="S15">
        <v>62.1</v>
      </c>
      <c r="T15" t="s">
        <v>235</v>
      </c>
    </row>
    <row r="16" spans="1:20" x14ac:dyDescent="0.3">
      <c r="B16" t="s">
        <v>640</v>
      </c>
      <c r="C16" t="s">
        <v>641</v>
      </c>
      <c r="D16" t="s">
        <v>642</v>
      </c>
      <c r="K16" t="s">
        <v>615</v>
      </c>
      <c r="L16">
        <v>18.5</v>
      </c>
      <c r="M16">
        <v>146.35</v>
      </c>
      <c r="N16" t="s">
        <v>616</v>
      </c>
      <c r="O16">
        <v>17.3</v>
      </c>
      <c r="P16">
        <v>0.5</v>
      </c>
      <c r="R16" t="s">
        <v>617</v>
      </c>
      <c r="S16">
        <v>33</v>
      </c>
      <c r="T16" t="s">
        <v>235</v>
      </c>
    </row>
    <row r="17" spans="1:20" x14ac:dyDescent="0.3">
      <c r="A17" t="s">
        <v>643</v>
      </c>
      <c r="K17" t="s">
        <v>615</v>
      </c>
      <c r="L17">
        <v>23.6</v>
      </c>
      <c r="M17">
        <v>236.92</v>
      </c>
      <c r="N17" t="s">
        <v>616</v>
      </c>
      <c r="O17">
        <v>20.8</v>
      </c>
      <c r="P17">
        <v>0.5</v>
      </c>
      <c r="R17" t="s">
        <v>617</v>
      </c>
      <c r="S17">
        <v>36.5</v>
      </c>
      <c r="T17" t="s">
        <v>235</v>
      </c>
    </row>
    <row r="18" spans="1:20" x14ac:dyDescent="0.3">
      <c r="A18" t="s">
        <v>644</v>
      </c>
      <c r="K18" t="s">
        <v>615</v>
      </c>
      <c r="L18">
        <v>23.6</v>
      </c>
      <c r="M18">
        <v>236.92</v>
      </c>
      <c r="N18" t="s">
        <v>616</v>
      </c>
      <c r="O18">
        <v>20.8</v>
      </c>
      <c r="P18">
        <v>0.5</v>
      </c>
      <c r="R18" t="s">
        <v>617</v>
      </c>
      <c r="S18">
        <v>36.5</v>
      </c>
      <c r="T18" t="s">
        <v>235</v>
      </c>
    </row>
    <row r="19" spans="1:20" x14ac:dyDescent="0.3">
      <c r="K19" t="s">
        <v>615</v>
      </c>
      <c r="L19">
        <v>41.48</v>
      </c>
      <c r="M19">
        <v>735.45</v>
      </c>
      <c r="N19" t="s">
        <v>621</v>
      </c>
      <c r="O19">
        <v>59.1</v>
      </c>
      <c r="P19">
        <v>0.5</v>
      </c>
      <c r="R19" t="s">
        <v>617</v>
      </c>
      <c r="S19">
        <v>104.2</v>
      </c>
      <c r="T19" t="s">
        <v>235</v>
      </c>
    </row>
    <row r="20" spans="1:20" x14ac:dyDescent="0.3">
      <c r="K20" t="s">
        <v>615</v>
      </c>
      <c r="L20">
        <v>50</v>
      </c>
      <c r="M20">
        <v>1047.01</v>
      </c>
      <c r="N20" t="s">
        <v>619</v>
      </c>
      <c r="O20">
        <v>49.7</v>
      </c>
      <c r="P20">
        <v>0.5</v>
      </c>
      <c r="R20" t="s">
        <v>617</v>
      </c>
      <c r="S20">
        <v>83</v>
      </c>
      <c r="T20" t="s">
        <v>235</v>
      </c>
    </row>
    <row r="21" spans="1:20" x14ac:dyDescent="0.3">
      <c r="A21" t="s">
        <v>645</v>
      </c>
      <c r="B21" t="s">
        <v>646</v>
      </c>
      <c r="C21" t="s">
        <v>647</v>
      </c>
      <c r="D21" t="s">
        <v>648</v>
      </c>
      <c r="E21" t="s">
        <v>649</v>
      </c>
      <c r="F21" t="s">
        <v>650</v>
      </c>
      <c r="G21" t="s">
        <v>651</v>
      </c>
      <c r="H21" t="s">
        <v>652</v>
      </c>
      <c r="I21" t="s">
        <v>653</v>
      </c>
      <c r="K21" t="s">
        <v>615</v>
      </c>
      <c r="L21">
        <v>50</v>
      </c>
      <c r="M21">
        <v>1047.01</v>
      </c>
      <c r="N21" t="s">
        <v>619</v>
      </c>
      <c r="O21">
        <v>49.7</v>
      </c>
      <c r="P21">
        <v>0.5</v>
      </c>
      <c r="R21" t="s">
        <v>617</v>
      </c>
      <c r="S21">
        <v>84.5</v>
      </c>
      <c r="T21" t="s">
        <v>235</v>
      </c>
    </row>
    <row r="22" spans="1:20" x14ac:dyDescent="0.3">
      <c r="A22" t="s">
        <v>654</v>
      </c>
      <c r="B22">
        <v>35.4</v>
      </c>
      <c r="C22" s="13">
        <f>AVERAGE(144,361)</f>
        <v>252.5</v>
      </c>
      <c r="D22">
        <v>0</v>
      </c>
      <c r="E22" s="43">
        <f>C22/1000*F22*B22</f>
        <v>17045.719499999999</v>
      </c>
      <c r="F22">
        <v>1907</v>
      </c>
      <c r="G22">
        <f>C22*F22/1000</f>
        <v>481.51749999999998</v>
      </c>
      <c r="K22" t="s">
        <v>615</v>
      </c>
      <c r="L22">
        <v>24</v>
      </c>
      <c r="M22">
        <v>236.98</v>
      </c>
      <c r="N22" t="s">
        <v>616</v>
      </c>
      <c r="O22">
        <v>20.8</v>
      </c>
      <c r="P22">
        <v>0.5</v>
      </c>
      <c r="R22" t="s">
        <v>617</v>
      </c>
      <c r="S22">
        <v>34.299999999999997</v>
      </c>
      <c r="T22" t="s">
        <v>235</v>
      </c>
    </row>
    <row r="23" spans="1:20" x14ac:dyDescent="0.3">
      <c r="A23" t="s">
        <v>655</v>
      </c>
      <c r="B23">
        <v>4</v>
      </c>
      <c r="C23" s="13">
        <f>G23*1000/F23</f>
        <v>183.28133193497641</v>
      </c>
      <c r="D23">
        <v>132</v>
      </c>
      <c r="E23" s="43">
        <f>C23/1000*F23*B23</f>
        <v>1398.07</v>
      </c>
      <c r="F23">
        <v>1907</v>
      </c>
      <c r="G23">
        <f>G22-D23</f>
        <v>349.51749999999998</v>
      </c>
      <c r="H23">
        <f>D23*B23</f>
        <v>528</v>
      </c>
      <c r="I23" s="18">
        <f>(C22-C23)/C22</f>
        <v>0.27413333887138058</v>
      </c>
      <c r="K23" t="s">
        <v>615</v>
      </c>
      <c r="L23">
        <v>24</v>
      </c>
      <c r="M23">
        <v>236.98</v>
      </c>
      <c r="N23" t="s">
        <v>616</v>
      </c>
      <c r="O23">
        <v>20.8</v>
      </c>
      <c r="P23">
        <v>0.5</v>
      </c>
      <c r="R23" t="s">
        <v>617</v>
      </c>
      <c r="S23">
        <v>34.299999999999997</v>
      </c>
      <c r="T23" t="s">
        <v>235</v>
      </c>
    </row>
    <row r="24" spans="1:20" x14ac:dyDescent="0.3">
      <c r="A24" t="s">
        <v>656</v>
      </c>
      <c r="B24">
        <v>4</v>
      </c>
      <c r="C24" s="13">
        <f>G24*1000/F24</f>
        <v>139.23308862087049</v>
      </c>
      <c r="D24">
        <v>84</v>
      </c>
      <c r="E24" s="43">
        <f>C24/1000*F24*B24</f>
        <v>1062.0700000000002</v>
      </c>
      <c r="F24">
        <v>1907</v>
      </c>
      <c r="G24">
        <f>G23-D24</f>
        <v>265.51749999999998</v>
      </c>
      <c r="H24">
        <f>D24*B24</f>
        <v>336</v>
      </c>
      <c r="I24" s="18">
        <f>(C23-C24)/C23</f>
        <v>0.24033131388270967</v>
      </c>
      <c r="K24" t="s">
        <v>615</v>
      </c>
      <c r="L24">
        <v>31.5</v>
      </c>
      <c r="M24">
        <v>424.19</v>
      </c>
      <c r="N24" t="s">
        <v>616</v>
      </c>
      <c r="O24">
        <v>27.9</v>
      </c>
      <c r="P24">
        <v>0.5</v>
      </c>
      <c r="R24" t="s">
        <v>617</v>
      </c>
      <c r="S24">
        <v>47.6</v>
      </c>
      <c r="T24" t="s">
        <v>235</v>
      </c>
    </row>
    <row r="25" spans="1:20" x14ac:dyDescent="0.3">
      <c r="A25" t="s">
        <v>657</v>
      </c>
      <c r="B25">
        <v>4</v>
      </c>
      <c r="C25" s="43">
        <f>C24*0.7</f>
        <v>97.46316203460934</v>
      </c>
      <c r="D25" s="43">
        <f>(C24-C25)/1000*F25</f>
        <v>79.655250000000009</v>
      </c>
      <c r="E25" s="43">
        <f>C25/1000*F25*B25</f>
        <v>743.44899999999996</v>
      </c>
      <c r="F25">
        <v>1907</v>
      </c>
      <c r="G25">
        <f>C25/1000*F25</f>
        <v>185.86224999999999</v>
      </c>
      <c r="H25" s="13">
        <f>D25*B25</f>
        <v>318.62100000000004</v>
      </c>
      <c r="I25" s="18">
        <f>(C24-C25)/C24</f>
        <v>0.30000000000000004</v>
      </c>
      <c r="K25" t="s">
        <v>615</v>
      </c>
      <c r="L25">
        <v>31.5</v>
      </c>
      <c r="M25">
        <v>424.19</v>
      </c>
      <c r="N25" t="s">
        <v>616</v>
      </c>
      <c r="O25">
        <v>27.9</v>
      </c>
      <c r="P25">
        <v>0.5</v>
      </c>
      <c r="R25" t="s">
        <v>617</v>
      </c>
      <c r="S25">
        <v>42.9</v>
      </c>
      <c r="T25" t="s">
        <v>235</v>
      </c>
    </row>
    <row r="26" spans="1:20" x14ac:dyDescent="0.3">
      <c r="K26" t="s">
        <v>615</v>
      </c>
      <c r="L26">
        <v>31.5</v>
      </c>
      <c r="M26">
        <v>424.19</v>
      </c>
      <c r="N26" t="s">
        <v>616</v>
      </c>
      <c r="O26">
        <v>27.9</v>
      </c>
      <c r="P26">
        <v>0.5</v>
      </c>
      <c r="R26" t="s">
        <v>617</v>
      </c>
      <c r="S26">
        <v>48</v>
      </c>
      <c r="T26" t="s">
        <v>235</v>
      </c>
    </row>
    <row r="27" spans="1:20" x14ac:dyDescent="0.3">
      <c r="A27" t="s">
        <v>658</v>
      </c>
      <c r="B27" t="s">
        <v>659</v>
      </c>
      <c r="C27" t="s">
        <v>660</v>
      </c>
      <c r="D27" t="s">
        <v>661</v>
      </c>
      <c r="K27" t="s">
        <v>615</v>
      </c>
      <c r="L27">
        <v>32</v>
      </c>
      <c r="M27">
        <v>424.19</v>
      </c>
      <c r="N27" t="s">
        <v>616</v>
      </c>
      <c r="O27">
        <v>28</v>
      </c>
      <c r="P27">
        <v>0.5</v>
      </c>
      <c r="R27" t="s">
        <v>617</v>
      </c>
      <c r="S27">
        <v>42.5</v>
      </c>
      <c r="T27" t="s">
        <v>235</v>
      </c>
    </row>
    <row r="28" spans="1:20" x14ac:dyDescent="0.3">
      <c r="A28" t="s">
        <v>662</v>
      </c>
      <c r="B28" s="43">
        <f>AVERAGE($O$2:$O$884)/1000*$F$22</f>
        <v>107.2215506689344</v>
      </c>
      <c r="C28">
        <f>MEDIAN($O$2:$O$884)/1000*F25</f>
        <v>94.777900000000002</v>
      </c>
      <c r="D28" s="13">
        <f>D29/1000*F25</f>
        <v>53.396000000000001</v>
      </c>
      <c r="K28" t="s">
        <v>615</v>
      </c>
      <c r="L28">
        <v>32</v>
      </c>
      <c r="M28">
        <v>424.19</v>
      </c>
      <c r="N28" t="s">
        <v>616</v>
      </c>
      <c r="O28">
        <v>28</v>
      </c>
      <c r="P28">
        <v>0.5</v>
      </c>
      <c r="R28" t="s">
        <v>617</v>
      </c>
      <c r="S28">
        <v>43.2</v>
      </c>
      <c r="T28" t="s">
        <v>235</v>
      </c>
    </row>
    <row r="29" spans="1:20" x14ac:dyDescent="0.3">
      <c r="B29" s="43">
        <f>AVERAGE($O$2:$O$884)</f>
        <v>56.225249433106661</v>
      </c>
      <c r="C29">
        <f>MEDIAN($O$2:$O$884)</f>
        <v>49.7</v>
      </c>
      <c r="D29">
        <f>_xlfn.MODE.SNGL(O2:O884)</f>
        <v>28</v>
      </c>
      <c r="K29" t="s">
        <v>615</v>
      </c>
      <c r="L29">
        <v>32</v>
      </c>
      <c r="M29">
        <v>424.2</v>
      </c>
      <c r="N29" t="s">
        <v>616</v>
      </c>
      <c r="O29">
        <v>27.9</v>
      </c>
      <c r="P29">
        <v>0.5</v>
      </c>
      <c r="R29" t="s">
        <v>663</v>
      </c>
      <c r="S29">
        <v>46.1</v>
      </c>
      <c r="T29" t="s">
        <v>235</v>
      </c>
    </row>
    <row r="30" spans="1:20" x14ac:dyDescent="0.3">
      <c r="K30" t="s">
        <v>615</v>
      </c>
      <c r="L30">
        <v>32</v>
      </c>
      <c r="M30">
        <v>424.19</v>
      </c>
      <c r="N30" t="s">
        <v>616</v>
      </c>
      <c r="O30">
        <v>28</v>
      </c>
      <c r="P30">
        <v>0.5</v>
      </c>
      <c r="R30" t="s">
        <v>663</v>
      </c>
      <c r="S30">
        <v>45.7</v>
      </c>
      <c r="T30" t="s">
        <v>235</v>
      </c>
    </row>
    <row r="31" spans="1:20" x14ac:dyDescent="0.3">
      <c r="K31" t="s">
        <v>615</v>
      </c>
      <c r="L31">
        <v>39.5</v>
      </c>
      <c r="M31">
        <v>660.6</v>
      </c>
      <c r="N31" t="s">
        <v>619</v>
      </c>
      <c r="O31">
        <v>36.700000000000003</v>
      </c>
      <c r="P31">
        <v>0.5</v>
      </c>
      <c r="R31" t="s">
        <v>617</v>
      </c>
      <c r="S31">
        <v>55.1</v>
      </c>
      <c r="T31" t="s">
        <v>235</v>
      </c>
    </row>
    <row r="32" spans="1:20" x14ac:dyDescent="0.3">
      <c r="K32" t="s">
        <v>615</v>
      </c>
      <c r="L32">
        <v>39.5</v>
      </c>
      <c r="M32">
        <v>660.6</v>
      </c>
      <c r="N32" t="s">
        <v>619</v>
      </c>
      <c r="O32">
        <v>36.700000000000003</v>
      </c>
      <c r="P32">
        <v>0.5</v>
      </c>
      <c r="R32" t="s">
        <v>617</v>
      </c>
      <c r="S32">
        <v>48</v>
      </c>
      <c r="T32" t="s">
        <v>235</v>
      </c>
    </row>
    <row r="33" spans="11:20" x14ac:dyDescent="0.3">
      <c r="K33" t="s">
        <v>615</v>
      </c>
      <c r="L33">
        <v>31.5</v>
      </c>
      <c r="M33">
        <v>424.19</v>
      </c>
      <c r="N33" t="s">
        <v>616</v>
      </c>
      <c r="O33">
        <v>27.9</v>
      </c>
      <c r="P33">
        <v>0.5</v>
      </c>
      <c r="R33" t="s">
        <v>617</v>
      </c>
      <c r="S33">
        <v>42.9</v>
      </c>
      <c r="T33" t="s">
        <v>235</v>
      </c>
    </row>
    <row r="34" spans="11:20" x14ac:dyDescent="0.3">
      <c r="K34" t="s">
        <v>615</v>
      </c>
      <c r="L34">
        <v>39.5</v>
      </c>
      <c r="M34">
        <v>660.6</v>
      </c>
      <c r="N34" t="s">
        <v>619</v>
      </c>
      <c r="O34">
        <v>36.700000000000003</v>
      </c>
      <c r="P34">
        <v>0.5</v>
      </c>
      <c r="R34" t="s">
        <v>617</v>
      </c>
      <c r="S34">
        <v>59.5</v>
      </c>
      <c r="T34" t="s">
        <v>235</v>
      </c>
    </row>
    <row r="35" spans="11:20" x14ac:dyDescent="0.3">
      <c r="K35" t="s">
        <v>615</v>
      </c>
      <c r="L35">
        <v>40</v>
      </c>
      <c r="M35">
        <v>660.6</v>
      </c>
      <c r="N35" t="s">
        <v>619</v>
      </c>
      <c r="O35">
        <v>36.700000000000003</v>
      </c>
      <c r="P35">
        <v>0.5</v>
      </c>
      <c r="R35" t="s">
        <v>664</v>
      </c>
      <c r="S35">
        <v>64.5</v>
      </c>
      <c r="T35" t="s">
        <v>235</v>
      </c>
    </row>
    <row r="36" spans="11:20" x14ac:dyDescent="0.3">
      <c r="K36" t="s">
        <v>615</v>
      </c>
      <c r="L36">
        <v>39.5</v>
      </c>
      <c r="M36">
        <v>660.6</v>
      </c>
      <c r="N36" t="s">
        <v>619</v>
      </c>
      <c r="O36">
        <v>36.700000000000003</v>
      </c>
      <c r="P36">
        <v>0.5</v>
      </c>
      <c r="R36" t="s">
        <v>663</v>
      </c>
      <c r="S36">
        <v>58.7</v>
      </c>
      <c r="T36" t="s">
        <v>235</v>
      </c>
    </row>
    <row r="37" spans="11:20" x14ac:dyDescent="0.3">
      <c r="K37" t="s">
        <v>615</v>
      </c>
      <c r="L37">
        <v>39.5</v>
      </c>
      <c r="M37">
        <v>660.6</v>
      </c>
      <c r="N37" t="s">
        <v>619</v>
      </c>
      <c r="O37">
        <v>36.700000000000003</v>
      </c>
      <c r="P37">
        <v>0.5</v>
      </c>
      <c r="R37" t="s">
        <v>663</v>
      </c>
      <c r="S37">
        <v>50.4</v>
      </c>
      <c r="T37" t="s">
        <v>235</v>
      </c>
    </row>
    <row r="38" spans="11:20" x14ac:dyDescent="0.3">
      <c r="K38" t="s">
        <v>615</v>
      </c>
      <c r="L38">
        <v>42.5</v>
      </c>
      <c r="M38">
        <v>772.33</v>
      </c>
      <c r="N38" t="s">
        <v>619</v>
      </c>
      <c r="O38">
        <v>40.700000000000003</v>
      </c>
      <c r="P38">
        <v>0.5</v>
      </c>
      <c r="R38" t="s">
        <v>617</v>
      </c>
      <c r="S38">
        <v>62.5</v>
      </c>
      <c r="T38" t="s">
        <v>235</v>
      </c>
    </row>
    <row r="39" spans="11:20" x14ac:dyDescent="0.3">
      <c r="K39" t="s">
        <v>615</v>
      </c>
      <c r="L39">
        <v>43</v>
      </c>
      <c r="M39">
        <v>772.3</v>
      </c>
      <c r="N39" t="s">
        <v>619</v>
      </c>
      <c r="O39">
        <v>40.6</v>
      </c>
      <c r="P39">
        <v>0.5</v>
      </c>
      <c r="R39" t="s">
        <v>617</v>
      </c>
      <c r="S39">
        <v>54.6</v>
      </c>
      <c r="T39" t="s">
        <v>235</v>
      </c>
    </row>
    <row r="40" spans="11:20" x14ac:dyDescent="0.3">
      <c r="K40" t="s">
        <v>615</v>
      </c>
      <c r="L40">
        <v>42.5</v>
      </c>
      <c r="M40">
        <v>772.33</v>
      </c>
      <c r="N40" t="s">
        <v>619</v>
      </c>
      <c r="O40">
        <v>67</v>
      </c>
      <c r="P40">
        <v>0.5</v>
      </c>
      <c r="R40" t="s">
        <v>664</v>
      </c>
      <c r="S40">
        <v>57.9</v>
      </c>
      <c r="T40" t="s">
        <v>235</v>
      </c>
    </row>
    <row r="41" spans="11:20" x14ac:dyDescent="0.3">
      <c r="K41" t="s">
        <v>615</v>
      </c>
      <c r="L41">
        <v>43</v>
      </c>
      <c r="M41">
        <v>772.3</v>
      </c>
      <c r="N41" t="s">
        <v>619</v>
      </c>
      <c r="O41">
        <v>40.6</v>
      </c>
      <c r="P41">
        <v>0.5</v>
      </c>
      <c r="R41" t="s">
        <v>664</v>
      </c>
      <c r="S41">
        <v>59.6</v>
      </c>
      <c r="T41" t="s">
        <v>235</v>
      </c>
    </row>
    <row r="42" spans="11:20" x14ac:dyDescent="0.3">
      <c r="K42" t="s">
        <v>615</v>
      </c>
      <c r="L42">
        <v>50</v>
      </c>
      <c r="M42">
        <v>1047.01</v>
      </c>
      <c r="N42" t="s">
        <v>619</v>
      </c>
      <c r="O42">
        <v>49.7</v>
      </c>
      <c r="P42">
        <v>0.5</v>
      </c>
      <c r="R42" t="s">
        <v>617</v>
      </c>
      <c r="S42">
        <v>83</v>
      </c>
      <c r="T42" t="s">
        <v>235</v>
      </c>
    </row>
    <row r="43" spans="11:20" x14ac:dyDescent="0.3">
      <c r="K43" t="s">
        <v>615</v>
      </c>
      <c r="L43">
        <v>50</v>
      </c>
      <c r="M43">
        <v>1047.01</v>
      </c>
      <c r="N43" t="s">
        <v>619</v>
      </c>
      <c r="O43">
        <v>49.7</v>
      </c>
      <c r="P43">
        <v>0.5</v>
      </c>
      <c r="R43" t="s">
        <v>617</v>
      </c>
      <c r="S43">
        <v>77.099999999999994</v>
      </c>
      <c r="T43" t="s">
        <v>235</v>
      </c>
    </row>
    <row r="44" spans="11:20" x14ac:dyDescent="0.3">
      <c r="K44" t="s">
        <v>615</v>
      </c>
      <c r="L44">
        <v>50</v>
      </c>
      <c r="M44">
        <v>1047.01</v>
      </c>
      <c r="N44" t="s">
        <v>619</v>
      </c>
      <c r="O44">
        <v>49.7</v>
      </c>
      <c r="P44">
        <v>0.5</v>
      </c>
      <c r="R44" t="s">
        <v>617</v>
      </c>
      <c r="S44">
        <v>84.5</v>
      </c>
      <c r="T44" t="s">
        <v>235</v>
      </c>
    </row>
    <row r="45" spans="11:20" x14ac:dyDescent="0.3">
      <c r="K45" t="s">
        <v>615</v>
      </c>
      <c r="L45">
        <v>50</v>
      </c>
      <c r="M45">
        <v>1047.01</v>
      </c>
      <c r="N45" t="s">
        <v>619</v>
      </c>
      <c r="O45">
        <v>49.7</v>
      </c>
      <c r="P45">
        <v>0.5</v>
      </c>
      <c r="R45" t="s">
        <v>617</v>
      </c>
      <c r="S45">
        <v>75.7</v>
      </c>
      <c r="T45" t="s">
        <v>235</v>
      </c>
    </row>
    <row r="46" spans="11:20" x14ac:dyDescent="0.3">
      <c r="K46" t="s">
        <v>615</v>
      </c>
      <c r="L46">
        <v>50</v>
      </c>
      <c r="M46">
        <v>1047.01</v>
      </c>
      <c r="N46" t="s">
        <v>619</v>
      </c>
      <c r="O46">
        <v>49.7</v>
      </c>
      <c r="P46">
        <v>0.5</v>
      </c>
      <c r="R46" t="s">
        <v>664</v>
      </c>
      <c r="S46">
        <v>72.400000000000006</v>
      </c>
      <c r="T46" t="s">
        <v>235</v>
      </c>
    </row>
    <row r="47" spans="11:20" x14ac:dyDescent="0.3">
      <c r="K47" t="s">
        <v>615</v>
      </c>
      <c r="L47">
        <v>50</v>
      </c>
      <c r="M47">
        <v>1047.01</v>
      </c>
      <c r="N47" t="s">
        <v>619</v>
      </c>
      <c r="O47">
        <v>49.7</v>
      </c>
      <c r="P47">
        <v>0.5</v>
      </c>
      <c r="R47" t="s">
        <v>664</v>
      </c>
      <c r="S47">
        <v>76.400000000000006</v>
      </c>
      <c r="T47" t="s">
        <v>235</v>
      </c>
    </row>
    <row r="48" spans="11:20" x14ac:dyDescent="0.3">
      <c r="K48" t="s">
        <v>615</v>
      </c>
      <c r="L48">
        <v>50</v>
      </c>
      <c r="M48">
        <v>1047.01</v>
      </c>
      <c r="N48" t="s">
        <v>619</v>
      </c>
      <c r="O48">
        <v>49.7</v>
      </c>
      <c r="P48">
        <v>0.5</v>
      </c>
      <c r="R48" t="s">
        <v>663</v>
      </c>
      <c r="S48">
        <v>83.1</v>
      </c>
      <c r="T48" t="s">
        <v>235</v>
      </c>
    </row>
    <row r="49" spans="11:20" x14ac:dyDescent="0.3">
      <c r="K49" t="s">
        <v>615</v>
      </c>
      <c r="L49">
        <v>50</v>
      </c>
      <c r="M49">
        <v>1047.01</v>
      </c>
      <c r="N49" t="s">
        <v>665</v>
      </c>
      <c r="O49">
        <v>72.599999999999994</v>
      </c>
      <c r="P49">
        <v>0.5</v>
      </c>
      <c r="Q49">
        <v>0.4</v>
      </c>
      <c r="R49" t="s">
        <v>664</v>
      </c>
      <c r="S49">
        <v>117.7</v>
      </c>
      <c r="T49" t="s">
        <v>235</v>
      </c>
    </row>
    <row r="50" spans="11:20" x14ac:dyDescent="0.3">
      <c r="K50" t="s">
        <v>615</v>
      </c>
      <c r="L50">
        <v>50</v>
      </c>
      <c r="M50">
        <v>1047.01</v>
      </c>
      <c r="N50" t="s">
        <v>665</v>
      </c>
      <c r="O50">
        <v>72.599999999999994</v>
      </c>
      <c r="P50">
        <v>0.5</v>
      </c>
      <c r="Q50">
        <v>0.4</v>
      </c>
      <c r="R50" t="s">
        <v>664</v>
      </c>
      <c r="S50">
        <v>117.7</v>
      </c>
      <c r="T50" t="s">
        <v>235</v>
      </c>
    </row>
    <row r="51" spans="11:20" x14ac:dyDescent="0.3">
      <c r="K51" t="s">
        <v>615</v>
      </c>
      <c r="L51">
        <v>55</v>
      </c>
      <c r="M51">
        <v>1275.67</v>
      </c>
      <c r="N51" t="s">
        <v>619</v>
      </c>
      <c r="O51">
        <v>56.4</v>
      </c>
      <c r="P51">
        <v>0.5</v>
      </c>
      <c r="R51" t="s">
        <v>617</v>
      </c>
      <c r="S51">
        <v>88.8</v>
      </c>
      <c r="T51" t="s">
        <v>235</v>
      </c>
    </row>
    <row r="52" spans="11:20" x14ac:dyDescent="0.3">
      <c r="K52" t="s">
        <v>615</v>
      </c>
      <c r="L52">
        <v>55</v>
      </c>
      <c r="M52">
        <v>1275.67</v>
      </c>
      <c r="N52" t="s">
        <v>619</v>
      </c>
      <c r="O52">
        <v>56.4</v>
      </c>
      <c r="P52">
        <v>0.5</v>
      </c>
      <c r="R52" t="s">
        <v>617</v>
      </c>
      <c r="S52">
        <v>81.2</v>
      </c>
      <c r="T52" t="s">
        <v>235</v>
      </c>
    </row>
    <row r="53" spans="11:20" x14ac:dyDescent="0.3">
      <c r="K53" t="s">
        <v>615</v>
      </c>
      <c r="L53">
        <v>55</v>
      </c>
      <c r="M53">
        <v>1275.67</v>
      </c>
      <c r="N53" t="s">
        <v>619</v>
      </c>
      <c r="O53">
        <v>56.4</v>
      </c>
      <c r="P53">
        <v>0.5</v>
      </c>
      <c r="R53" t="s">
        <v>617</v>
      </c>
      <c r="S53">
        <v>81.2</v>
      </c>
      <c r="T53" t="s">
        <v>235</v>
      </c>
    </row>
    <row r="54" spans="11:20" x14ac:dyDescent="0.3">
      <c r="K54" t="s">
        <v>615</v>
      </c>
      <c r="L54">
        <v>55</v>
      </c>
      <c r="M54">
        <v>1275.67</v>
      </c>
      <c r="N54" t="s">
        <v>619</v>
      </c>
      <c r="O54">
        <v>90.9</v>
      </c>
      <c r="P54">
        <v>0.5</v>
      </c>
      <c r="R54" t="s">
        <v>664</v>
      </c>
      <c r="S54">
        <v>86.2</v>
      </c>
      <c r="T54" t="s">
        <v>235</v>
      </c>
    </row>
    <row r="55" spans="11:20" x14ac:dyDescent="0.3">
      <c r="K55" t="s">
        <v>615</v>
      </c>
      <c r="L55">
        <v>55</v>
      </c>
      <c r="M55">
        <v>1275.67</v>
      </c>
      <c r="N55" t="s">
        <v>619</v>
      </c>
      <c r="O55">
        <v>56.4</v>
      </c>
      <c r="P55">
        <v>0.5</v>
      </c>
      <c r="R55" t="s">
        <v>664</v>
      </c>
      <c r="S55">
        <v>72.5</v>
      </c>
      <c r="T55" t="s">
        <v>235</v>
      </c>
    </row>
    <row r="56" spans="11:20" x14ac:dyDescent="0.3">
      <c r="K56" t="s">
        <v>615</v>
      </c>
      <c r="L56">
        <v>55</v>
      </c>
      <c r="M56">
        <v>1275.67</v>
      </c>
      <c r="N56" t="s">
        <v>619</v>
      </c>
      <c r="O56">
        <v>56.4</v>
      </c>
      <c r="P56">
        <v>0.5</v>
      </c>
      <c r="R56" t="s">
        <v>664</v>
      </c>
      <c r="S56">
        <v>73.8</v>
      </c>
      <c r="T56" t="s">
        <v>235</v>
      </c>
    </row>
    <row r="57" spans="11:20" x14ac:dyDescent="0.3">
      <c r="K57" t="s">
        <v>615</v>
      </c>
      <c r="L57">
        <v>55</v>
      </c>
      <c r="M57">
        <v>1275.67</v>
      </c>
      <c r="N57" t="s">
        <v>665</v>
      </c>
      <c r="O57">
        <v>84.7</v>
      </c>
      <c r="P57">
        <v>0.5</v>
      </c>
      <c r="Q57">
        <v>0.5</v>
      </c>
      <c r="R57" t="s">
        <v>664</v>
      </c>
      <c r="S57">
        <v>121.7</v>
      </c>
      <c r="T57" t="s">
        <v>235</v>
      </c>
    </row>
    <row r="58" spans="11:20" x14ac:dyDescent="0.3">
      <c r="K58" t="s">
        <v>615</v>
      </c>
      <c r="L58">
        <v>23.58</v>
      </c>
      <c r="M58">
        <v>237.76</v>
      </c>
      <c r="N58" t="s">
        <v>616</v>
      </c>
      <c r="O58">
        <v>20.8</v>
      </c>
      <c r="P58">
        <v>0.5</v>
      </c>
      <c r="R58" t="s">
        <v>617</v>
      </c>
      <c r="S58">
        <v>38.799999999999997</v>
      </c>
      <c r="T58" t="s">
        <v>235</v>
      </c>
    </row>
    <row r="59" spans="11:20" x14ac:dyDescent="0.3">
      <c r="K59" t="s">
        <v>615</v>
      </c>
      <c r="L59">
        <v>32</v>
      </c>
      <c r="M59">
        <v>424.2</v>
      </c>
      <c r="N59" t="s">
        <v>616</v>
      </c>
      <c r="O59">
        <v>27.9</v>
      </c>
      <c r="P59">
        <v>0.5</v>
      </c>
      <c r="R59" t="s">
        <v>663</v>
      </c>
      <c r="S59">
        <v>46.1</v>
      </c>
      <c r="T59" t="s">
        <v>235</v>
      </c>
    </row>
    <row r="60" spans="11:20" x14ac:dyDescent="0.3">
      <c r="K60" t="s">
        <v>615</v>
      </c>
      <c r="L60">
        <v>31.5</v>
      </c>
      <c r="M60">
        <v>424.19</v>
      </c>
      <c r="N60" t="s">
        <v>616</v>
      </c>
      <c r="O60">
        <v>27.9</v>
      </c>
      <c r="P60">
        <v>0.5</v>
      </c>
      <c r="R60" t="s">
        <v>617</v>
      </c>
      <c r="S60">
        <v>42.9</v>
      </c>
      <c r="T60" t="s">
        <v>235</v>
      </c>
    </row>
    <row r="61" spans="11:20" x14ac:dyDescent="0.3">
      <c r="K61" t="s">
        <v>615</v>
      </c>
      <c r="L61">
        <v>39.5</v>
      </c>
      <c r="M61">
        <v>660.6</v>
      </c>
      <c r="N61" t="s">
        <v>619</v>
      </c>
      <c r="O61">
        <v>36.700000000000003</v>
      </c>
      <c r="P61">
        <v>0.5</v>
      </c>
      <c r="R61" t="s">
        <v>617</v>
      </c>
      <c r="S61">
        <v>55.1</v>
      </c>
      <c r="T61" t="s">
        <v>235</v>
      </c>
    </row>
    <row r="62" spans="11:20" x14ac:dyDescent="0.3">
      <c r="K62" t="s">
        <v>615</v>
      </c>
      <c r="L62">
        <v>39.5</v>
      </c>
      <c r="M62">
        <v>660.6</v>
      </c>
      <c r="N62" t="s">
        <v>619</v>
      </c>
      <c r="O62">
        <v>36.700000000000003</v>
      </c>
      <c r="P62">
        <v>0.5</v>
      </c>
      <c r="R62" t="s">
        <v>663</v>
      </c>
      <c r="S62">
        <v>58.7</v>
      </c>
      <c r="T62" t="s">
        <v>235</v>
      </c>
    </row>
    <row r="63" spans="11:20" x14ac:dyDescent="0.3">
      <c r="K63" t="s">
        <v>615</v>
      </c>
      <c r="L63">
        <v>24</v>
      </c>
      <c r="M63">
        <v>236.98</v>
      </c>
      <c r="N63" t="s">
        <v>616</v>
      </c>
      <c r="O63">
        <v>20.8</v>
      </c>
      <c r="P63">
        <v>0.5</v>
      </c>
      <c r="R63" t="s">
        <v>617</v>
      </c>
      <c r="S63">
        <v>34.299999999999997</v>
      </c>
      <c r="T63" t="s">
        <v>235</v>
      </c>
    </row>
    <row r="64" spans="11:20" x14ac:dyDescent="0.3">
      <c r="K64" t="s">
        <v>615</v>
      </c>
      <c r="L64">
        <v>32</v>
      </c>
      <c r="M64">
        <v>424.19</v>
      </c>
      <c r="N64" t="s">
        <v>616</v>
      </c>
      <c r="O64">
        <v>28</v>
      </c>
      <c r="P64">
        <v>0.5</v>
      </c>
      <c r="R64" t="s">
        <v>617</v>
      </c>
      <c r="S64">
        <v>42.5</v>
      </c>
      <c r="T64" t="s">
        <v>235</v>
      </c>
    </row>
    <row r="65" spans="11:20" x14ac:dyDescent="0.3">
      <c r="K65" t="s">
        <v>615</v>
      </c>
      <c r="L65">
        <v>32</v>
      </c>
      <c r="M65">
        <v>424.19</v>
      </c>
      <c r="N65" t="s">
        <v>616</v>
      </c>
      <c r="O65">
        <v>28</v>
      </c>
      <c r="P65">
        <v>0.5</v>
      </c>
      <c r="R65" t="s">
        <v>617</v>
      </c>
      <c r="S65">
        <v>43.2</v>
      </c>
      <c r="T65" t="s">
        <v>235</v>
      </c>
    </row>
    <row r="66" spans="11:20" x14ac:dyDescent="0.3">
      <c r="K66" t="s">
        <v>615</v>
      </c>
      <c r="L66">
        <v>39.5</v>
      </c>
      <c r="M66">
        <v>660.6</v>
      </c>
      <c r="N66" t="s">
        <v>619</v>
      </c>
      <c r="O66">
        <v>36.700000000000003</v>
      </c>
      <c r="P66">
        <v>0.5</v>
      </c>
      <c r="R66" t="s">
        <v>617</v>
      </c>
      <c r="S66">
        <v>48</v>
      </c>
      <c r="T66" t="s">
        <v>235</v>
      </c>
    </row>
    <row r="67" spans="11:20" x14ac:dyDescent="0.3">
      <c r="K67" t="s">
        <v>615</v>
      </c>
      <c r="L67">
        <v>39.5</v>
      </c>
      <c r="M67">
        <v>660.6</v>
      </c>
      <c r="N67" t="s">
        <v>619</v>
      </c>
      <c r="O67">
        <v>36.700000000000003</v>
      </c>
      <c r="P67">
        <v>0.5</v>
      </c>
      <c r="R67" t="s">
        <v>617</v>
      </c>
      <c r="S67">
        <v>59.5</v>
      </c>
      <c r="T67" t="s">
        <v>235</v>
      </c>
    </row>
    <row r="68" spans="11:20" x14ac:dyDescent="0.3">
      <c r="K68" t="s">
        <v>615</v>
      </c>
      <c r="L68">
        <v>43</v>
      </c>
      <c r="M68">
        <v>772.3</v>
      </c>
      <c r="N68" t="s">
        <v>619</v>
      </c>
      <c r="O68">
        <v>40.6</v>
      </c>
      <c r="P68">
        <v>0.5</v>
      </c>
      <c r="R68" t="s">
        <v>664</v>
      </c>
      <c r="S68">
        <v>59.5</v>
      </c>
      <c r="T68" t="s">
        <v>235</v>
      </c>
    </row>
    <row r="69" spans="11:20" x14ac:dyDescent="0.3">
      <c r="K69" t="s">
        <v>615</v>
      </c>
      <c r="L69">
        <v>43</v>
      </c>
      <c r="M69">
        <v>772.3</v>
      </c>
      <c r="N69" t="s">
        <v>619</v>
      </c>
      <c r="O69">
        <v>40.6</v>
      </c>
      <c r="P69">
        <v>0.5</v>
      </c>
      <c r="R69" t="s">
        <v>664</v>
      </c>
      <c r="S69">
        <v>60.2</v>
      </c>
      <c r="T69" t="s">
        <v>235</v>
      </c>
    </row>
    <row r="70" spans="11:20" x14ac:dyDescent="0.3">
      <c r="K70" t="s">
        <v>615</v>
      </c>
      <c r="L70">
        <v>42.5</v>
      </c>
      <c r="M70">
        <v>772.33</v>
      </c>
      <c r="N70" t="s">
        <v>619</v>
      </c>
      <c r="O70">
        <v>40.700000000000003</v>
      </c>
      <c r="P70">
        <v>0.5</v>
      </c>
      <c r="R70" t="s">
        <v>617</v>
      </c>
      <c r="S70">
        <v>62.5</v>
      </c>
      <c r="T70" t="s">
        <v>235</v>
      </c>
    </row>
    <row r="71" spans="11:20" x14ac:dyDescent="0.3">
      <c r="K71" t="s">
        <v>615</v>
      </c>
      <c r="L71">
        <v>42.5</v>
      </c>
      <c r="M71">
        <v>772.33</v>
      </c>
      <c r="N71" t="s">
        <v>619</v>
      </c>
      <c r="O71">
        <v>40.700000000000003</v>
      </c>
      <c r="P71">
        <v>0.5</v>
      </c>
      <c r="R71" t="s">
        <v>617</v>
      </c>
      <c r="S71">
        <v>62.5</v>
      </c>
      <c r="T71" t="s">
        <v>235</v>
      </c>
    </row>
    <row r="72" spans="11:20" x14ac:dyDescent="0.3">
      <c r="K72" t="s">
        <v>615</v>
      </c>
      <c r="L72">
        <v>47.61</v>
      </c>
      <c r="M72">
        <v>968.79</v>
      </c>
      <c r="N72" t="s">
        <v>619</v>
      </c>
      <c r="O72">
        <v>47.3</v>
      </c>
      <c r="P72">
        <v>0.5</v>
      </c>
      <c r="R72" t="s">
        <v>617</v>
      </c>
      <c r="S72">
        <v>80.599999999999994</v>
      </c>
      <c r="T72" t="s">
        <v>235</v>
      </c>
    </row>
    <row r="73" spans="11:20" x14ac:dyDescent="0.3">
      <c r="K73" t="s">
        <v>615</v>
      </c>
      <c r="L73">
        <v>50</v>
      </c>
      <c r="M73">
        <v>1047.01</v>
      </c>
      <c r="N73" t="s">
        <v>619</v>
      </c>
      <c r="O73">
        <v>49.7</v>
      </c>
      <c r="P73">
        <v>0.5</v>
      </c>
      <c r="R73" t="s">
        <v>664</v>
      </c>
      <c r="S73">
        <v>76.400000000000006</v>
      </c>
      <c r="T73" t="s">
        <v>235</v>
      </c>
    </row>
    <row r="74" spans="11:20" x14ac:dyDescent="0.3">
      <c r="K74" t="s">
        <v>615</v>
      </c>
      <c r="L74">
        <v>50</v>
      </c>
      <c r="M74">
        <v>1047.01</v>
      </c>
      <c r="N74" t="s">
        <v>619</v>
      </c>
      <c r="O74">
        <v>49.7</v>
      </c>
      <c r="P74">
        <v>0.5</v>
      </c>
      <c r="R74" t="s">
        <v>663</v>
      </c>
      <c r="S74">
        <v>83.1</v>
      </c>
      <c r="T74" t="s">
        <v>235</v>
      </c>
    </row>
    <row r="75" spans="11:20" x14ac:dyDescent="0.3">
      <c r="K75" t="s">
        <v>615</v>
      </c>
      <c r="L75">
        <v>41.5</v>
      </c>
      <c r="M75">
        <v>736.89</v>
      </c>
      <c r="N75" t="s">
        <v>619</v>
      </c>
      <c r="O75">
        <v>39.5</v>
      </c>
      <c r="P75">
        <v>0.5</v>
      </c>
      <c r="R75" t="s">
        <v>617</v>
      </c>
      <c r="S75">
        <v>69.599999999999994</v>
      </c>
      <c r="T75" t="s">
        <v>235</v>
      </c>
    </row>
    <row r="76" spans="11:20" x14ac:dyDescent="0.3">
      <c r="K76" t="s">
        <v>615</v>
      </c>
      <c r="L76">
        <v>50</v>
      </c>
      <c r="M76">
        <v>1047.01</v>
      </c>
      <c r="N76" t="s">
        <v>619</v>
      </c>
      <c r="O76">
        <v>49.7</v>
      </c>
      <c r="P76">
        <v>0.5</v>
      </c>
      <c r="R76" t="s">
        <v>617</v>
      </c>
      <c r="S76">
        <v>84.8</v>
      </c>
      <c r="T76" t="s">
        <v>235</v>
      </c>
    </row>
    <row r="77" spans="11:20" x14ac:dyDescent="0.3">
      <c r="K77" t="s">
        <v>615</v>
      </c>
      <c r="L77">
        <v>64.53</v>
      </c>
      <c r="M77">
        <v>1779.1</v>
      </c>
      <c r="N77" t="s">
        <v>621</v>
      </c>
      <c r="O77">
        <v>102.8</v>
      </c>
      <c r="P77">
        <v>0.5</v>
      </c>
      <c r="R77" t="s">
        <v>617</v>
      </c>
      <c r="S77">
        <v>186.6</v>
      </c>
      <c r="T77" t="s">
        <v>235</v>
      </c>
    </row>
    <row r="78" spans="11:20" x14ac:dyDescent="0.3">
      <c r="K78" t="s">
        <v>615</v>
      </c>
      <c r="L78">
        <v>31.51</v>
      </c>
      <c r="M78">
        <v>424.14</v>
      </c>
      <c r="N78" t="s">
        <v>616</v>
      </c>
      <c r="O78">
        <v>28</v>
      </c>
      <c r="P78">
        <v>0.5</v>
      </c>
      <c r="R78" t="s">
        <v>617</v>
      </c>
      <c r="S78">
        <v>49.5</v>
      </c>
      <c r="T78" t="s">
        <v>235</v>
      </c>
    </row>
    <row r="79" spans="11:20" x14ac:dyDescent="0.3">
      <c r="K79" t="s">
        <v>615</v>
      </c>
      <c r="L79">
        <v>42.5</v>
      </c>
      <c r="M79">
        <v>771.91</v>
      </c>
      <c r="N79" t="s">
        <v>619</v>
      </c>
      <c r="O79">
        <v>40.700000000000003</v>
      </c>
      <c r="P79">
        <v>0.5</v>
      </c>
      <c r="R79" t="s">
        <v>617</v>
      </c>
      <c r="S79">
        <v>68</v>
      </c>
      <c r="T79" t="s">
        <v>235</v>
      </c>
    </row>
    <row r="80" spans="11:20" x14ac:dyDescent="0.3">
      <c r="K80" t="s">
        <v>615</v>
      </c>
      <c r="L80">
        <v>18.5</v>
      </c>
      <c r="M80">
        <v>146.35</v>
      </c>
      <c r="N80" t="s">
        <v>616</v>
      </c>
      <c r="O80">
        <v>17.3</v>
      </c>
      <c r="P80">
        <v>0.5</v>
      </c>
      <c r="R80" t="s">
        <v>617</v>
      </c>
      <c r="S80">
        <v>33</v>
      </c>
      <c r="T80" t="s">
        <v>235</v>
      </c>
    </row>
    <row r="81" spans="11:20" x14ac:dyDescent="0.3">
      <c r="K81" t="s">
        <v>615</v>
      </c>
      <c r="L81">
        <v>23.6</v>
      </c>
      <c r="M81">
        <v>236.92</v>
      </c>
      <c r="N81" t="s">
        <v>616</v>
      </c>
      <c r="O81">
        <v>20.8</v>
      </c>
      <c r="P81">
        <v>0.5</v>
      </c>
      <c r="R81" t="s">
        <v>617</v>
      </c>
      <c r="S81">
        <v>36.5</v>
      </c>
      <c r="T81" t="s">
        <v>235</v>
      </c>
    </row>
    <row r="82" spans="11:20" x14ac:dyDescent="0.3">
      <c r="K82" t="s">
        <v>615</v>
      </c>
      <c r="L82">
        <v>27.51</v>
      </c>
      <c r="M82">
        <v>324.83</v>
      </c>
      <c r="N82" t="s">
        <v>616</v>
      </c>
      <c r="O82">
        <v>24.2</v>
      </c>
      <c r="P82">
        <v>0.5</v>
      </c>
      <c r="R82" t="s">
        <v>617</v>
      </c>
      <c r="S82">
        <v>43.7</v>
      </c>
      <c r="T82" t="s">
        <v>235</v>
      </c>
    </row>
    <row r="83" spans="11:20" x14ac:dyDescent="0.3">
      <c r="K83" t="s">
        <v>615</v>
      </c>
      <c r="L83">
        <v>27.5</v>
      </c>
      <c r="M83">
        <v>324.83</v>
      </c>
      <c r="N83" t="s">
        <v>616</v>
      </c>
      <c r="O83">
        <v>24.3</v>
      </c>
      <c r="P83">
        <v>0.5</v>
      </c>
      <c r="R83" t="s">
        <v>617</v>
      </c>
      <c r="S83">
        <v>47.3</v>
      </c>
      <c r="T83" t="s">
        <v>235</v>
      </c>
    </row>
    <row r="84" spans="11:20" x14ac:dyDescent="0.3">
      <c r="K84" t="s">
        <v>615</v>
      </c>
      <c r="L84">
        <v>18.579999999999998</v>
      </c>
      <c r="M84">
        <v>147.72</v>
      </c>
      <c r="N84" t="s">
        <v>616</v>
      </c>
      <c r="O84">
        <v>17.3</v>
      </c>
      <c r="P84">
        <v>0.5</v>
      </c>
      <c r="R84" t="s">
        <v>617</v>
      </c>
      <c r="S84">
        <v>33.1</v>
      </c>
      <c r="T84" t="s">
        <v>235</v>
      </c>
    </row>
    <row r="85" spans="11:20" x14ac:dyDescent="0.3">
      <c r="K85" t="s">
        <v>615</v>
      </c>
      <c r="L85">
        <v>42.5</v>
      </c>
      <c r="M85">
        <v>771.91</v>
      </c>
      <c r="N85" t="s">
        <v>619</v>
      </c>
      <c r="O85">
        <v>40.700000000000003</v>
      </c>
      <c r="P85">
        <v>0.5</v>
      </c>
      <c r="R85" t="s">
        <v>617</v>
      </c>
      <c r="S85">
        <v>68</v>
      </c>
      <c r="T85" t="s">
        <v>235</v>
      </c>
    </row>
    <row r="86" spans="11:20" x14ac:dyDescent="0.3">
      <c r="K86" t="s">
        <v>615</v>
      </c>
      <c r="L86">
        <v>18.5</v>
      </c>
      <c r="M86">
        <v>146.35</v>
      </c>
      <c r="N86" t="s">
        <v>616</v>
      </c>
      <c r="O86">
        <v>17.3</v>
      </c>
      <c r="P86">
        <v>0.5</v>
      </c>
      <c r="R86" t="s">
        <v>617</v>
      </c>
      <c r="S86">
        <v>33</v>
      </c>
      <c r="T86" t="s">
        <v>235</v>
      </c>
    </row>
    <row r="87" spans="11:20" x14ac:dyDescent="0.3">
      <c r="K87" t="s">
        <v>615</v>
      </c>
      <c r="L87">
        <v>23.6</v>
      </c>
      <c r="M87">
        <v>236.92</v>
      </c>
      <c r="N87" t="s">
        <v>616</v>
      </c>
      <c r="O87">
        <v>20.8</v>
      </c>
      <c r="P87">
        <v>0.5</v>
      </c>
      <c r="R87" t="s">
        <v>617</v>
      </c>
      <c r="S87">
        <v>36.5</v>
      </c>
      <c r="T87" t="s">
        <v>235</v>
      </c>
    </row>
    <row r="88" spans="11:20" x14ac:dyDescent="0.3">
      <c r="K88" t="s">
        <v>615</v>
      </c>
      <c r="L88">
        <v>31.51</v>
      </c>
      <c r="M88">
        <v>424.14</v>
      </c>
      <c r="N88" t="s">
        <v>616</v>
      </c>
      <c r="O88">
        <v>28</v>
      </c>
      <c r="P88">
        <v>0.5</v>
      </c>
      <c r="R88" t="s">
        <v>617</v>
      </c>
      <c r="S88">
        <v>49.5</v>
      </c>
      <c r="T88" t="s">
        <v>235</v>
      </c>
    </row>
    <row r="89" spans="11:20" x14ac:dyDescent="0.3">
      <c r="K89" t="s">
        <v>615</v>
      </c>
      <c r="L89">
        <v>31.51</v>
      </c>
      <c r="M89">
        <v>424.14</v>
      </c>
      <c r="N89" t="s">
        <v>616</v>
      </c>
      <c r="O89">
        <v>28</v>
      </c>
      <c r="P89">
        <v>0.5</v>
      </c>
      <c r="R89" t="s">
        <v>617</v>
      </c>
      <c r="S89">
        <v>49.5</v>
      </c>
      <c r="T89" t="s">
        <v>235</v>
      </c>
    </row>
    <row r="90" spans="11:20" x14ac:dyDescent="0.3">
      <c r="K90" t="s">
        <v>615</v>
      </c>
      <c r="L90">
        <v>18.5</v>
      </c>
      <c r="M90">
        <v>146.35</v>
      </c>
      <c r="N90" t="s">
        <v>616</v>
      </c>
      <c r="O90">
        <v>17.3</v>
      </c>
      <c r="P90">
        <v>0.5</v>
      </c>
      <c r="R90" t="s">
        <v>617</v>
      </c>
      <c r="S90">
        <v>33</v>
      </c>
      <c r="T90" t="s">
        <v>235</v>
      </c>
    </row>
    <row r="91" spans="11:20" x14ac:dyDescent="0.3">
      <c r="K91" t="s">
        <v>615</v>
      </c>
      <c r="L91">
        <v>31.5</v>
      </c>
      <c r="M91">
        <v>424.19</v>
      </c>
      <c r="N91" t="s">
        <v>616</v>
      </c>
      <c r="O91">
        <v>27.9</v>
      </c>
      <c r="P91">
        <v>0.5</v>
      </c>
      <c r="R91" t="s">
        <v>617</v>
      </c>
      <c r="S91">
        <v>47.6</v>
      </c>
      <c r="T91" t="s">
        <v>235</v>
      </c>
    </row>
    <row r="92" spans="11:20" x14ac:dyDescent="0.3">
      <c r="K92" t="s">
        <v>615</v>
      </c>
      <c r="L92">
        <v>48.5</v>
      </c>
      <c r="M92">
        <v>1005.18</v>
      </c>
      <c r="N92" t="s">
        <v>619</v>
      </c>
      <c r="O92">
        <v>48.4</v>
      </c>
      <c r="P92">
        <v>0.5</v>
      </c>
      <c r="R92" t="s">
        <v>617</v>
      </c>
      <c r="S92">
        <v>89.5</v>
      </c>
      <c r="T92" t="s">
        <v>235</v>
      </c>
    </row>
    <row r="93" spans="11:20" x14ac:dyDescent="0.3">
      <c r="K93" t="s">
        <v>615</v>
      </c>
      <c r="L93">
        <v>31.51</v>
      </c>
      <c r="M93">
        <v>424.19</v>
      </c>
      <c r="N93" t="s">
        <v>616</v>
      </c>
      <c r="O93">
        <v>28</v>
      </c>
      <c r="P93">
        <v>0.5</v>
      </c>
      <c r="R93" t="s">
        <v>617</v>
      </c>
      <c r="S93">
        <v>51.9</v>
      </c>
      <c r="T93" t="s">
        <v>235</v>
      </c>
    </row>
    <row r="94" spans="11:20" x14ac:dyDescent="0.3">
      <c r="K94" t="s">
        <v>615</v>
      </c>
      <c r="L94">
        <v>38.700000000000003</v>
      </c>
      <c r="M94">
        <v>641.22</v>
      </c>
      <c r="N94" t="s">
        <v>616</v>
      </c>
      <c r="O94">
        <v>36</v>
      </c>
      <c r="P94">
        <v>0.5</v>
      </c>
      <c r="R94" t="s">
        <v>617</v>
      </c>
      <c r="S94">
        <v>63.7</v>
      </c>
      <c r="T94" t="s">
        <v>235</v>
      </c>
    </row>
    <row r="95" spans="11:20" x14ac:dyDescent="0.3">
      <c r="K95" t="s">
        <v>615</v>
      </c>
      <c r="L95">
        <v>38.58</v>
      </c>
      <c r="M95">
        <v>635.04</v>
      </c>
      <c r="N95" t="s">
        <v>616</v>
      </c>
      <c r="O95">
        <v>35.799999999999997</v>
      </c>
      <c r="P95">
        <v>0.5</v>
      </c>
      <c r="R95" t="s">
        <v>617</v>
      </c>
      <c r="S95">
        <v>53.4</v>
      </c>
      <c r="T95" t="s">
        <v>235</v>
      </c>
    </row>
    <row r="96" spans="11:20" x14ac:dyDescent="0.3">
      <c r="K96" t="s">
        <v>615</v>
      </c>
      <c r="L96">
        <v>31.51</v>
      </c>
      <c r="M96">
        <v>424.14</v>
      </c>
      <c r="N96" t="s">
        <v>616</v>
      </c>
      <c r="O96">
        <v>27.9</v>
      </c>
      <c r="P96">
        <v>0.5</v>
      </c>
      <c r="R96" t="s">
        <v>617</v>
      </c>
      <c r="S96">
        <v>52.1</v>
      </c>
      <c r="T96" t="s">
        <v>235</v>
      </c>
    </row>
    <row r="97" spans="11:20" x14ac:dyDescent="0.3">
      <c r="K97" t="s">
        <v>615</v>
      </c>
      <c r="L97">
        <v>32</v>
      </c>
      <c r="M97">
        <v>424.14</v>
      </c>
      <c r="N97" t="s">
        <v>616</v>
      </c>
      <c r="O97">
        <v>28</v>
      </c>
      <c r="P97">
        <v>0.5</v>
      </c>
      <c r="R97" t="s">
        <v>617</v>
      </c>
      <c r="S97">
        <v>50.8</v>
      </c>
      <c r="T97" t="s">
        <v>235</v>
      </c>
    </row>
    <row r="98" spans="11:20" x14ac:dyDescent="0.3">
      <c r="K98" t="s">
        <v>615</v>
      </c>
      <c r="L98">
        <v>54.64</v>
      </c>
      <c r="M98">
        <v>1275.67</v>
      </c>
      <c r="N98" t="s">
        <v>621</v>
      </c>
      <c r="O98">
        <v>84.7</v>
      </c>
      <c r="P98">
        <v>0.5</v>
      </c>
      <c r="R98" t="s">
        <v>617</v>
      </c>
      <c r="S98">
        <v>152.5</v>
      </c>
      <c r="T98" t="s">
        <v>235</v>
      </c>
    </row>
    <row r="99" spans="11:20" x14ac:dyDescent="0.3">
      <c r="K99" t="s">
        <v>615</v>
      </c>
      <c r="L99">
        <v>31.52</v>
      </c>
      <c r="M99">
        <v>425.59</v>
      </c>
      <c r="N99" t="s">
        <v>616</v>
      </c>
      <c r="O99">
        <v>28</v>
      </c>
      <c r="P99">
        <v>0.5</v>
      </c>
      <c r="R99" t="s">
        <v>617</v>
      </c>
      <c r="S99">
        <v>51</v>
      </c>
      <c r="T99" t="s">
        <v>235</v>
      </c>
    </row>
    <row r="100" spans="11:20" x14ac:dyDescent="0.3">
      <c r="K100" t="s">
        <v>615</v>
      </c>
      <c r="L100">
        <v>38.5</v>
      </c>
      <c r="M100">
        <v>626.77</v>
      </c>
      <c r="N100" t="s">
        <v>616</v>
      </c>
      <c r="O100">
        <v>35.5</v>
      </c>
      <c r="P100">
        <v>0.5</v>
      </c>
      <c r="R100" t="s">
        <v>617</v>
      </c>
      <c r="S100">
        <v>60.6</v>
      </c>
      <c r="T100" t="s">
        <v>235</v>
      </c>
    </row>
    <row r="101" spans="11:20" x14ac:dyDescent="0.3">
      <c r="K101" t="s">
        <v>615</v>
      </c>
      <c r="L101">
        <v>41.53</v>
      </c>
      <c r="M101">
        <v>737.71</v>
      </c>
      <c r="N101" t="s">
        <v>619</v>
      </c>
      <c r="O101">
        <v>39.5</v>
      </c>
      <c r="P101">
        <v>0.5</v>
      </c>
      <c r="R101" t="s">
        <v>617</v>
      </c>
      <c r="S101">
        <v>67.2</v>
      </c>
      <c r="T101" t="s">
        <v>235</v>
      </c>
    </row>
    <row r="102" spans="11:20" x14ac:dyDescent="0.3">
      <c r="K102" t="s">
        <v>615</v>
      </c>
      <c r="L102">
        <v>41.44</v>
      </c>
      <c r="M102">
        <v>734.64</v>
      </c>
      <c r="N102" t="s">
        <v>619</v>
      </c>
      <c r="O102">
        <v>39.4</v>
      </c>
      <c r="P102">
        <v>0.5</v>
      </c>
      <c r="R102" t="s">
        <v>617</v>
      </c>
      <c r="S102">
        <v>68.099999999999994</v>
      </c>
      <c r="T102" t="s">
        <v>235</v>
      </c>
    </row>
    <row r="103" spans="11:20" x14ac:dyDescent="0.3">
      <c r="K103" t="s">
        <v>615</v>
      </c>
      <c r="L103">
        <v>42.52</v>
      </c>
      <c r="M103">
        <v>772.33</v>
      </c>
      <c r="N103" t="s">
        <v>621</v>
      </c>
      <c r="O103">
        <v>61</v>
      </c>
      <c r="P103">
        <v>0.5</v>
      </c>
      <c r="R103" t="s">
        <v>617</v>
      </c>
      <c r="S103">
        <v>113</v>
      </c>
      <c r="T103" t="s">
        <v>235</v>
      </c>
    </row>
    <row r="104" spans="11:20" x14ac:dyDescent="0.3">
      <c r="K104" t="s">
        <v>615</v>
      </c>
      <c r="L104">
        <v>47.66</v>
      </c>
      <c r="M104">
        <v>972.34</v>
      </c>
      <c r="N104" t="s">
        <v>621</v>
      </c>
      <c r="O104">
        <v>71.099999999999994</v>
      </c>
      <c r="P104">
        <v>0.5</v>
      </c>
      <c r="R104" t="s">
        <v>617</v>
      </c>
      <c r="S104">
        <v>114.7</v>
      </c>
      <c r="T104" t="s">
        <v>235</v>
      </c>
    </row>
    <row r="105" spans="11:20" x14ac:dyDescent="0.3">
      <c r="K105" t="s">
        <v>615</v>
      </c>
      <c r="L105">
        <v>48.53</v>
      </c>
      <c r="M105">
        <v>1007.11</v>
      </c>
      <c r="N105" t="s">
        <v>621</v>
      </c>
      <c r="O105">
        <v>72.7</v>
      </c>
      <c r="P105">
        <v>0.5</v>
      </c>
      <c r="R105" t="s">
        <v>617</v>
      </c>
      <c r="S105">
        <v>124</v>
      </c>
      <c r="T105" t="s">
        <v>235</v>
      </c>
    </row>
    <row r="106" spans="11:20" x14ac:dyDescent="0.3">
      <c r="K106" t="s">
        <v>615</v>
      </c>
      <c r="L106">
        <v>54.59</v>
      </c>
      <c r="M106">
        <v>1272.3499999999999</v>
      </c>
      <c r="N106" t="s">
        <v>621</v>
      </c>
      <c r="O106">
        <v>84.6</v>
      </c>
      <c r="P106">
        <v>0.5</v>
      </c>
      <c r="R106" t="s">
        <v>617</v>
      </c>
      <c r="S106">
        <v>146</v>
      </c>
      <c r="T106" t="s">
        <v>235</v>
      </c>
    </row>
    <row r="107" spans="11:20" x14ac:dyDescent="0.3">
      <c r="K107" t="s">
        <v>615</v>
      </c>
      <c r="L107">
        <v>54.64</v>
      </c>
      <c r="M107">
        <v>1275.74</v>
      </c>
      <c r="N107" t="s">
        <v>621</v>
      </c>
      <c r="O107">
        <v>84.7</v>
      </c>
      <c r="P107">
        <v>0.5</v>
      </c>
      <c r="R107" t="s">
        <v>617</v>
      </c>
      <c r="S107">
        <v>157.69999999999999</v>
      </c>
      <c r="T107" t="s">
        <v>235</v>
      </c>
    </row>
    <row r="108" spans="11:20" x14ac:dyDescent="0.3">
      <c r="K108" t="s">
        <v>615</v>
      </c>
      <c r="L108">
        <v>54.74</v>
      </c>
      <c r="M108">
        <v>1279.3699999999999</v>
      </c>
      <c r="N108" t="s">
        <v>621</v>
      </c>
      <c r="O108">
        <v>84.2</v>
      </c>
      <c r="P108">
        <v>0.5</v>
      </c>
      <c r="R108" t="s">
        <v>617</v>
      </c>
      <c r="S108">
        <v>146.80000000000001</v>
      </c>
      <c r="T108" t="s">
        <v>235</v>
      </c>
    </row>
    <row r="109" spans="11:20" x14ac:dyDescent="0.3">
      <c r="K109" t="s">
        <v>615</v>
      </c>
      <c r="L109">
        <v>54.64</v>
      </c>
      <c r="M109">
        <v>1275.74</v>
      </c>
      <c r="N109" t="s">
        <v>621</v>
      </c>
      <c r="O109">
        <v>84.8</v>
      </c>
      <c r="P109">
        <v>0.5</v>
      </c>
      <c r="R109" t="s">
        <v>617</v>
      </c>
      <c r="S109">
        <v>149.5</v>
      </c>
      <c r="T109" t="s">
        <v>235</v>
      </c>
    </row>
    <row r="110" spans="11:20" x14ac:dyDescent="0.3">
      <c r="K110" t="s">
        <v>615</v>
      </c>
      <c r="L110">
        <v>42.5</v>
      </c>
      <c r="M110">
        <v>771.91</v>
      </c>
      <c r="N110" t="s">
        <v>619</v>
      </c>
      <c r="O110">
        <v>40.700000000000003</v>
      </c>
      <c r="P110">
        <v>0.5</v>
      </c>
      <c r="R110" t="s">
        <v>617</v>
      </c>
      <c r="S110">
        <v>70</v>
      </c>
      <c r="T110" t="s">
        <v>235</v>
      </c>
    </row>
    <row r="111" spans="11:20" x14ac:dyDescent="0.3">
      <c r="K111" t="s">
        <v>615</v>
      </c>
      <c r="L111">
        <v>31.51</v>
      </c>
      <c r="M111">
        <v>424.14</v>
      </c>
      <c r="N111" t="s">
        <v>616</v>
      </c>
      <c r="O111">
        <v>28</v>
      </c>
      <c r="P111">
        <v>0.5</v>
      </c>
      <c r="R111" t="s">
        <v>617</v>
      </c>
      <c r="S111">
        <v>52.8</v>
      </c>
      <c r="T111" t="s">
        <v>235</v>
      </c>
    </row>
    <row r="112" spans="11:20" x14ac:dyDescent="0.3">
      <c r="K112" t="s">
        <v>615</v>
      </c>
      <c r="L112">
        <v>38.270000000000003</v>
      </c>
      <c r="M112">
        <v>619.95000000000005</v>
      </c>
      <c r="N112" t="s">
        <v>616</v>
      </c>
      <c r="O112">
        <v>35.299999999999997</v>
      </c>
      <c r="P112">
        <v>0.5</v>
      </c>
      <c r="R112" t="s">
        <v>617</v>
      </c>
      <c r="S112">
        <v>65</v>
      </c>
      <c r="T112" t="s">
        <v>235</v>
      </c>
    </row>
    <row r="113" spans="11:20" x14ac:dyDescent="0.3">
      <c r="K113" t="s">
        <v>615</v>
      </c>
      <c r="L113">
        <v>42.52</v>
      </c>
      <c r="M113">
        <v>772.33</v>
      </c>
      <c r="N113" t="s">
        <v>621</v>
      </c>
      <c r="O113">
        <v>61.1</v>
      </c>
      <c r="P113">
        <v>0.5</v>
      </c>
      <c r="R113" t="s">
        <v>617</v>
      </c>
      <c r="S113">
        <v>113</v>
      </c>
      <c r="T113" t="s">
        <v>235</v>
      </c>
    </row>
    <row r="114" spans="11:20" x14ac:dyDescent="0.3">
      <c r="K114" t="s">
        <v>615</v>
      </c>
      <c r="L114">
        <v>49.5</v>
      </c>
      <c r="M114">
        <v>1046.3900000000001</v>
      </c>
      <c r="N114" t="s">
        <v>619</v>
      </c>
      <c r="O114">
        <v>49.7</v>
      </c>
      <c r="P114">
        <v>0.5</v>
      </c>
      <c r="R114" t="s">
        <v>666</v>
      </c>
      <c r="S114">
        <v>87.1</v>
      </c>
      <c r="T114" t="s">
        <v>235</v>
      </c>
    </row>
    <row r="115" spans="11:20" x14ac:dyDescent="0.3">
      <c r="K115" t="s">
        <v>615</v>
      </c>
      <c r="L115">
        <v>42.5</v>
      </c>
      <c r="M115">
        <v>771.91</v>
      </c>
      <c r="N115" t="s">
        <v>619</v>
      </c>
      <c r="O115">
        <v>40.700000000000003</v>
      </c>
      <c r="P115">
        <v>0.5</v>
      </c>
      <c r="R115" t="s">
        <v>663</v>
      </c>
      <c r="S115">
        <v>70</v>
      </c>
      <c r="T115" t="s">
        <v>235</v>
      </c>
    </row>
    <row r="116" spans="11:20" x14ac:dyDescent="0.3">
      <c r="K116" t="s">
        <v>615</v>
      </c>
      <c r="L116">
        <v>42.5</v>
      </c>
      <c r="M116">
        <v>771.91</v>
      </c>
      <c r="N116" t="s">
        <v>619</v>
      </c>
      <c r="O116">
        <v>40.700000000000003</v>
      </c>
      <c r="P116">
        <v>0.5</v>
      </c>
      <c r="R116" t="s">
        <v>663</v>
      </c>
      <c r="S116">
        <v>56</v>
      </c>
      <c r="T116" t="s">
        <v>235</v>
      </c>
    </row>
    <row r="117" spans="11:20" x14ac:dyDescent="0.3">
      <c r="K117" t="s">
        <v>615</v>
      </c>
      <c r="L117">
        <v>42.5</v>
      </c>
      <c r="M117">
        <v>771.91</v>
      </c>
      <c r="N117" t="s">
        <v>619</v>
      </c>
      <c r="O117">
        <v>40.700000000000003</v>
      </c>
      <c r="P117">
        <v>0.5</v>
      </c>
      <c r="R117" t="s">
        <v>663</v>
      </c>
      <c r="S117">
        <v>57</v>
      </c>
      <c r="T117" t="s">
        <v>235</v>
      </c>
    </row>
    <row r="118" spans="11:20" x14ac:dyDescent="0.3">
      <c r="K118" t="s">
        <v>615</v>
      </c>
      <c r="L118">
        <v>42.5</v>
      </c>
      <c r="M118">
        <v>771.91</v>
      </c>
      <c r="N118" t="s">
        <v>619</v>
      </c>
      <c r="O118">
        <v>40.700000000000003</v>
      </c>
      <c r="P118">
        <v>0.5</v>
      </c>
      <c r="R118" t="s">
        <v>617</v>
      </c>
      <c r="S118">
        <v>63.2</v>
      </c>
      <c r="T118" t="s">
        <v>235</v>
      </c>
    </row>
    <row r="119" spans="11:20" x14ac:dyDescent="0.3">
      <c r="K119" t="s">
        <v>615</v>
      </c>
      <c r="L119">
        <v>42.5</v>
      </c>
      <c r="M119">
        <v>771.91</v>
      </c>
      <c r="N119" t="s">
        <v>619</v>
      </c>
      <c r="O119">
        <v>40.700000000000003</v>
      </c>
      <c r="P119">
        <v>0.5</v>
      </c>
      <c r="R119" t="s">
        <v>617</v>
      </c>
      <c r="S119">
        <v>73.3</v>
      </c>
      <c r="T119" t="s">
        <v>235</v>
      </c>
    </row>
    <row r="120" spans="11:20" x14ac:dyDescent="0.3">
      <c r="K120" t="s">
        <v>615</v>
      </c>
      <c r="L120">
        <v>42.5</v>
      </c>
      <c r="M120">
        <v>771.91</v>
      </c>
      <c r="N120" t="s">
        <v>619</v>
      </c>
      <c r="O120">
        <v>40.700000000000003</v>
      </c>
      <c r="P120">
        <v>0.5</v>
      </c>
      <c r="R120" t="s">
        <v>617</v>
      </c>
      <c r="S120">
        <v>73.3</v>
      </c>
      <c r="T120" t="s">
        <v>235</v>
      </c>
    </row>
    <row r="121" spans="11:20" x14ac:dyDescent="0.3">
      <c r="K121" t="s">
        <v>615</v>
      </c>
      <c r="L121">
        <v>42.5</v>
      </c>
      <c r="M121">
        <v>771.91</v>
      </c>
      <c r="N121" t="s">
        <v>619</v>
      </c>
      <c r="O121">
        <v>40.700000000000003</v>
      </c>
      <c r="P121">
        <v>0.5</v>
      </c>
      <c r="R121" t="s">
        <v>617</v>
      </c>
      <c r="S121">
        <v>73.3</v>
      </c>
      <c r="T121" t="s">
        <v>235</v>
      </c>
    </row>
    <row r="122" spans="11:20" x14ac:dyDescent="0.3">
      <c r="K122" t="s">
        <v>615</v>
      </c>
      <c r="L122">
        <v>42.5</v>
      </c>
      <c r="M122">
        <v>771.91</v>
      </c>
      <c r="N122" t="s">
        <v>619</v>
      </c>
      <c r="O122">
        <v>40.700000000000003</v>
      </c>
      <c r="P122">
        <v>0.5</v>
      </c>
      <c r="R122" t="s">
        <v>663</v>
      </c>
      <c r="S122">
        <v>69.599999999999994</v>
      </c>
      <c r="T122" t="s">
        <v>235</v>
      </c>
    </row>
    <row r="123" spans="11:20" x14ac:dyDescent="0.3">
      <c r="K123" t="s">
        <v>615</v>
      </c>
      <c r="L123">
        <v>42.5</v>
      </c>
      <c r="M123">
        <v>771.91</v>
      </c>
      <c r="N123" t="s">
        <v>619</v>
      </c>
      <c r="O123">
        <v>40.700000000000003</v>
      </c>
      <c r="P123">
        <v>0.5</v>
      </c>
      <c r="R123" t="s">
        <v>663</v>
      </c>
      <c r="S123">
        <v>75.099999999999994</v>
      </c>
      <c r="T123" t="s">
        <v>235</v>
      </c>
    </row>
    <row r="124" spans="11:20" x14ac:dyDescent="0.3">
      <c r="K124" t="s">
        <v>615</v>
      </c>
      <c r="L124">
        <v>42.5</v>
      </c>
      <c r="M124">
        <v>771.91</v>
      </c>
      <c r="N124" t="s">
        <v>619</v>
      </c>
      <c r="O124">
        <v>40.700000000000003</v>
      </c>
      <c r="P124">
        <v>0.5</v>
      </c>
      <c r="R124" t="s">
        <v>663</v>
      </c>
      <c r="S124">
        <v>74</v>
      </c>
      <c r="T124" t="s">
        <v>235</v>
      </c>
    </row>
    <row r="125" spans="11:20" x14ac:dyDescent="0.3">
      <c r="K125" t="s">
        <v>615</v>
      </c>
      <c r="L125">
        <v>42.5</v>
      </c>
      <c r="M125">
        <v>771.91</v>
      </c>
      <c r="N125" t="s">
        <v>619</v>
      </c>
      <c r="O125">
        <v>40.700000000000003</v>
      </c>
      <c r="P125">
        <v>0.5</v>
      </c>
      <c r="R125" t="s">
        <v>663</v>
      </c>
      <c r="S125">
        <v>74.2</v>
      </c>
      <c r="T125" t="s">
        <v>235</v>
      </c>
    </row>
    <row r="126" spans="11:20" x14ac:dyDescent="0.3">
      <c r="K126" t="s">
        <v>615</v>
      </c>
      <c r="L126">
        <v>42.5</v>
      </c>
      <c r="M126">
        <v>771.91</v>
      </c>
      <c r="N126" t="s">
        <v>619</v>
      </c>
      <c r="O126">
        <v>40.700000000000003</v>
      </c>
      <c r="P126">
        <v>0.5</v>
      </c>
      <c r="R126" t="s">
        <v>663</v>
      </c>
      <c r="S126">
        <v>76</v>
      </c>
      <c r="T126" t="s">
        <v>235</v>
      </c>
    </row>
    <row r="127" spans="11:20" x14ac:dyDescent="0.3">
      <c r="K127" t="s">
        <v>615</v>
      </c>
      <c r="L127">
        <v>42.5</v>
      </c>
      <c r="M127">
        <v>771.91</v>
      </c>
      <c r="N127" t="s">
        <v>667</v>
      </c>
      <c r="O127">
        <v>61</v>
      </c>
      <c r="P127">
        <v>0.5</v>
      </c>
      <c r="Q127">
        <v>0.6</v>
      </c>
      <c r="R127" t="s">
        <v>663</v>
      </c>
      <c r="S127">
        <v>115</v>
      </c>
      <c r="T127" t="s">
        <v>235</v>
      </c>
    </row>
    <row r="128" spans="11:20" x14ac:dyDescent="0.3">
      <c r="K128" t="s">
        <v>615</v>
      </c>
      <c r="L128">
        <v>42.5</v>
      </c>
      <c r="M128">
        <v>771.91</v>
      </c>
      <c r="N128" t="s">
        <v>667</v>
      </c>
      <c r="O128">
        <v>61</v>
      </c>
      <c r="P128">
        <v>0.5</v>
      </c>
      <c r="Q128">
        <v>0.6</v>
      </c>
      <c r="R128" t="s">
        <v>663</v>
      </c>
      <c r="S128">
        <v>115</v>
      </c>
      <c r="T128" t="s">
        <v>235</v>
      </c>
    </row>
    <row r="129" spans="11:20" x14ac:dyDescent="0.3">
      <c r="K129" t="s">
        <v>615</v>
      </c>
      <c r="L129">
        <v>42.5</v>
      </c>
      <c r="M129">
        <v>771.91</v>
      </c>
      <c r="N129" t="s">
        <v>621</v>
      </c>
      <c r="O129">
        <v>61</v>
      </c>
      <c r="P129">
        <v>0.5</v>
      </c>
      <c r="R129" t="s">
        <v>663</v>
      </c>
      <c r="S129">
        <v>96</v>
      </c>
      <c r="T129" t="s">
        <v>235</v>
      </c>
    </row>
    <row r="130" spans="11:20" x14ac:dyDescent="0.3">
      <c r="K130" t="s">
        <v>615</v>
      </c>
      <c r="L130">
        <v>42.5</v>
      </c>
      <c r="M130">
        <v>771.91</v>
      </c>
      <c r="N130" t="s">
        <v>621</v>
      </c>
      <c r="O130">
        <v>61</v>
      </c>
      <c r="P130">
        <v>0.5</v>
      </c>
      <c r="R130" t="s">
        <v>663</v>
      </c>
      <c r="S130">
        <v>92</v>
      </c>
      <c r="T130" t="s">
        <v>235</v>
      </c>
    </row>
    <row r="131" spans="11:20" x14ac:dyDescent="0.3">
      <c r="K131" t="s">
        <v>615</v>
      </c>
      <c r="L131">
        <v>42.5</v>
      </c>
      <c r="M131">
        <v>771.91</v>
      </c>
      <c r="N131" t="s">
        <v>621</v>
      </c>
      <c r="O131">
        <v>61</v>
      </c>
      <c r="P131">
        <v>0.5</v>
      </c>
      <c r="Q131">
        <v>0.3</v>
      </c>
      <c r="R131" t="s">
        <v>663</v>
      </c>
      <c r="S131">
        <v>92</v>
      </c>
      <c r="T131" t="s">
        <v>235</v>
      </c>
    </row>
    <row r="132" spans="11:20" x14ac:dyDescent="0.3">
      <c r="K132" t="s">
        <v>615</v>
      </c>
      <c r="L132">
        <v>42.5</v>
      </c>
      <c r="M132">
        <v>771.91</v>
      </c>
      <c r="N132" t="s">
        <v>621</v>
      </c>
      <c r="O132">
        <v>61</v>
      </c>
      <c r="P132">
        <v>0.5</v>
      </c>
      <c r="Q132">
        <v>0.3</v>
      </c>
      <c r="R132" t="s">
        <v>663</v>
      </c>
      <c r="S132">
        <v>111</v>
      </c>
      <c r="T132" t="s">
        <v>235</v>
      </c>
    </row>
    <row r="133" spans="11:20" x14ac:dyDescent="0.3">
      <c r="K133" t="s">
        <v>615</v>
      </c>
      <c r="L133">
        <v>42.5</v>
      </c>
      <c r="M133">
        <v>771.91</v>
      </c>
      <c r="N133" t="s">
        <v>621</v>
      </c>
      <c r="O133">
        <v>61</v>
      </c>
      <c r="P133">
        <v>0.5</v>
      </c>
      <c r="R133" t="s">
        <v>663</v>
      </c>
      <c r="S133">
        <v>86</v>
      </c>
      <c r="T133" t="s">
        <v>235</v>
      </c>
    </row>
    <row r="134" spans="11:20" x14ac:dyDescent="0.3">
      <c r="K134" t="s">
        <v>615</v>
      </c>
      <c r="L134">
        <v>42.5</v>
      </c>
      <c r="M134">
        <v>771.91</v>
      </c>
      <c r="N134" t="s">
        <v>621</v>
      </c>
      <c r="O134">
        <v>61</v>
      </c>
      <c r="P134">
        <v>0.5</v>
      </c>
      <c r="R134" t="s">
        <v>663</v>
      </c>
      <c r="S134">
        <v>89</v>
      </c>
      <c r="T134" t="s">
        <v>235</v>
      </c>
    </row>
    <row r="135" spans="11:20" x14ac:dyDescent="0.3">
      <c r="K135" t="s">
        <v>615</v>
      </c>
      <c r="L135">
        <v>42.5</v>
      </c>
      <c r="M135">
        <v>771.91</v>
      </c>
      <c r="N135" t="s">
        <v>621</v>
      </c>
      <c r="O135">
        <v>61</v>
      </c>
      <c r="P135">
        <v>0.5</v>
      </c>
      <c r="R135" t="s">
        <v>663</v>
      </c>
      <c r="S135">
        <v>88</v>
      </c>
      <c r="T135" t="s">
        <v>235</v>
      </c>
    </row>
    <row r="136" spans="11:20" x14ac:dyDescent="0.3">
      <c r="K136" t="s">
        <v>615</v>
      </c>
      <c r="L136">
        <v>42.5</v>
      </c>
      <c r="M136">
        <v>771.91</v>
      </c>
      <c r="N136" t="s">
        <v>621</v>
      </c>
      <c r="O136">
        <v>61</v>
      </c>
      <c r="P136">
        <v>0.5</v>
      </c>
      <c r="R136" t="s">
        <v>663</v>
      </c>
      <c r="S136">
        <v>112</v>
      </c>
      <c r="T136" t="s">
        <v>235</v>
      </c>
    </row>
    <row r="137" spans="11:20" x14ac:dyDescent="0.3">
      <c r="K137" t="s">
        <v>615</v>
      </c>
      <c r="L137">
        <v>42.5</v>
      </c>
      <c r="M137">
        <v>771.91</v>
      </c>
      <c r="N137" t="s">
        <v>621</v>
      </c>
      <c r="O137">
        <v>61</v>
      </c>
      <c r="P137">
        <v>0.5</v>
      </c>
      <c r="R137" t="s">
        <v>663</v>
      </c>
      <c r="S137">
        <v>93</v>
      </c>
      <c r="T137" t="s">
        <v>235</v>
      </c>
    </row>
    <row r="138" spans="11:20" x14ac:dyDescent="0.3">
      <c r="K138" t="s">
        <v>615</v>
      </c>
      <c r="L138">
        <v>42.5</v>
      </c>
      <c r="M138">
        <v>771.91</v>
      </c>
      <c r="N138" t="s">
        <v>621</v>
      </c>
      <c r="O138">
        <v>61</v>
      </c>
      <c r="P138">
        <v>0.5</v>
      </c>
      <c r="R138" t="s">
        <v>663</v>
      </c>
      <c r="S138">
        <v>104.7</v>
      </c>
      <c r="T138" t="s">
        <v>235</v>
      </c>
    </row>
    <row r="139" spans="11:20" x14ac:dyDescent="0.3">
      <c r="K139" t="s">
        <v>615</v>
      </c>
      <c r="L139">
        <v>42.5</v>
      </c>
      <c r="M139">
        <v>771.91</v>
      </c>
      <c r="N139" t="s">
        <v>621</v>
      </c>
      <c r="O139">
        <v>61</v>
      </c>
      <c r="P139">
        <v>0.5</v>
      </c>
      <c r="R139" t="s">
        <v>617</v>
      </c>
      <c r="S139">
        <v>111.6</v>
      </c>
      <c r="T139" t="s">
        <v>235</v>
      </c>
    </row>
    <row r="140" spans="11:20" x14ac:dyDescent="0.3">
      <c r="K140" t="s">
        <v>615</v>
      </c>
      <c r="L140">
        <v>42.5</v>
      </c>
      <c r="M140">
        <v>771.91</v>
      </c>
      <c r="N140" t="s">
        <v>621</v>
      </c>
      <c r="O140">
        <v>61</v>
      </c>
      <c r="P140">
        <v>0.5</v>
      </c>
      <c r="R140" t="s">
        <v>617</v>
      </c>
      <c r="S140">
        <v>111.6</v>
      </c>
      <c r="T140" t="s">
        <v>235</v>
      </c>
    </row>
    <row r="141" spans="11:20" x14ac:dyDescent="0.3">
      <c r="K141" t="s">
        <v>615</v>
      </c>
      <c r="L141">
        <v>46.9</v>
      </c>
      <c r="M141">
        <v>939.83</v>
      </c>
      <c r="N141" t="s">
        <v>619</v>
      </c>
      <c r="O141">
        <v>46.3</v>
      </c>
      <c r="P141">
        <v>0.5</v>
      </c>
      <c r="R141" t="s">
        <v>663</v>
      </c>
      <c r="S141">
        <v>81</v>
      </c>
      <c r="T141" t="s">
        <v>235</v>
      </c>
    </row>
    <row r="142" spans="11:20" x14ac:dyDescent="0.3">
      <c r="K142" t="s">
        <v>615</v>
      </c>
      <c r="L142">
        <v>48.5</v>
      </c>
      <c r="M142">
        <v>1005.18</v>
      </c>
      <c r="N142" t="s">
        <v>619</v>
      </c>
      <c r="O142">
        <v>48.4</v>
      </c>
      <c r="P142">
        <v>0.5</v>
      </c>
      <c r="R142" t="s">
        <v>617</v>
      </c>
      <c r="S142">
        <v>86</v>
      </c>
      <c r="T142" t="s">
        <v>235</v>
      </c>
    </row>
    <row r="143" spans="11:20" x14ac:dyDescent="0.3">
      <c r="K143" t="s">
        <v>615</v>
      </c>
      <c r="L143">
        <v>48.5</v>
      </c>
      <c r="M143">
        <v>1005.18</v>
      </c>
      <c r="N143" t="s">
        <v>619</v>
      </c>
      <c r="O143">
        <v>48.4</v>
      </c>
      <c r="P143">
        <v>0.5</v>
      </c>
      <c r="R143" t="s">
        <v>617</v>
      </c>
      <c r="S143">
        <v>80.599999999999994</v>
      </c>
      <c r="T143" t="s">
        <v>235</v>
      </c>
    </row>
    <row r="144" spans="11:20" x14ac:dyDescent="0.3">
      <c r="K144" t="s">
        <v>615</v>
      </c>
      <c r="L144">
        <v>48.5</v>
      </c>
      <c r="M144">
        <v>1005.18</v>
      </c>
      <c r="N144" t="s">
        <v>619</v>
      </c>
      <c r="O144">
        <v>48.4</v>
      </c>
      <c r="P144">
        <v>0.5</v>
      </c>
      <c r="R144" t="s">
        <v>663</v>
      </c>
      <c r="S144">
        <v>87</v>
      </c>
      <c r="T144" t="s">
        <v>235</v>
      </c>
    </row>
    <row r="145" spans="11:20" x14ac:dyDescent="0.3">
      <c r="K145" t="s">
        <v>615</v>
      </c>
      <c r="L145">
        <v>48.5</v>
      </c>
      <c r="M145">
        <v>1005.18</v>
      </c>
      <c r="N145" t="s">
        <v>619</v>
      </c>
      <c r="O145">
        <v>48.4</v>
      </c>
      <c r="P145">
        <v>0.5</v>
      </c>
      <c r="R145" t="s">
        <v>663</v>
      </c>
      <c r="S145">
        <v>93</v>
      </c>
      <c r="T145" t="s">
        <v>235</v>
      </c>
    </row>
    <row r="146" spans="11:20" x14ac:dyDescent="0.3">
      <c r="K146" t="s">
        <v>615</v>
      </c>
      <c r="L146">
        <v>48.5</v>
      </c>
      <c r="M146">
        <v>1005.18</v>
      </c>
      <c r="N146" t="s">
        <v>619</v>
      </c>
      <c r="O146">
        <v>48.4</v>
      </c>
      <c r="P146">
        <v>0.5</v>
      </c>
      <c r="R146" t="s">
        <v>617</v>
      </c>
      <c r="S146">
        <v>73</v>
      </c>
      <c r="T146" t="s">
        <v>235</v>
      </c>
    </row>
    <row r="147" spans="11:20" x14ac:dyDescent="0.3">
      <c r="K147" t="s">
        <v>615</v>
      </c>
      <c r="L147">
        <v>48.5</v>
      </c>
      <c r="M147">
        <v>1005.18</v>
      </c>
      <c r="N147" t="s">
        <v>619</v>
      </c>
      <c r="O147">
        <v>48.4</v>
      </c>
      <c r="P147">
        <v>0.5</v>
      </c>
      <c r="Q147">
        <v>0.3</v>
      </c>
      <c r="R147" t="s">
        <v>663</v>
      </c>
      <c r="S147">
        <v>85</v>
      </c>
      <c r="T147" t="s">
        <v>235</v>
      </c>
    </row>
    <row r="148" spans="11:20" x14ac:dyDescent="0.3">
      <c r="K148" t="s">
        <v>615</v>
      </c>
      <c r="L148">
        <v>48.5</v>
      </c>
      <c r="M148">
        <v>1005.18</v>
      </c>
      <c r="N148" t="s">
        <v>619</v>
      </c>
      <c r="O148">
        <v>48.4</v>
      </c>
      <c r="P148">
        <v>0.5</v>
      </c>
      <c r="R148" t="s">
        <v>663</v>
      </c>
      <c r="S148">
        <v>81</v>
      </c>
      <c r="T148" t="s">
        <v>235</v>
      </c>
    </row>
    <row r="149" spans="11:20" x14ac:dyDescent="0.3">
      <c r="K149" t="s">
        <v>615</v>
      </c>
      <c r="L149">
        <v>48.5</v>
      </c>
      <c r="M149">
        <v>1005.18</v>
      </c>
      <c r="N149" t="s">
        <v>619</v>
      </c>
      <c r="O149">
        <v>48.4</v>
      </c>
      <c r="P149">
        <v>0.5</v>
      </c>
      <c r="R149" t="s">
        <v>663</v>
      </c>
      <c r="S149">
        <v>89</v>
      </c>
      <c r="T149" t="s">
        <v>235</v>
      </c>
    </row>
    <row r="150" spans="11:20" x14ac:dyDescent="0.3">
      <c r="K150" t="s">
        <v>615</v>
      </c>
      <c r="L150">
        <v>48.5</v>
      </c>
      <c r="M150">
        <v>1005.18</v>
      </c>
      <c r="N150" t="s">
        <v>619</v>
      </c>
      <c r="O150">
        <v>48.4</v>
      </c>
      <c r="P150">
        <v>0.5</v>
      </c>
      <c r="R150" t="s">
        <v>663</v>
      </c>
      <c r="S150">
        <v>78</v>
      </c>
      <c r="T150" t="s">
        <v>235</v>
      </c>
    </row>
    <row r="151" spans="11:20" x14ac:dyDescent="0.3">
      <c r="K151" t="s">
        <v>615</v>
      </c>
      <c r="L151">
        <v>48.5</v>
      </c>
      <c r="M151">
        <v>1005.18</v>
      </c>
      <c r="N151" t="s">
        <v>619</v>
      </c>
      <c r="O151">
        <v>48.4</v>
      </c>
      <c r="P151">
        <v>0.5</v>
      </c>
      <c r="R151" t="s">
        <v>663</v>
      </c>
      <c r="S151">
        <v>89</v>
      </c>
      <c r="T151" t="s">
        <v>235</v>
      </c>
    </row>
    <row r="152" spans="11:20" x14ac:dyDescent="0.3">
      <c r="K152" t="s">
        <v>615</v>
      </c>
      <c r="L152">
        <v>48.5</v>
      </c>
      <c r="M152">
        <v>1005.18</v>
      </c>
      <c r="N152" t="s">
        <v>619</v>
      </c>
      <c r="O152">
        <v>48.4</v>
      </c>
      <c r="P152">
        <v>0.5</v>
      </c>
      <c r="R152" t="s">
        <v>663</v>
      </c>
      <c r="S152">
        <v>62</v>
      </c>
      <c r="T152" t="s">
        <v>235</v>
      </c>
    </row>
    <row r="153" spans="11:20" x14ac:dyDescent="0.3">
      <c r="K153" t="s">
        <v>615</v>
      </c>
      <c r="L153">
        <v>48.5</v>
      </c>
      <c r="M153">
        <v>1005.18</v>
      </c>
      <c r="N153" t="s">
        <v>619</v>
      </c>
      <c r="O153">
        <v>48.4</v>
      </c>
      <c r="P153">
        <v>0.5</v>
      </c>
      <c r="R153" t="s">
        <v>663</v>
      </c>
      <c r="S153">
        <v>67</v>
      </c>
      <c r="T153" t="s">
        <v>235</v>
      </c>
    </row>
    <row r="154" spans="11:20" x14ac:dyDescent="0.3">
      <c r="K154" t="s">
        <v>615</v>
      </c>
      <c r="L154">
        <v>48.5</v>
      </c>
      <c r="M154">
        <v>1005.18</v>
      </c>
      <c r="N154" t="s">
        <v>619</v>
      </c>
      <c r="O154">
        <v>48.4</v>
      </c>
      <c r="P154">
        <v>0.5</v>
      </c>
      <c r="R154" t="s">
        <v>617</v>
      </c>
      <c r="S154">
        <v>73.3</v>
      </c>
      <c r="T154" t="s">
        <v>235</v>
      </c>
    </row>
    <row r="155" spans="11:20" x14ac:dyDescent="0.3">
      <c r="K155" t="s">
        <v>615</v>
      </c>
      <c r="L155">
        <v>48.5</v>
      </c>
      <c r="M155">
        <v>1005.18</v>
      </c>
      <c r="N155" t="s">
        <v>619</v>
      </c>
      <c r="O155">
        <v>48.4</v>
      </c>
      <c r="P155">
        <v>0.5</v>
      </c>
      <c r="R155" t="s">
        <v>617</v>
      </c>
      <c r="S155">
        <v>86</v>
      </c>
      <c r="T155" t="s">
        <v>235</v>
      </c>
    </row>
    <row r="156" spans="11:20" x14ac:dyDescent="0.3">
      <c r="K156" t="s">
        <v>615</v>
      </c>
      <c r="L156">
        <v>64.55</v>
      </c>
      <c r="M156">
        <v>1782.41</v>
      </c>
      <c r="N156" t="s">
        <v>621</v>
      </c>
      <c r="O156">
        <v>102.9</v>
      </c>
      <c r="P156">
        <v>0.5</v>
      </c>
      <c r="R156" t="s">
        <v>617</v>
      </c>
      <c r="S156">
        <v>176</v>
      </c>
      <c r="T156" t="s">
        <v>235</v>
      </c>
    </row>
    <row r="157" spans="11:20" x14ac:dyDescent="0.3">
      <c r="K157" t="s">
        <v>615</v>
      </c>
      <c r="L157">
        <v>64.53</v>
      </c>
      <c r="M157">
        <v>1778.87</v>
      </c>
      <c r="N157" t="s">
        <v>621</v>
      </c>
      <c r="O157">
        <v>102.8</v>
      </c>
      <c r="P157">
        <v>0.5</v>
      </c>
      <c r="R157" t="s">
        <v>617</v>
      </c>
      <c r="S157">
        <v>186</v>
      </c>
      <c r="T157" t="s">
        <v>235</v>
      </c>
    </row>
    <row r="158" spans="11:20" x14ac:dyDescent="0.3">
      <c r="K158" t="s">
        <v>615</v>
      </c>
      <c r="L158">
        <v>64.53</v>
      </c>
      <c r="M158">
        <v>1778.87</v>
      </c>
      <c r="N158" t="s">
        <v>621</v>
      </c>
      <c r="O158">
        <v>102.8</v>
      </c>
      <c r="P158">
        <v>0.5</v>
      </c>
      <c r="R158" t="s">
        <v>617</v>
      </c>
      <c r="S158">
        <v>189.6</v>
      </c>
      <c r="T158" t="s">
        <v>235</v>
      </c>
    </row>
    <row r="159" spans="11:20" x14ac:dyDescent="0.3">
      <c r="K159" t="s">
        <v>615</v>
      </c>
      <c r="L159">
        <v>31.52</v>
      </c>
      <c r="M159">
        <v>424.02</v>
      </c>
      <c r="N159" t="s">
        <v>616</v>
      </c>
      <c r="O159">
        <v>28</v>
      </c>
      <c r="P159">
        <v>0.5</v>
      </c>
      <c r="R159" t="s">
        <v>617</v>
      </c>
      <c r="S159">
        <v>43.9</v>
      </c>
      <c r="T159" t="s">
        <v>235</v>
      </c>
    </row>
    <row r="160" spans="11:20" x14ac:dyDescent="0.3">
      <c r="K160" t="s">
        <v>615</v>
      </c>
      <c r="L160">
        <v>31.35</v>
      </c>
      <c r="M160">
        <v>418.88</v>
      </c>
      <c r="N160" t="s">
        <v>616</v>
      </c>
      <c r="O160">
        <v>27.8</v>
      </c>
      <c r="P160">
        <v>0.5</v>
      </c>
      <c r="R160" t="s">
        <v>617</v>
      </c>
      <c r="S160">
        <v>50.4</v>
      </c>
      <c r="T160" t="s">
        <v>235</v>
      </c>
    </row>
    <row r="161" spans="11:20" x14ac:dyDescent="0.3">
      <c r="K161" t="s">
        <v>615</v>
      </c>
      <c r="L161">
        <v>31.5</v>
      </c>
      <c r="M161">
        <v>424.14</v>
      </c>
      <c r="N161" t="s">
        <v>616</v>
      </c>
      <c r="O161">
        <v>20.91</v>
      </c>
      <c r="P161">
        <v>0.5</v>
      </c>
      <c r="R161" t="s">
        <v>663</v>
      </c>
      <c r="S161">
        <v>40</v>
      </c>
      <c r="T161" t="s">
        <v>235</v>
      </c>
    </row>
    <row r="162" spans="11:20" x14ac:dyDescent="0.3">
      <c r="K162" t="s">
        <v>615</v>
      </c>
      <c r="L162">
        <v>38.57</v>
      </c>
      <c r="M162">
        <v>635.75</v>
      </c>
      <c r="N162" t="s">
        <v>619</v>
      </c>
      <c r="O162">
        <v>35.85</v>
      </c>
      <c r="P162">
        <v>0.5</v>
      </c>
      <c r="R162" t="s">
        <v>663</v>
      </c>
      <c r="S162">
        <v>68.7</v>
      </c>
      <c r="T162" t="s">
        <v>235</v>
      </c>
    </row>
    <row r="163" spans="11:20" x14ac:dyDescent="0.3">
      <c r="K163" t="s">
        <v>615</v>
      </c>
      <c r="L163">
        <v>39.94</v>
      </c>
      <c r="M163">
        <v>682.43</v>
      </c>
      <c r="N163" t="s">
        <v>619</v>
      </c>
      <c r="O163">
        <v>37.5</v>
      </c>
      <c r="P163">
        <v>0.5</v>
      </c>
      <c r="R163" t="s">
        <v>617</v>
      </c>
      <c r="S163">
        <v>70.5</v>
      </c>
      <c r="T163" t="s">
        <v>235</v>
      </c>
    </row>
    <row r="164" spans="11:20" x14ac:dyDescent="0.3">
      <c r="K164" t="s">
        <v>615</v>
      </c>
      <c r="L164">
        <v>39.53</v>
      </c>
      <c r="M164">
        <v>662.71</v>
      </c>
      <c r="N164" t="s">
        <v>619</v>
      </c>
      <c r="O164">
        <v>36.799999999999997</v>
      </c>
      <c r="P164">
        <v>0.5</v>
      </c>
      <c r="R164" t="s">
        <v>617</v>
      </c>
      <c r="S164">
        <v>67.599999999999994</v>
      </c>
      <c r="T164" t="s">
        <v>235</v>
      </c>
    </row>
    <row r="165" spans="11:20" x14ac:dyDescent="0.3">
      <c r="K165" t="s">
        <v>615</v>
      </c>
      <c r="L165">
        <v>40</v>
      </c>
      <c r="M165">
        <v>696.4</v>
      </c>
      <c r="N165" t="s">
        <v>619</v>
      </c>
      <c r="O165">
        <v>38</v>
      </c>
      <c r="P165">
        <v>0.5</v>
      </c>
      <c r="R165" t="s">
        <v>617</v>
      </c>
      <c r="S165">
        <v>65.599999999999994</v>
      </c>
      <c r="T165" t="s">
        <v>235</v>
      </c>
    </row>
    <row r="166" spans="11:20" x14ac:dyDescent="0.3">
      <c r="K166" t="s">
        <v>615</v>
      </c>
      <c r="L166">
        <v>39.51</v>
      </c>
      <c r="M166">
        <v>661.32</v>
      </c>
      <c r="N166" t="s">
        <v>619</v>
      </c>
      <c r="O166">
        <v>36.799999999999997</v>
      </c>
      <c r="P166">
        <v>0.5</v>
      </c>
      <c r="R166" t="s">
        <v>617</v>
      </c>
      <c r="S166">
        <v>65.8</v>
      </c>
      <c r="T166" t="s">
        <v>235</v>
      </c>
    </row>
    <row r="167" spans="11:20" x14ac:dyDescent="0.3">
      <c r="K167" t="s">
        <v>615</v>
      </c>
      <c r="L167">
        <v>31.52</v>
      </c>
      <c r="M167">
        <v>773.23</v>
      </c>
      <c r="N167" t="s">
        <v>619</v>
      </c>
      <c r="O167">
        <v>40.700000000000003</v>
      </c>
      <c r="P167">
        <v>0.5</v>
      </c>
      <c r="R167" t="s">
        <v>617</v>
      </c>
      <c r="S167">
        <v>70.400000000000006</v>
      </c>
      <c r="T167" t="s">
        <v>235</v>
      </c>
    </row>
    <row r="168" spans="11:20" x14ac:dyDescent="0.3">
      <c r="K168" t="s">
        <v>615</v>
      </c>
      <c r="L168">
        <v>48.5</v>
      </c>
      <c r="M168">
        <v>1005.42</v>
      </c>
      <c r="N168" t="s">
        <v>619</v>
      </c>
      <c r="O168">
        <v>48.4</v>
      </c>
      <c r="P168">
        <v>0.5</v>
      </c>
      <c r="R168" t="s">
        <v>617</v>
      </c>
      <c r="S168">
        <v>87.7</v>
      </c>
      <c r="T168" t="s">
        <v>235</v>
      </c>
    </row>
    <row r="169" spans="11:20" x14ac:dyDescent="0.3">
      <c r="K169" t="s">
        <v>615</v>
      </c>
      <c r="L169">
        <v>40</v>
      </c>
      <c r="M169">
        <v>683.8</v>
      </c>
      <c r="N169" t="s">
        <v>619</v>
      </c>
      <c r="O169">
        <v>37.6</v>
      </c>
      <c r="P169">
        <v>0.5</v>
      </c>
      <c r="R169" t="s">
        <v>617</v>
      </c>
      <c r="S169">
        <v>70.8</v>
      </c>
      <c r="T169" t="s">
        <v>235</v>
      </c>
    </row>
    <row r="170" spans="11:20" x14ac:dyDescent="0.3">
      <c r="K170" t="s">
        <v>615</v>
      </c>
      <c r="L170">
        <v>39.49</v>
      </c>
      <c r="M170">
        <v>659.94</v>
      </c>
      <c r="N170" t="s">
        <v>619</v>
      </c>
      <c r="O170">
        <v>36.700000000000003</v>
      </c>
      <c r="P170">
        <v>0.5</v>
      </c>
      <c r="R170" t="s">
        <v>617</v>
      </c>
      <c r="S170">
        <v>67.2</v>
      </c>
      <c r="T170" t="s">
        <v>235</v>
      </c>
    </row>
    <row r="171" spans="11:20" x14ac:dyDescent="0.3">
      <c r="K171" t="s">
        <v>615</v>
      </c>
      <c r="L171">
        <v>42.5</v>
      </c>
      <c r="M171">
        <v>771.57</v>
      </c>
      <c r="N171" t="s">
        <v>619</v>
      </c>
      <c r="O171">
        <v>40.700000000000003</v>
      </c>
      <c r="P171">
        <v>0.5</v>
      </c>
      <c r="R171" t="s">
        <v>617</v>
      </c>
      <c r="S171">
        <v>70.3</v>
      </c>
      <c r="T171" t="s">
        <v>235</v>
      </c>
    </row>
    <row r="172" spans="11:20" x14ac:dyDescent="0.3">
      <c r="K172" t="s">
        <v>615</v>
      </c>
      <c r="L172">
        <v>39.5</v>
      </c>
      <c r="M172">
        <v>660.29</v>
      </c>
      <c r="N172" t="s">
        <v>619</v>
      </c>
      <c r="O172">
        <v>36.729999999999997</v>
      </c>
      <c r="P172">
        <v>0.5</v>
      </c>
      <c r="R172" t="s">
        <v>617</v>
      </c>
      <c r="S172">
        <v>63</v>
      </c>
      <c r="T172" t="s">
        <v>235</v>
      </c>
    </row>
    <row r="173" spans="11:20" x14ac:dyDescent="0.3">
      <c r="K173" t="s">
        <v>615</v>
      </c>
      <c r="L173">
        <v>49.5</v>
      </c>
      <c r="M173">
        <v>1047.01</v>
      </c>
      <c r="N173" t="s">
        <v>619</v>
      </c>
      <c r="O173">
        <v>49.7</v>
      </c>
      <c r="P173">
        <v>0.5</v>
      </c>
      <c r="R173" t="s">
        <v>617</v>
      </c>
      <c r="S173">
        <v>79.900000000000006</v>
      </c>
      <c r="T173" t="s">
        <v>235</v>
      </c>
    </row>
    <row r="174" spans="11:20" x14ac:dyDescent="0.3">
      <c r="K174" t="s">
        <v>615</v>
      </c>
      <c r="L174">
        <v>54.64</v>
      </c>
      <c r="M174">
        <v>1275.74</v>
      </c>
      <c r="N174" t="s">
        <v>619</v>
      </c>
      <c r="O174">
        <v>56.5</v>
      </c>
      <c r="P174">
        <v>0.5</v>
      </c>
      <c r="R174" t="s">
        <v>617</v>
      </c>
      <c r="S174">
        <v>99.7</v>
      </c>
      <c r="T174" t="s">
        <v>235</v>
      </c>
    </row>
    <row r="175" spans="11:20" x14ac:dyDescent="0.3">
      <c r="K175" t="s">
        <v>615</v>
      </c>
      <c r="L175">
        <v>39.71</v>
      </c>
      <c r="M175">
        <v>665.72</v>
      </c>
      <c r="N175" t="s">
        <v>619</v>
      </c>
      <c r="O175">
        <v>36.9</v>
      </c>
      <c r="P175">
        <v>0.5</v>
      </c>
      <c r="R175" t="s">
        <v>617</v>
      </c>
      <c r="S175">
        <v>59.6</v>
      </c>
      <c r="T175" t="s">
        <v>235</v>
      </c>
    </row>
    <row r="176" spans="11:20" x14ac:dyDescent="0.3">
      <c r="K176" t="s">
        <v>615</v>
      </c>
      <c r="L176">
        <v>31.47</v>
      </c>
      <c r="M176">
        <v>423.88</v>
      </c>
      <c r="N176" t="s">
        <v>616</v>
      </c>
      <c r="O176">
        <v>28</v>
      </c>
      <c r="P176">
        <v>0.5</v>
      </c>
      <c r="R176" t="s">
        <v>617</v>
      </c>
      <c r="S176">
        <v>44.6</v>
      </c>
      <c r="T176" t="s">
        <v>235</v>
      </c>
    </row>
    <row r="177" spans="11:20" x14ac:dyDescent="0.3">
      <c r="K177" t="s">
        <v>615</v>
      </c>
      <c r="L177">
        <v>42.52</v>
      </c>
      <c r="M177">
        <v>772.33</v>
      </c>
      <c r="N177" t="s">
        <v>621</v>
      </c>
      <c r="O177">
        <v>61</v>
      </c>
      <c r="P177">
        <v>0.5</v>
      </c>
      <c r="R177" t="s">
        <v>663</v>
      </c>
      <c r="S177">
        <v>113.9</v>
      </c>
      <c r="T177" t="s">
        <v>235</v>
      </c>
    </row>
    <row r="178" spans="11:20" x14ac:dyDescent="0.3">
      <c r="K178" t="s">
        <v>615</v>
      </c>
      <c r="L178">
        <v>54.64</v>
      </c>
      <c r="M178">
        <v>1278.8900000000001</v>
      </c>
      <c r="N178" t="s">
        <v>621</v>
      </c>
      <c r="O178">
        <v>84.9</v>
      </c>
      <c r="P178">
        <v>0.5</v>
      </c>
      <c r="R178" t="s">
        <v>663</v>
      </c>
      <c r="S178">
        <v>157.69999999999999</v>
      </c>
      <c r="T178" t="s">
        <v>235</v>
      </c>
    </row>
    <row r="179" spans="11:20" x14ac:dyDescent="0.3">
      <c r="K179" t="s">
        <v>615</v>
      </c>
      <c r="L179">
        <v>64.53</v>
      </c>
      <c r="M179">
        <v>1778.87</v>
      </c>
      <c r="N179" t="s">
        <v>621</v>
      </c>
      <c r="O179">
        <v>102.9</v>
      </c>
      <c r="P179">
        <v>0.5</v>
      </c>
      <c r="R179" t="s">
        <v>663</v>
      </c>
      <c r="S179">
        <v>186.9</v>
      </c>
      <c r="T179" t="s">
        <v>235</v>
      </c>
    </row>
    <row r="180" spans="11:20" x14ac:dyDescent="0.3">
      <c r="K180" t="s">
        <v>615</v>
      </c>
      <c r="L180">
        <v>21.5</v>
      </c>
      <c r="M180">
        <v>197.6</v>
      </c>
      <c r="N180" t="s">
        <v>619</v>
      </c>
      <c r="O180">
        <v>19.2</v>
      </c>
      <c r="P180">
        <v>0.5</v>
      </c>
      <c r="R180" t="s">
        <v>617</v>
      </c>
      <c r="S180">
        <v>34.700000000000003</v>
      </c>
      <c r="T180" t="s">
        <v>235</v>
      </c>
    </row>
    <row r="181" spans="11:20" x14ac:dyDescent="0.3">
      <c r="K181" t="s">
        <v>615</v>
      </c>
      <c r="L181">
        <v>21.5</v>
      </c>
      <c r="M181">
        <v>197.6</v>
      </c>
      <c r="N181" t="s">
        <v>619</v>
      </c>
      <c r="O181">
        <v>19.2</v>
      </c>
      <c r="P181">
        <v>0.5</v>
      </c>
      <c r="R181" t="s">
        <v>617</v>
      </c>
      <c r="S181">
        <v>36.4</v>
      </c>
      <c r="T181" t="s">
        <v>235</v>
      </c>
    </row>
    <row r="182" spans="11:20" x14ac:dyDescent="0.3">
      <c r="K182" t="s">
        <v>615</v>
      </c>
      <c r="L182">
        <v>21.5</v>
      </c>
      <c r="M182">
        <v>197.6</v>
      </c>
      <c r="N182" t="s">
        <v>616</v>
      </c>
      <c r="O182">
        <v>19.2</v>
      </c>
      <c r="P182">
        <v>0.5</v>
      </c>
      <c r="R182" t="s">
        <v>617</v>
      </c>
      <c r="S182">
        <v>34.6</v>
      </c>
      <c r="T182" t="s">
        <v>235</v>
      </c>
    </row>
    <row r="183" spans="11:20" x14ac:dyDescent="0.3">
      <c r="K183" t="s">
        <v>615</v>
      </c>
      <c r="L183">
        <v>21.5</v>
      </c>
      <c r="M183">
        <v>197.6</v>
      </c>
      <c r="N183" t="s">
        <v>619</v>
      </c>
      <c r="O183">
        <v>19.2</v>
      </c>
      <c r="P183">
        <v>0.5</v>
      </c>
      <c r="R183" t="s">
        <v>617</v>
      </c>
      <c r="S183">
        <v>33.799999999999997</v>
      </c>
      <c r="T183" t="s">
        <v>235</v>
      </c>
    </row>
    <row r="184" spans="11:20" x14ac:dyDescent="0.3">
      <c r="K184" t="s">
        <v>615</v>
      </c>
      <c r="L184">
        <v>21.5</v>
      </c>
      <c r="M184">
        <v>197.52</v>
      </c>
      <c r="N184" t="s">
        <v>616</v>
      </c>
      <c r="O184">
        <v>19.2</v>
      </c>
      <c r="P184">
        <v>0.5</v>
      </c>
      <c r="R184" t="s">
        <v>663</v>
      </c>
      <c r="S184">
        <v>38</v>
      </c>
      <c r="T184" t="s">
        <v>235</v>
      </c>
    </row>
    <row r="185" spans="11:20" x14ac:dyDescent="0.3">
      <c r="K185" t="s">
        <v>615</v>
      </c>
      <c r="L185">
        <v>23.6</v>
      </c>
      <c r="M185">
        <v>236.98</v>
      </c>
      <c r="N185" t="s">
        <v>616</v>
      </c>
      <c r="O185">
        <v>20.8</v>
      </c>
      <c r="P185">
        <v>0.5</v>
      </c>
      <c r="R185" t="s">
        <v>617</v>
      </c>
      <c r="S185">
        <v>36.9</v>
      </c>
      <c r="T185" t="s">
        <v>235</v>
      </c>
    </row>
    <row r="186" spans="11:20" x14ac:dyDescent="0.3">
      <c r="K186" t="s">
        <v>615</v>
      </c>
      <c r="L186">
        <v>23.6</v>
      </c>
      <c r="M186">
        <v>236.98</v>
      </c>
      <c r="N186" t="s">
        <v>616</v>
      </c>
      <c r="O186">
        <v>20.8</v>
      </c>
      <c r="P186">
        <v>0.5</v>
      </c>
      <c r="R186" t="s">
        <v>617</v>
      </c>
      <c r="S186">
        <v>38.200000000000003</v>
      </c>
      <c r="T186" t="s">
        <v>235</v>
      </c>
    </row>
    <row r="187" spans="11:20" x14ac:dyDescent="0.3">
      <c r="K187" t="s">
        <v>615</v>
      </c>
      <c r="L187">
        <v>23.6</v>
      </c>
      <c r="M187">
        <v>236.98</v>
      </c>
      <c r="N187" t="s">
        <v>616</v>
      </c>
      <c r="O187">
        <v>20.8</v>
      </c>
      <c r="P187">
        <v>0.5</v>
      </c>
      <c r="R187" t="s">
        <v>617</v>
      </c>
      <c r="S187">
        <v>30.6</v>
      </c>
      <c r="T187" t="s">
        <v>235</v>
      </c>
    </row>
    <row r="188" spans="11:20" x14ac:dyDescent="0.3">
      <c r="K188" t="s">
        <v>615</v>
      </c>
      <c r="L188">
        <v>23.8</v>
      </c>
      <c r="M188">
        <v>242.18</v>
      </c>
      <c r="N188" t="s">
        <v>619</v>
      </c>
      <c r="O188">
        <v>21</v>
      </c>
      <c r="P188">
        <v>0.5</v>
      </c>
      <c r="R188" t="s">
        <v>663</v>
      </c>
      <c r="S188">
        <v>39.9</v>
      </c>
      <c r="T188" t="s">
        <v>235</v>
      </c>
    </row>
    <row r="189" spans="11:20" x14ac:dyDescent="0.3">
      <c r="K189" t="s">
        <v>615</v>
      </c>
      <c r="L189">
        <v>23.6</v>
      </c>
      <c r="M189">
        <v>236.98</v>
      </c>
      <c r="N189" t="s">
        <v>619</v>
      </c>
      <c r="O189">
        <v>20.8</v>
      </c>
      <c r="P189">
        <v>0.5</v>
      </c>
      <c r="R189" t="s">
        <v>617</v>
      </c>
      <c r="S189">
        <v>34.700000000000003</v>
      </c>
      <c r="T189" t="s">
        <v>235</v>
      </c>
    </row>
    <row r="190" spans="11:20" x14ac:dyDescent="0.3">
      <c r="K190" t="s">
        <v>615</v>
      </c>
      <c r="L190">
        <v>23.6</v>
      </c>
      <c r="M190">
        <v>236.98</v>
      </c>
      <c r="N190" t="s">
        <v>616</v>
      </c>
      <c r="O190">
        <v>20.8</v>
      </c>
      <c r="P190">
        <v>0.5</v>
      </c>
      <c r="R190" t="s">
        <v>663</v>
      </c>
      <c r="S190">
        <v>39.700000000000003</v>
      </c>
      <c r="T190" t="s">
        <v>235</v>
      </c>
    </row>
    <row r="191" spans="11:20" x14ac:dyDescent="0.3">
      <c r="K191" t="s">
        <v>615</v>
      </c>
      <c r="L191">
        <v>23.6</v>
      </c>
      <c r="M191">
        <v>236.98</v>
      </c>
      <c r="N191" t="s">
        <v>616</v>
      </c>
      <c r="O191">
        <v>20.8</v>
      </c>
      <c r="P191">
        <v>0.5</v>
      </c>
      <c r="R191" t="s">
        <v>617</v>
      </c>
      <c r="S191">
        <v>36.9</v>
      </c>
      <c r="T191" t="s">
        <v>235</v>
      </c>
    </row>
    <row r="192" spans="11:20" x14ac:dyDescent="0.3">
      <c r="K192" t="s">
        <v>615</v>
      </c>
      <c r="L192">
        <v>23.5</v>
      </c>
      <c r="M192">
        <v>235.75</v>
      </c>
      <c r="N192" t="s">
        <v>616</v>
      </c>
      <c r="O192">
        <v>20.7</v>
      </c>
      <c r="P192">
        <v>0.5</v>
      </c>
      <c r="R192" t="s">
        <v>663</v>
      </c>
      <c r="S192">
        <v>39</v>
      </c>
      <c r="T192" t="s">
        <v>235</v>
      </c>
    </row>
    <row r="193" spans="11:20" x14ac:dyDescent="0.3">
      <c r="K193" t="s">
        <v>615</v>
      </c>
      <c r="L193">
        <v>27.5</v>
      </c>
      <c r="M193">
        <v>324.89999999999998</v>
      </c>
      <c r="N193" t="s">
        <v>616</v>
      </c>
      <c r="O193">
        <v>24.2</v>
      </c>
      <c r="P193">
        <v>0.5</v>
      </c>
      <c r="R193" t="s">
        <v>617</v>
      </c>
      <c r="S193">
        <v>38.200000000000003</v>
      </c>
      <c r="T193" t="s">
        <v>235</v>
      </c>
    </row>
    <row r="194" spans="11:20" x14ac:dyDescent="0.3">
      <c r="K194" t="s">
        <v>615</v>
      </c>
      <c r="L194">
        <v>27.5</v>
      </c>
      <c r="M194">
        <v>324.89999999999998</v>
      </c>
      <c r="N194" t="s">
        <v>616</v>
      </c>
      <c r="O194">
        <v>24.2</v>
      </c>
      <c r="P194">
        <v>0.5</v>
      </c>
      <c r="R194" t="s">
        <v>617</v>
      </c>
      <c r="S194">
        <v>38.200000000000003</v>
      </c>
      <c r="T194" t="s">
        <v>235</v>
      </c>
    </row>
    <row r="195" spans="11:20" x14ac:dyDescent="0.3">
      <c r="K195" t="s">
        <v>615</v>
      </c>
      <c r="L195">
        <v>27.5</v>
      </c>
      <c r="M195">
        <v>324.89999999999998</v>
      </c>
      <c r="N195" t="s">
        <v>616</v>
      </c>
      <c r="O195">
        <v>24.2</v>
      </c>
      <c r="P195">
        <v>0.5</v>
      </c>
      <c r="R195" t="s">
        <v>617</v>
      </c>
      <c r="S195">
        <v>37.299999999999997</v>
      </c>
      <c r="T195" t="s">
        <v>235</v>
      </c>
    </row>
    <row r="196" spans="11:20" x14ac:dyDescent="0.3">
      <c r="K196" t="s">
        <v>615</v>
      </c>
      <c r="L196">
        <v>27.5</v>
      </c>
      <c r="M196">
        <v>323.12</v>
      </c>
      <c r="N196" t="s">
        <v>616</v>
      </c>
      <c r="O196">
        <v>24.1</v>
      </c>
      <c r="P196">
        <v>0.5</v>
      </c>
      <c r="R196" t="s">
        <v>663</v>
      </c>
      <c r="S196">
        <v>46</v>
      </c>
      <c r="T196" t="s">
        <v>235</v>
      </c>
    </row>
    <row r="197" spans="11:20" x14ac:dyDescent="0.3">
      <c r="K197" t="s">
        <v>615</v>
      </c>
      <c r="L197">
        <v>27.5</v>
      </c>
      <c r="M197">
        <v>323.12</v>
      </c>
      <c r="N197" t="s">
        <v>616</v>
      </c>
      <c r="O197">
        <v>24.1</v>
      </c>
      <c r="P197">
        <v>0.5</v>
      </c>
      <c r="R197" t="s">
        <v>663</v>
      </c>
      <c r="S197">
        <v>46</v>
      </c>
      <c r="T197" t="s">
        <v>235</v>
      </c>
    </row>
    <row r="198" spans="11:20" x14ac:dyDescent="0.3">
      <c r="K198" t="s">
        <v>615</v>
      </c>
      <c r="L198">
        <v>27.5</v>
      </c>
      <c r="M198">
        <v>323.12</v>
      </c>
      <c r="N198" t="s">
        <v>616</v>
      </c>
      <c r="O198">
        <v>24.1</v>
      </c>
      <c r="P198">
        <v>0.5</v>
      </c>
      <c r="R198" t="s">
        <v>663</v>
      </c>
      <c r="S198">
        <v>47</v>
      </c>
      <c r="T198" t="s">
        <v>235</v>
      </c>
    </row>
    <row r="199" spans="11:20" x14ac:dyDescent="0.3">
      <c r="K199" t="s">
        <v>615</v>
      </c>
      <c r="L199">
        <v>31.5</v>
      </c>
      <c r="M199">
        <v>423.83</v>
      </c>
      <c r="N199" t="s">
        <v>616</v>
      </c>
      <c r="O199">
        <v>28</v>
      </c>
      <c r="P199">
        <v>0.5</v>
      </c>
      <c r="R199" t="s">
        <v>617</v>
      </c>
      <c r="S199">
        <v>52</v>
      </c>
      <c r="T199" t="s">
        <v>235</v>
      </c>
    </row>
    <row r="200" spans="11:20" x14ac:dyDescent="0.3">
      <c r="K200" t="s">
        <v>615</v>
      </c>
      <c r="L200">
        <v>31.5</v>
      </c>
      <c r="M200">
        <v>423.83</v>
      </c>
      <c r="N200" t="s">
        <v>616</v>
      </c>
      <c r="O200">
        <v>28</v>
      </c>
      <c r="P200">
        <v>0.5</v>
      </c>
      <c r="R200" t="s">
        <v>617</v>
      </c>
      <c r="S200">
        <v>51</v>
      </c>
      <c r="T200" t="s">
        <v>235</v>
      </c>
    </row>
    <row r="201" spans="11:20" x14ac:dyDescent="0.3">
      <c r="K201" t="s">
        <v>615</v>
      </c>
      <c r="L201">
        <v>31.5</v>
      </c>
      <c r="M201">
        <v>423.83</v>
      </c>
      <c r="N201" t="s">
        <v>616</v>
      </c>
      <c r="O201">
        <v>28</v>
      </c>
      <c r="P201">
        <v>0.5</v>
      </c>
      <c r="Q201">
        <v>0.8</v>
      </c>
      <c r="R201" t="s">
        <v>663</v>
      </c>
      <c r="S201">
        <v>51</v>
      </c>
      <c r="T201" t="s">
        <v>235</v>
      </c>
    </row>
    <row r="202" spans="11:20" x14ac:dyDescent="0.3">
      <c r="K202" t="s">
        <v>615</v>
      </c>
      <c r="L202">
        <v>31.5</v>
      </c>
      <c r="M202">
        <v>423.83</v>
      </c>
      <c r="N202" t="s">
        <v>616</v>
      </c>
      <c r="O202">
        <v>28</v>
      </c>
      <c r="P202">
        <v>0.5</v>
      </c>
      <c r="R202" t="s">
        <v>663</v>
      </c>
      <c r="S202">
        <v>50</v>
      </c>
      <c r="T202" t="s">
        <v>235</v>
      </c>
    </row>
    <row r="203" spans="11:20" x14ac:dyDescent="0.3">
      <c r="K203" t="s">
        <v>615</v>
      </c>
      <c r="L203">
        <v>31.49</v>
      </c>
      <c r="M203">
        <v>423.83</v>
      </c>
      <c r="N203" t="s">
        <v>616</v>
      </c>
      <c r="O203">
        <v>28</v>
      </c>
      <c r="P203">
        <v>0.5</v>
      </c>
      <c r="R203" t="s">
        <v>663</v>
      </c>
      <c r="S203">
        <v>54</v>
      </c>
      <c r="T203" t="s">
        <v>235</v>
      </c>
    </row>
    <row r="204" spans="11:20" x14ac:dyDescent="0.3">
      <c r="K204" t="s">
        <v>615</v>
      </c>
      <c r="L204">
        <v>31.5</v>
      </c>
      <c r="M204">
        <v>423.83</v>
      </c>
      <c r="N204" t="s">
        <v>616</v>
      </c>
      <c r="O204">
        <v>28</v>
      </c>
      <c r="P204">
        <v>0.5</v>
      </c>
      <c r="R204" t="s">
        <v>663</v>
      </c>
      <c r="S204">
        <v>37</v>
      </c>
      <c r="T204" t="s">
        <v>235</v>
      </c>
    </row>
    <row r="205" spans="11:20" x14ac:dyDescent="0.3">
      <c r="K205" t="s">
        <v>615</v>
      </c>
      <c r="L205">
        <v>31.5</v>
      </c>
      <c r="M205">
        <v>423.83</v>
      </c>
      <c r="N205" t="s">
        <v>616</v>
      </c>
      <c r="O205">
        <v>28</v>
      </c>
      <c r="P205">
        <v>0.5</v>
      </c>
      <c r="R205" t="s">
        <v>663</v>
      </c>
      <c r="S205">
        <v>49</v>
      </c>
      <c r="T205" t="s">
        <v>235</v>
      </c>
    </row>
    <row r="206" spans="11:20" x14ac:dyDescent="0.3">
      <c r="K206" t="s">
        <v>615</v>
      </c>
      <c r="L206">
        <v>31.5</v>
      </c>
      <c r="M206">
        <v>423.83</v>
      </c>
      <c r="N206" t="s">
        <v>619</v>
      </c>
      <c r="O206">
        <v>28</v>
      </c>
      <c r="P206">
        <v>0.5</v>
      </c>
      <c r="R206" t="s">
        <v>663</v>
      </c>
      <c r="S206">
        <v>46</v>
      </c>
      <c r="T206" t="s">
        <v>235</v>
      </c>
    </row>
    <row r="207" spans="11:20" x14ac:dyDescent="0.3">
      <c r="K207" t="s">
        <v>615</v>
      </c>
      <c r="L207">
        <v>31.5</v>
      </c>
      <c r="M207">
        <v>423.83</v>
      </c>
      <c r="N207" t="s">
        <v>616</v>
      </c>
      <c r="O207">
        <v>28</v>
      </c>
      <c r="P207">
        <v>0.5</v>
      </c>
      <c r="R207" t="s">
        <v>617</v>
      </c>
      <c r="S207">
        <v>51</v>
      </c>
      <c r="T207" t="s">
        <v>235</v>
      </c>
    </row>
    <row r="208" spans="11:20" x14ac:dyDescent="0.3">
      <c r="K208" t="s">
        <v>615</v>
      </c>
      <c r="L208">
        <v>31.5</v>
      </c>
      <c r="M208">
        <v>423.83</v>
      </c>
      <c r="N208" t="s">
        <v>616</v>
      </c>
      <c r="O208">
        <v>28</v>
      </c>
      <c r="P208">
        <v>0.5</v>
      </c>
      <c r="R208" t="s">
        <v>663</v>
      </c>
      <c r="S208">
        <v>45</v>
      </c>
      <c r="T208" t="s">
        <v>235</v>
      </c>
    </row>
    <row r="209" spans="11:20" x14ac:dyDescent="0.3">
      <c r="K209" t="s">
        <v>615</v>
      </c>
      <c r="L209">
        <v>31.5</v>
      </c>
      <c r="M209">
        <v>423.83</v>
      </c>
      <c r="N209" t="s">
        <v>616</v>
      </c>
      <c r="O209">
        <v>28</v>
      </c>
      <c r="P209">
        <v>0.5</v>
      </c>
      <c r="R209" t="s">
        <v>663</v>
      </c>
      <c r="S209">
        <v>36</v>
      </c>
      <c r="T209" t="s">
        <v>235</v>
      </c>
    </row>
    <row r="210" spans="11:20" x14ac:dyDescent="0.3">
      <c r="K210" t="s">
        <v>615</v>
      </c>
      <c r="L210">
        <v>31.5</v>
      </c>
      <c r="M210">
        <v>423.83</v>
      </c>
      <c r="N210" t="s">
        <v>616</v>
      </c>
      <c r="O210">
        <v>28</v>
      </c>
      <c r="P210">
        <v>0.5</v>
      </c>
      <c r="R210" t="s">
        <v>663</v>
      </c>
      <c r="S210">
        <v>38</v>
      </c>
      <c r="T210" t="s">
        <v>235</v>
      </c>
    </row>
    <row r="211" spans="11:20" x14ac:dyDescent="0.3">
      <c r="K211" t="s">
        <v>615</v>
      </c>
      <c r="L211">
        <v>31.49</v>
      </c>
      <c r="M211">
        <v>423.83</v>
      </c>
      <c r="N211" t="s">
        <v>616</v>
      </c>
      <c r="O211">
        <v>28</v>
      </c>
      <c r="P211">
        <v>0.5</v>
      </c>
      <c r="R211" t="s">
        <v>617</v>
      </c>
      <c r="S211">
        <v>44</v>
      </c>
      <c r="T211" t="s">
        <v>235</v>
      </c>
    </row>
    <row r="212" spans="11:20" x14ac:dyDescent="0.3">
      <c r="K212" t="s">
        <v>615</v>
      </c>
      <c r="L212">
        <v>31.5</v>
      </c>
      <c r="M212">
        <v>423.83</v>
      </c>
      <c r="N212" t="s">
        <v>616</v>
      </c>
      <c r="O212">
        <v>28</v>
      </c>
      <c r="P212">
        <v>0.5</v>
      </c>
      <c r="R212" t="s">
        <v>617</v>
      </c>
      <c r="S212">
        <v>52.6</v>
      </c>
      <c r="T212" t="s">
        <v>235</v>
      </c>
    </row>
    <row r="213" spans="11:20" x14ac:dyDescent="0.3">
      <c r="K213" t="s">
        <v>615</v>
      </c>
      <c r="L213">
        <v>31.5</v>
      </c>
      <c r="M213">
        <v>423.83</v>
      </c>
      <c r="N213" t="s">
        <v>619</v>
      </c>
      <c r="O213">
        <v>28</v>
      </c>
      <c r="P213">
        <v>0.5</v>
      </c>
      <c r="R213" t="s">
        <v>617</v>
      </c>
      <c r="S213">
        <v>52.3</v>
      </c>
      <c r="T213" t="s">
        <v>235</v>
      </c>
    </row>
    <row r="214" spans="11:20" x14ac:dyDescent="0.3">
      <c r="K214" t="s">
        <v>615</v>
      </c>
      <c r="L214">
        <v>31.5</v>
      </c>
      <c r="M214">
        <v>423.83</v>
      </c>
      <c r="N214" t="s">
        <v>619</v>
      </c>
      <c r="O214">
        <v>28</v>
      </c>
      <c r="P214">
        <v>0.5</v>
      </c>
      <c r="R214" t="s">
        <v>663</v>
      </c>
      <c r="S214">
        <v>52.3</v>
      </c>
      <c r="T214" t="s">
        <v>235</v>
      </c>
    </row>
    <row r="215" spans="11:20" x14ac:dyDescent="0.3">
      <c r="K215" t="s">
        <v>615</v>
      </c>
      <c r="L215">
        <v>31.5</v>
      </c>
      <c r="M215">
        <v>423.83</v>
      </c>
      <c r="N215" t="s">
        <v>619</v>
      </c>
      <c r="O215">
        <v>28</v>
      </c>
      <c r="P215">
        <v>0.5</v>
      </c>
      <c r="R215" t="s">
        <v>663</v>
      </c>
      <c r="S215">
        <v>52.3</v>
      </c>
      <c r="T215" t="s">
        <v>235</v>
      </c>
    </row>
    <row r="216" spans="11:20" x14ac:dyDescent="0.3">
      <c r="K216" t="s">
        <v>615</v>
      </c>
      <c r="L216">
        <v>31.49</v>
      </c>
      <c r="M216">
        <v>423.83</v>
      </c>
      <c r="N216" t="s">
        <v>619</v>
      </c>
      <c r="O216">
        <v>28</v>
      </c>
      <c r="P216">
        <v>0.5</v>
      </c>
      <c r="R216" t="s">
        <v>663</v>
      </c>
      <c r="S216">
        <v>54</v>
      </c>
      <c r="T216" t="s">
        <v>235</v>
      </c>
    </row>
    <row r="217" spans="11:20" x14ac:dyDescent="0.3">
      <c r="K217" t="s">
        <v>615</v>
      </c>
      <c r="L217">
        <v>39.5</v>
      </c>
      <c r="M217">
        <v>666.6</v>
      </c>
      <c r="N217" t="s">
        <v>619</v>
      </c>
      <c r="O217">
        <v>37</v>
      </c>
      <c r="P217">
        <v>0.5</v>
      </c>
      <c r="R217" t="s">
        <v>617</v>
      </c>
      <c r="S217">
        <v>69</v>
      </c>
      <c r="T217" t="s">
        <v>235</v>
      </c>
    </row>
    <row r="218" spans="11:20" x14ac:dyDescent="0.3">
      <c r="K218" t="s">
        <v>615</v>
      </c>
      <c r="L218">
        <v>39.5</v>
      </c>
      <c r="M218">
        <v>666.6</v>
      </c>
      <c r="N218" t="s">
        <v>619</v>
      </c>
      <c r="O218">
        <v>37</v>
      </c>
      <c r="P218">
        <v>0.5</v>
      </c>
      <c r="R218" t="s">
        <v>663</v>
      </c>
      <c r="S218">
        <v>66</v>
      </c>
      <c r="T218" t="s">
        <v>235</v>
      </c>
    </row>
    <row r="219" spans="11:20" x14ac:dyDescent="0.3">
      <c r="K219" t="s">
        <v>615</v>
      </c>
      <c r="L219">
        <v>39.5</v>
      </c>
      <c r="M219">
        <v>666.6</v>
      </c>
      <c r="N219" t="s">
        <v>619</v>
      </c>
      <c r="O219">
        <v>37</v>
      </c>
      <c r="P219">
        <v>0.5</v>
      </c>
      <c r="R219" t="s">
        <v>663</v>
      </c>
      <c r="S219">
        <v>68</v>
      </c>
      <c r="T219" t="s">
        <v>235</v>
      </c>
    </row>
    <row r="220" spans="11:20" x14ac:dyDescent="0.3">
      <c r="K220" t="s">
        <v>615</v>
      </c>
      <c r="L220">
        <v>39.5</v>
      </c>
      <c r="M220">
        <v>666.6</v>
      </c>
      <c r="N220" t="s">
        <v>619</v>
      </c>
      <c r="O220">
        <v>37</v>
      </c>
      <c r="P220">
        <v>0.5</v>
      </c>
      <c r="R220" t="s">
        <v>663</v>
      </c>
      <c r="S220">
        <v>64</v>
      </c>
      <c r="T220" t="s">
        <v>235</v>
      </c>
    </row>
    <row r="221" spans="11:20" x14ac:dyDescent="0.3">
      <c r="K221" t="s">
        <v>615</v>
      </c>
      <c r="L221">
        <v>39.5</v>
      </c>
      <c r="M221">
        <v>666.6</v>
      </c>
      <c r="N221" t="s">
        <v>619</v>
      </c>
      <c r="O221">
        <v>37</v>
      </c>
      <c r="P221">
        <v>0.5</v>
      </c>
      <c r="R221" t="s">
        <v>663</v>
      </c>
      <c r="S221">
        <v>67</v>
      </c>
      <c r="T221" t="s">
        <v>235</v>
      </c>
    </row>
    <row r="222" spans="11:20" x14ac:dyDescent="0.3">
      <c r="K222" t="s">
        <v>615</v>
      </c>
      <c r="L222">
        <v>39.5</v>
      </c>
      <c r="M222">
        <v>666.91</v>
      </c>
      <c r="N222" t="s">
        <v>619</v>
      </c>
      <c r="O222">
        <v>37</v>
      </c>
      <c r="P222">
        <v>0.5</v>
      </c>
      <c r="R222" t="s">
        <v>617</v>
      </c>
      <c r="S222">
        <v>64.099999999999994</v>
      </c>
      <c r="T222" t="s">
        <v>235</v>
      </c>
    </row>
    <row r="223" spans="11:20" x14ac:dyDescent="0.3">
      <c r="K223" t="s">
        <v>615</v>
      </c>
      <c r="L223">
        <v>39.5</v>
      </c>
      <c r="M223">
        <v>666.91</v>
      </c>
      <c r="N223" t="s">
        <v>619</v>
      </c>
      <c r="O223">
        <v>37</v>
      </c>
      <c r="P223">
        <v>0.5</v>
      </c>
      <c r="R223" t="s">
        <v>663</v>
      </c>
      <c r="S223">
        <v>64.099999999999994</v>
      </c>
      <c r="T223" t="s">
        <v>235</v>
      </c>
    </row>
    <row r="224" spans="11:20" x14ac:dyDescent="0.3">
      <c r="K224" t="s">
        <v>615</v>
      </c>
      <c r="L224">
        <v>39.5</v>
      </c>
      <c r="M224">
        <v>666.91</v>
      </c>
      <c r="N224" t="s">
        <v>619</v>
      </c>
      <c r="O224">
        <v>37</v>
      </c>
      <c r="P224">
        <v>0.5</v>
      </c>
      <c r="R224" t="s">
        <v>663</v>
      </c>
      <c r="S224">
        <v>67.8</v>
      </c>
      <c r="T224" t="s">
        <v>235</v>
      </c>
    </row>
    <row r="225" spans="11:20" x14ac:dyDescent="0.3">
      <c r="K225" t="s">
        <v>615</v>
      </c>
      <c r="L225">
        <v>39.5</v>
      </c>
      <c r="M225">
        <v>666.91</v>
      </c>
      <c r="N225" t="s">
        <v>619</v>
      </c>
      <c r="O225">
        <v>37</v>
      </c>
      <c r="P225">
        <v>0.5</v>
      </c>
      <c r="R225" t="s">
        <v>663</v>
      </c>
      <c r="S225">
        <v>68.7</v>
      </c>
      <c r="T225" t="s">
        <v>235</v>
      </c>
    </row>
    <row r="226" spans="11:20" x14ac:dyDescent="0.3">
      <c r="K226" t="s">
        <v>615</v>
      </c>
      <c r="L226">
        <v>42.5</v>
      </c>
      <c r="M226">
        <v>771.91</v>
      </c>
      <c r="N226" t="s">
        <v>619</v>
      </c>
      <c r="O226">
        <v>40.700000000000003</v>
      </c>
      <c r="P226">
        <v>0.5</v>
      </c>
      <c r="R226" t="s">
        <v>617</v>
      </c>
      <c r="S226">
        <v>69.599999999999994</v>
      </c>
      <c r="T226" t="s">
        <v>235</v>
      </c>
    </row>
    <row r="227" spans="11:20" x14ac:dyDescent="0.3">
      <c r="K227" t="s">
        <v>615</v>
      </c>
      <c r="L227">
        <v>42.5</v>
      </c>
      <c r="M227">
        <v>771.91</v>
      </c>
      <c r="N227" t="s">
        <v>619</v>
      </c>
      <c r="O227">
        <v>40.700000000000003</v>
      </c>
      <c r="P227">
        <v>0.5</v>
      </c>
      <c r="R227" t="s">
        <v>617</v>
      </c>
      <c r="S227">
        <v>75</v>
      </c>
      <c r="T227" t="s">
        <v>235</v>
      </c>
    </row>
    <row r="228" spans="11:20" x14ac:dyDescent="0.3">
      <c r="K228" t="s">
        <v>615</v>
      </c>
      <c r="L228">
        <v>42.5</v>
      </c>
      <c r="M228">
        <v>771.91</v>
      </c>
      <c r="N228" t="s">
        <v>619</v>
      </c>
      <c r="O228">
        <v>40.700000000000003</v>
      </c>
      <c r="P228">
        <v>0.5</v>
      </c>
      <c r="Q228">
        <v>0.8</v>
      </c>
      <c r="R228" t="s">
        <v>663</v>
      </c>
      <c r="S228">
        <v>76</v>
      </c>
      <c r="T228" t="s">
        <v>235</v>
      </c>
    </row>
    <row r="229" spans="11:20" x14ac:dyDescent="0.3">
      <c r="K229" t="s">
        <v>615</v>
      </c>
      <c r="L229">
        <v>42.5</v>
      </c>
      <c r="M229">
        <v>771.91</v>
      </c>
      <c r="N229" t="s">
        <v>619</v>
      </c>
      <c r="O229">
        <v>40.700000000000003</v>
      </c>
      <c r="P229">
        <v>0.5</v>
      </c>
      <c r="R229" t="s">
        <v>663</v>
      </c>
      <c r="S229">
        <v>70</v>
      </c>
      <c r="T229" t="s">
        <v>235</v>
      </c>
    </row>
    <row r="230" spans="11:20" x14ac:dyDescent="0.3">
      <c r="K230" t="s">
        <v>615</v>
      </c>
      <c r="L230">
        <v>42.5</v>
      </c>
      <c r="M230">
        <v>771.91</v>
      </c>
      <c r="N230" t="s">
        <v>619</v>
      </c>
      <c r="O230">
        <v>40.700000000000003</v>
      </c>
      <c r="P230">
        <v>0.5</v>
      </c>
      <c r="R230" t="s">
        <v>663</v>
      </c>
      <c r="S230">
        <v>79</v>
      </c>
      <c r="T230" t="s">
        <v>235</v>
      </c>
    </row>
    <row r="231" spans="11:20" x14ac:dyDescent="0.3">
      <c r="K231" t="s">
        <v>615</v>
      </c>
      <c r="L231">
        <v>42.5</v>
      </c>
      <c r="M231">
        <v>771.91</v>
      </c>
      <c r="N231" t="s">
        <v>619</v>
      </c>
      <c r="O231">
        <v>40.700000000000003</v>
      </c>
      <c r="P231">
        <v>0.5</v>
      </c>
      <c r="R231" t="s">
        <v>663</v>
      </c>
      <c r="S231">
        <v>76</v>
      </c>
      <c r="T231" t="s">
        <v>235</v>
      </c>
    </row>
    <row r="232" spans="11:20" x14ac:dyDescent="0.3">
      <c r="K232" t="s">
        <v>615</v>
      </c>
      <c r="L232">
        <v>42.5</v>
      </c>
      <c r="M232">
        <v>771.91</v>
      </c>
      <c r="N232" t="s">
        <v>619</v>
      </c>
      <c r="O232">
        <v>40.700000000000003</v>
      </c>
      <c r="P232">
        <v>0.5</v>
      </c>
      <c r="R232" t="s">
        <v>663</v>
      </c>
      <c r="S232">
        <v>70</v>
      </c>
      <c r="T232" t="s">
        <v>235</v>
      </c>
    </row>
    <row r="233" spans="11:20" x14ac:dyDescent="0.3">
      <c r="K233" t="s">
        <v>615</v>
      </c>
      <c r="L233">
        <v>42.5</v>
      </c>
      <c r="M233">
        <v>771.91</v>
      </c>
      <c r="N233" t="s">
        <v>619</v>
      </c>
      <c r="O233">
        <v>40.700000000000003</v>
      </c>
      <c r="P233">
        <v>0.5</v>
      </c>
      <c r="R233" t="s">
        <v>663</v>
      </c>
      <c r="S233">
        <v>68</v>
      </c>
      <c r="T233" t="s">
        <v>235</v>
      </c>
    </row>
    <row r="234" spans="11:20" x14ac:dyDescent="0.3">
      <c r="K234" t="s">
        <v>615</v>
      </c>
      <c r="L234">
        <v>42.5</v>
      </c>
      <c r="M234">
        <v>771.91</v>
      </c>
      <c r="N234" t="s">
        <v>619</v>
      </c>
      <c r="O234">
        <v>40.700000000000003</v>
      </c>
      <c r="P234">
        <v>0.5</v>
      </c>
      <c r="R234" t="s">
        <v>663</v>
      </c>
      <c r="S234">
        <v>74</v>
      </c>
      <c r="T234" t="s">
        <v>235</v>
      </c>
    </row>
    <row r="235" spans="11:20" x14ac:dyDescent="0.3">
      <c r="K235" t="s">
        <v>615</v>
      </c>
      <c r="L235">
        <v>42.5</v>
      </c>
      <c r="M235">
        <v>771.91</v>
      </c>
      <c r="N235" t="s">
        <v>619</v>
      </c>
      <c r="O235">
        <v>40.700000000000003</v>
      </c>
      <c r="P235">
        <v>0.5</v>
      </c>
      <c r="R235" t="s">
        <v>663</v>
      </c>
      <c r="S235">
        <v>71</v>
      </c>
      <c r="T235" t="s">
        <v>235</v>
      </c>
    </row>
    <row r="236" spans="11:20" x14ac:dyDescent="0.3">
      <c r="K236" t="s">
        <v>615</v>
      </c>
      <c r="L236">
        <v>50</v>
      </c>
      <c r="M236">
        <v>1047.01</v>
      </c>
      <c r="N236" t="s">
        <v>665</v>
      </c>
      <c r="O236">
        <v>74.599999999999994</v>
      </c>
      <c r="P236">
        <v>0.5</v>
      </c>
      <c r="Q236">
        <v>0.4</v>
      </c>
      <c r="R236" t="s">
        <v>664</v>
      </c>
      <c r="S236">
        <v>117.7</v>
      </c>
      <c r="T236" t="s">
        <v>235</v>
      </c>
    </row>
    <row r="237" spans="11:20" x14ac:dyDescent="0.3">
      <c r="K237" t="s">
        <v>615</v>
      </c>
      <c r="L237">
        <v>48.56</v>
      </c>
      <c r="M237">
        <v>1008.06</v>
      </c>
      <c r="N237" t="s">
        <v>621</v>
      </c>
      <c r="O237">
        <v>72.8</v>
      </c>
      <c r="P237">
        <v>0.5</v>
      </c>
      <c r="R237" t="s">
        <v>666</v>
      </c>
      <c r="S237">
        <v>118</v>
      </c>
      <c r="T237" t="s">
        <v>235</v>
      </c>
    </row>
    <row r="238" spans="11:20" x14ac:dyDescent="0.3">
      <c r="K238" t="s">
        <v>615</v>
      </c>
      <c r="L238">
        <v>50</v>
      </c>
      <c r="M238">
        <v>1047.01</v>
      </c>
      <c r="N238" t="s">
        <v>619</v>
      </c>
      <c r="O238">
        <v>49.7</v>
      </c>
      <c r="P238">
        <v>0.5</v>
      </c>
      <c r="R238" t="s">
        <v>617</v>
      </c>
      <c r="S238">
        <v>77.099999999999994</v>
      </c>
      <c r="T238" t="s">
        <v>235</v>
      </c>
    </row>
    <row r="239" spans="11:20" x14ac:dyDescent="0.3">
      <c r="K239" t="s">
        <v>615</v>
      </c>
      <c r="L239">
        <v>50</v>
      </c>
      <c r="M239">
        <v>1047.01</v>
      </c>
      <c r="N239" t="s">
        <v>619</v>
      </c>
      <c r="O239">
        <v>49.7</v>
      </c>
      <c r="P239">
        <v>0.5</v>
      </c>
      <c r="R239" t="s">
        <v>617</v>
      </c>
      <c r="S239">
        <v>84.5</v>
      </c>
      <c r="T239" t="s">
        <v>235</v>
      </c>
    </row>
    <row r="240" spans="11:20" x14ac:dyDescent="0.3">
      <c r="K240" t="s">
        <v>615</v>
      </c>
      <c r="L240">
        <v>55</v>
      </c>
      <c r="M240">
        <v>1275.67</v>
      </c>
      <c r="N240" t="s">
        <v>619</v>
      </c>
      <c r="O240">
        <v>56.4</v>
      </c>
      <c r="P240">
        <v>0.5</v>
      </c>
      <c r="R240" t="s">
        <v>664</v>
      </c>
      <c r="S240">
        <v>72.5</v>
      </c>
      <c r="T240" t="s">
        <v>235</v>
      </c>
    </row>
    <row r="241" spans="11:20" x14ac:dyDescent="0.3">
      <c r="K241" t="s">
        <v>615</v>
      </c>
      <c r="L241">
        <v>48.5</v>
      </c>
      <c r="M241">
        <v>1005.18</v>
      </c>
      <c r="N241" t="s">
        <v>619</v>
      </c>
      <c r="O241">
        <v>48.4</v>
      </c>
      <c r="P241">
        <v>0.5</v>
      </c>
      <c r="R241" t="s">
        <v>663</v>
      </c>
      <c r="S241">
        <v>71.400000000000006</v>
      </c>
      <c r="T241" t="s">
        <v>235</v>
      </c>
    </row>
    <row r="242" spans="11:20" x14ac:dyDescent="0.3">
      <c r="K242" t="s">
        <v>615</v>
      </c>
      <c r="L242">
        <v>55</v>
      </c>
      <c r="M242">
        <v>1275.67</v>
      </c>
      <c r="N242" t="s">
        <v>619</v>
      </c>
      <c r="O242">
        <v>56.4</v>
      </c>
      <c r="P242">
        <v>0.5</v>
      </c>
      <c r="R242" t="s">
        <v>664</v>
      </c>
      <c r="S242">
        <v>73.8</v>
      </c>
      <c r="T242" t="s">
        <v>235</v>
      </c>
    </row>
    <row r="243" spans="11:20" x14ac:dyDescent="0.3">
      <c r="K243" t="s">
        <v>615</v>
      </c>
      <c r="L243">
        <v>55</v>
      </c>
      <c r="M243">
        <v>1275.67</v>
      </c>
      <c r="N243" t="s">
        <v>665</v>
      </c>
      <c r="O243">
        <v>84.7</v>
      </c>
      <c r="P243">
        <v>0.5</v>
      </c>
      <c r="Q243">
        <v>0.5</v>
      </c>
      <c r="R243" t="s">
        <v>664</v>
      </c>
      <c r="S243">
        <v>121.7</v>
      </c>
      <c r="T243" t="s">
        <v>235</v>
      </c>
    </row>
    <row r="244" spans="11:20" x14ac:dyDescent="0.3">
      <c r="K244" t="s">
        <v>615</v>
      </c>
      <c r="L244">
        <v>55</v>
      </c>
      <c r="M244">
        <v>1275.67</v>
      </c>
      <c r="N244" t="s">
        <v>619</v>
      </c>
      <c r="O244">
        <v>56.4</v>
      </c>
      <c r="P244">
        <v>0.5</v>
      </c>
      <c r="R244" t="s">
        <v>617</v>
      </c>
      <c r="S244">
        <v>81.2</v>
      </c>
      <c r="T244" t="s">
        <v>235</v>
      </c>
    </row>
    <row r="245" spans="11:20" x14ac:dyDescent="0.3">
      <c r="K245" t="s">
        <v>615</v>
      </c>
      <c r="L245">
        <v>55</v>
      </c>
      <c r="M245">
        <v>1275.67</v>
      </c>
      <c r="N245" t="s">
        <v>619</v>
      </c>
      <c r="O245">
        <v>56.4</v>
      </c>
      <c r="P245">
        <v>0.5</v>
      </c>
      <c r="R245" t="s">
        <v>617</v>
      </c>
      <c r="S245">
        <v>81.2</v>
      </c>
      <c r="T245" t="s">
        <v>235</v>
      </c>
    </row>
    <row r="246" spans="11:20" x14ac:dyDescent="0.3">
      <c r="K246" t="s">
        <v>615</v>
      </c>
      <c r="L246">
        <v>21.53</v>
      </c>
      <c r="M246">
        <v>198.21</v>
      </c>
      <c r="N246" t="s">
        <v>619</v>
      </c>
      <c r="O246">
        <v>19.2</v>
      </c>
      <c r="P246">
        <v>0.5</v>
      </c>
      <c r="R246" t="s">
        <v>617</v>
      </c>
      <c r="S246">
        <v>36.6</v>
      </c>
      <c r="T246" t="s">
        <v>235</v>
      </c>
    </row>
    <row r="247" spans="11:20" x14ac:dyDescent="0.3">
      <c r="K247" t="s">
        <v>615</v>
      </c>
      <c r="L247">
        <v>43.18</v>
      </c>
      <c r="M247">
        <v>802.18</v>
      </c>
      <c r="N247" t="s">
        <v>619</v>
      </c>
      <c r="O247">
        <v>41.7</v>
      </c>
      <c r="P247">
        <v>0.5</v>
      </c>
      <c r="R247" t="s">
        <v>617</v>
      </c>
      <c r="S247">
        <v>74.7</v>
      </c>
      <c r="T247" t="s">
        <v>235</v>
      </c>
    </row>
    <row r="248" spans="11:20" x14ac:dyDescent="0.3">
      <c r="K248" t="s">
        <v>615</v>
      </c>
      <c r="L248">
        <v>47.61</v>
      </c>
      <c r="M248">
        <v>968.73</v>
      </c>
      <c r="N248" t="s">
        <v>619</v>
      </c>
      <c r="O248">
        <v>47.3</v>
      </c>
      <c r="P248">
        <v>0.5</v>
      </c>
      <c r="R248" t="s">
        <v>617</v>
      </c>
      <c r="S248">
        <v>85.5</v>
      </c>
      <c r="T248" t="s">
        <v>235</v>
      </c>
    </row>
    <row r="249" spans="11:20" x14ac:dyDescent="0.3">
      <c r="K249" t="s">
        <v>615</v>
      </c>
      <c r="L249">
        <v>49.51</v>
      </c>
      <c r="M249">
        <v>1047.19</v>
      </c>
      <c r="N249" t="s">
        <v>619</v>
      </c>
      <c r="O249">
        <v>49.8</v>
      </c>
      <c r="P249">
        <v>0.5</v>
      </c>
      <c r="R249" t="s">
        <v>617</v>
      </c>
      <c r="S249">
        <v>90.8</v>
      </c>
      <c r="T249" t="s">
        <v>235</v>
      </c>
    </row>
    <row r="250" spans="11:20" x14ac:dyDescent="0.3">
      <c r="K250" t="s">
        <v>615</v>
      </c>
      <c r="L250">
        <v>18.510000000000002</v>
      </c>
      <c r="M250">
        <v>146.30000000000001</v>
      </c>
      <c r="N250" t="s">
        <v>616</v>
      </c>
      <c r="O250">
        <v>17.2</v>
      </c>
      <c r="P250">
        <v>0.5</v>
      </c>
      <c r="R250" t="s">
        <v>617</v>
      </c>
      <c r="S250">
        <v>33.299999999999997</v>
      </c>
      <c r="T250" t="s">
        <v>235</v>
      </c>
    </row>
    <row r="251" spans="11:20" x14ac:dyDescent="0.3">
      <c r="K251" t="s">
        <v>615</v>
      </c>
      <c r="L251">
        <v>18.5</v>
      </c>
      <c r="M251">
        <v>146.30000000000001</v>
      </c>
      <c r="N251" t="s">
        <v>616</v>
      </c>
      <c r="O251">
        <v>17.2</v>
      </c>
      <c r="P251">
        <v>0.5</v>
      </c>
      <c r="R251" t="s">
        <v>617</v>
      </c>
      <c r="S251">
        <v>33.299999999999997</v>
      </c>
      <c r="T251" t="s">
        <v>235</v>
      </c>
    </row>
    <row r="252" spans="11:20" x14ac:dyDescent="0.3">
      <c r="K252" t="s">
        <v>615</v>
      </c>
      <c r="L252">
        <v>21.53</v>
      </c>
      <c r="M252">
        <v>198.11</v>
      </c>
      <c r="N252" t="s">
        <v>619</v>
      </c>
      <c r="O252">
        <v>19.3</v>
      </c>
      <c r="P252">
        <v>0.5</v>
      </c>
      <c r="R252" t="s">
        <v>617</v>
      </c>
      <c r="S252">
        <v>37.1</v>
      </c>
      <c r="T252" t="s">
        <v>235</v>
      </c>
    </row>
    <row r="253" spans="11:20" x14ac:dyDescent="0.3">
      <c r="K253" t="s">
        <v>615</v>
      </c>
      <c r="L253">
        <v>23.55</v>
      </c>
      <c r="M253">
        <v>236.92</v>
      </c>
      <c r="N253" t="s">
        <v>616</v>
      </c>
      <c r="O253">
        <v>20.8</v>
      </c>
      <c r="P253">
        <v>0.5</v>
      </c>
      <c r="R253" t="s">
        <v>617</v>
      </c>
      <c r="S253">
        <v>38.200000000000003</v>
      </c>
      <c r="T253" t="s">
        <v>235</v>
      </c>
    </row>
    <row r="254" spans="11:20" x14ac:dyDescent="0.3">
      <c r="K254" t="s">
        <v>615</v>
      </c>
      <c r="L254">
        <v>23.56</v>
      </c>
      <c r="M254">
        <v>237.04</v>
      </c>
      <c r="N254" t="s">
        <v>616</v>
      </c>
      <c r="O254">
        <v>20.8</v>
      </c>
      <c r="P254">
        <v>0.5</v>
      </c>
      <c r="R254" t="s">
        <v>617</v>
      </c>
      <c r="S254">
        <v>36.700000000000003</v>
      </c>
      <c r="T254" t="s">
        <v>235</v>
      </c>
    </row>
    <row r="255" spans="11:20" x14ac:dyDescent="0.3">
      <c r="K255" t="s">
        <v>615</v>
      </c>
      <c r="L255">
        <v>27.5</v>
      </c>
      <c r="M255">
        <v>324.83</v>
      </c>
      <c r="N255" t="s">
        <v>616</v>
      </c>
      <c r="O255">
        <v>24.2</v>
      </c>
      <c r="P255">
        <v>0.5</v>
      </c>
      <c r="R255" t="s">
        <v>617</v>
      </c>
      <c r="S255">
        <v>42.5</v>
      </c>
      <c r="T255" t="s">
        <v>235</v>
      </c>
    </row>
    <row r="256" spans="11:20" x14ac:dyDescent="0.3">
      <c r="K256" t="s">
        <v>615</v>
      </c>
      <c r="L256">
        <v>31.51</v>
      </c>
      <c r="M256">
        <v>424.19</v>
      </c>
      <c r="N256" t="s">
        <v>616</v>
      </c>
      <c r="O256">
        <v>28</v>
      </c>
      <c r="P256">
        <v>0.5</v>
      </c>
      <c r="R256" t="s">
        <v>617</v>
      </c>
      <c r="S256">
        <v>45.3</v>
      </c>
      <c r="T256" t="s">
        <v>235</v>
      </c>
    </row>
    <row r="257" spans="11:20" x14ac:dyDescent="0.3">
      <c r="K257" t="s">
        <v>615</v>
      </c>
      <c r="L257">
        <v>64.5</v>
      </c>
      <c r="M257">
        <v>1777.68</v>
      </c>
      <c r="N257" t="s">
        <v>621</v>
      </c>
      <c r="O257">
        <v>102.8</v>
      </c>
      <c r="P257">
        <v>0.5</v>
      </c>
      <c r="Q257">
        <v>0.4</v>
      </c>
      <c r="R257" t="s">
        <v>663</v>
      </c>
      <c r="S257">
        <v>132</v>
      </c>
      <c r="T257" t="s">
        <v>235</v>
      </c>
    </row>
    <row r="258" spans="11:20" x14ac:dyDescent="0.3">
      <c r="K258" t="s">
        <v>615</v>
      </c>
      <c r="L258">
        <v>48.5</v>
      </c>
      <c r="M258">
        <v>1005.18</v>
      </c>
      <c r="N258" t="s">
        <v>619</v>
      </c>
      <c r="O258">
        <v>48.4</v>
      </c>
      <c r="P258">
        <v>0.5</v>
      </c>
      <c r="R258" t="s">
        <v>663</v>
      </c>
      <c r="S258">
        <v>89.7</v>
      </c>
      <c r="T258" t="s">
        <v>235</v>
      </c>
    </row>
    <row r="259" spans="11:20" x14ac:dyDescent="0.3">
      <c r="K259" t="s">
        <v>615</v>
      </c>
      <c r="L259">
        <v>64.5</v>
      </c>
      <c r="M259">
        <v>1777.68</v>
      </c>
      <c r="N259" t="s">
        <v>621</v>
      </c>
      <c r="O259">
        <v>102.8</v>
      </c>
      <c r="P259">
        <v>0.5</v>
      </c>
      <c r="Q259">
        <v>0.3</v>
      </c>
      <c r="R259" t="s">
        <v>663</v>
      </c>
      <c r="S259">
        <v>135</v>
      </c>
      <c r="T259" t="s">
        <v>235</v>
      </c>
    </row>
    <row r="260" spans="11:20" x14ac:dyDescent="0.3">
      <c r="K260" t="s">
        <v>615</v>
      </c>
      <c r="L260">
        <v>64.5</v>
      </c>
      <c r="M260">
        <v>1777.68</v>
      </c>
      <c r="N260" t="s">
        <v>621</v>
      </c>
      <c r="O260">
        <v>102.8</v>
      </c>
      <c r="P260">
        <v>0.5</v>
      </c>
      <c r="R260" t="s">
        <v>663</v>
      </c>
      <c r="S260">
        <v>125</v>
      </c>
      <c r="T260" t="s">
        <v>235</v>
      </c>
    </row>
    <row r="261" spans="11:20" x14ac:dyDescent="0.3">
      <c r="K261" t="s">
        <v>615</v>
      </c>
      <c r="L261">
        <v>64.5</v>
      </c>
      <c r="M261">
        <v>1777.68</v>
      </c>
      <c r="N261" t="s">
        <v>621</v>
      </c>
      <c r="O261">
        <v>102.8</v>
      </c>
      <c r="P261">
        <v>0.5</v>
      </c>
      <c r="R261" t="s">
        <v>663</v>
      </c>
      <c r="S261">
        <v>124</v>
      </c>
      <c r="T261" t="s">
        <v>235</v>
      </c>
    </row>
    <row r="262" spans="11:20" x14ac:dyDescent="0.3">
      <c r="K262" t="s">
        <v>615</v>
      </c>
      <c r="L262">
        <v>64.5</v>
      </c>
      <c r="M262">
        <v>1777.68</v>
      </c>
      <c r="N262" t="s">
        <v>621</v>
      </c>
      <c r="O262">
        <v>102.8</v>
      </c>
      <c r="P262">
        <v>0.5</v>
      </c>
      <c r="R262" t="s">
        <v>663</v>
      </c>
      <c r="S262">
        <v>118</v>
      </c>
      <c r="T262" t="s">
        <v>235</v>
      </c>
    </row>
    <row r="263" spans="11:20" x14ac:dyDescent="0.3">
      <c r="K263" t="s">
        <v>615</v>
      </c>
      <c r="L263">
        <v>64.5</v>
      </c>
      <c r="M263">
        <v>1777.68</v>
      </c>
      <c r="N263" t="s">
        <v>621</v>
      </c>
      <c r="O263">
        <v>102.8</v>
      </c>
      <c r="P263">
        <v>0.5</v>
      </c>
      <c r="R263" t="s">
        <v>663</v>
      </c>
      <c r="S263">
        <v>188</v>
      </c>
      <c r="T263" t="s">
        <v>235</v>
      </c>
    </row>
    <row r="264" spans="11:20" x14ac:dyDescent="0.3">
      <c r="K264" t="s">
        <v>615</v>
      </c>
      <c r="L264">
        <v>64.5</v>
      </c>
      <c r="M264">
        <v>1777.68</v>
      </c>
      <c r="N264" t="s">
        <v>621</v>
      </c>
      <c r="O264">
        <v>102.8</v>
      </c>
      <c r="P264">
        <v>0.5</v>
      </c>
      <c r="R264" t="s">
        <v>663</v>
      </c>
      <c r="S264">
        <v>187</v>
      </c>
      <c r="T264" t="s">
        <v>235</v>
      </c>
    </row>
    <row r="265" spans="11:20" x14ac:dyDescent="0.3">
      <c r="K265" t="s">
        <v>615</v>
      </c>
      <c r="L265">
        <v>64.5</v>
      </c>
      <c r="M265">
        <v>1777.68</v>
      </c>
      <c r="N265" t="s">
        <v>621</v>
      </c>
      <c r="O265">
        <v>102.8</v>
      </c>
      <c r="P265">
        <v>0.5</v>
      </c>
      <c r="R265" t="s">
        <v>617</v>
      </c>
      <c r="S265">
        <v>189.1</v>
      </c>
      <c r="T265" t="s">
        <v>235</v>
      </c>
    </row>
    <row r="266" spans="11:20" x14ac:dyDescent="0.3">
      <c r="K266" t="s">
        <v>615</v>
      </c>
      <c r="L266">
        <v>64.5</v>
      </c>
      <c r="M266">
        <v>1777.68</v>
      </c>
      <c r="N266" t="s">
        <v>621</v>
      </c>
      <c r="O266">
        <v>102.8</v>
      </c>
      <c r="P266">
        <v>0.5</v>
      </c>
      <c r="R266" t="s">
        <v>617</v>
      </c>
      <c r="S266">
        <v>189.1</v>
      </c>
      <c r="T266" t="s">
        <v>235</v>
      </c>
    </row>
    <row r="267" spans="11:20" x14ac:dyDescent="0.3">
      <c r="K267" t="s">
        <v>615</v>
      </c>
      <c r="L267">
        <v>64.5</v>
      </c>
      <c r="M267">
        <v>1777.68</v>
      </c>
      <c r="N267" t="s">
        <v>621</v>
      </c>
      <c r="O267">
        <v>102.8</v>
      </c>
      <c r="P267">
        <v>0.5</v>
      </c>
      <c r="R267" t="s">
        <v>663</v>
      </c>
      <c r="S267">
        <v>186</v>
      </c>
      <c r="T267" t="s">
        <v>235</v>
      </c>
    </row>
    <row r="268" spans="11:20" x14ac:dyDescent="0.3">
      <c r="K268" t="s">
        <v>615</v>
      </c>
      <c r="L268">
        <v>69.489999999999995</v>
      </c>
      <c r="M268">
        <v>2063.62</v>
      </c>
      <c r="N268" t="s">
        <v>621</v>
      </c>
      <c r="O268">
        <v>110.7</v>
      </c>
      <c r="P268">
        <v>0.5</v>
      </c>
      <c r="Q268">
        <v>0.4</v>
      </c>
      <c r="R268" t="s">
        <v>663</v>
      </c>
      <c r="S268">
        <v>185</v>
      </c>
      <c r="T268" t="s">
        <v>235</v>
      </c>
    </row>
    <row r="269" spans="11:20" x14ac:dyDescent="0.3">
      <c r="K269" t="s">
        <v>615</v>
      </c>
      <c r="L269">
        <v>69.5</v>
      </c>
      <c r="M269">
        <v>2063.62</v>
      </c>
      <c r="N269" t="s">
        <v>621</v>
      </c>
      <c r="O269">
        <v>110.7</v>
      </c>
      <c r="P269">
        <v>0.5</v>
      </c>
      <c r="R269" t="s">
        <v>663</v>
      </c>
      <c r="S269">
        <v>185</v>
      </c>
      <c r="T269" t="s">
        <v>235</v>
      </c>
    </row>
    <row r="270" spans="11:20" x14ac:dyDescent="0.3">
      <c r="K270" t="s">
        <v>615</v>
      </c>
      <c r="L270">
        <v>69.5</v>
      </c>
      <c r="M270">
        <v>2063.62</v>
      </c>
      <c r="N270" t="s">
        <v>621</v>
      </c>
      <c r="O270">
        <v>110.7</v>
      </c>
      <c r="P270">
        <v>0.5</v>
      </c>
      <c r="Q270">
        <v>0.3</v>
      </c>
      <c r="R270" t="s">
        <v>663</v>
      </c>
      <c r="S270">
        <v>185</v>
      </c>
      <c r="T270" t="s">
        <v>235</v>
      </c>
    </row>
    <row r="271" spans="11:20" x14ac:dyDescent="0.3">
      <c r="K271" t="s">
        <v>615</v>
      </c>
      <c r="L271">
        <v>69.5</v>
      </c>
      <c r="M271">
        <v>2064.7399999999998</v>
      </c>
      <c r="N271" t="s">
        <v>621</v>
      </c>
      <c r="O271">
        <v>73.790000000000006</v>
      </c>
      <c r="P271">
        <v>0.5</v>
      </c>
      <c r="R271" t="s">
        <v>617</v>
      </c>
      <c r="S271">
        <v>169.3</v>
      </c>
      <c r="T271" t="s">
        <v>235</v>
      </c>
    </row>
    <row r="272" spans="11:20" x14ac:dyDescent="0.3">
      <c r="K272" t="s">
        <v>615</v>
      </c>
      <c r="L272">
        <v>74.5</v>
      </c>
      <c r="M272">
        <v>2372.62</v>
      </c>
      <c r="N272" t="s">
        <v>621</v>
      </c>
      <c r="O272">
        <v>117.5</v>
      </c>
      <c r="P272">
        <v>0.5</v>
      </c>
      <c r="Q272">
        <v>0.4</v>
      </c>
      <c r="R272" t="s">
        <v>663</v>
      </c>
      <c r="S272">
        <v>211</v>
      </c>
      <c r="T272" t="s">
        <v>235</v>
      </c>
    </row>
    <row r="273" spans="11:20" x14ac:dyDescent="0.3">
      <c r="K273" t="s">
        <v>615</v>
      </c>
      <c r="L273">
        <v>74.5</v>
      </c>
      <c r="M273">
        <v>2372.62</v>
      </c>
      <c r="N273" t="s">
        <v>667</v>
      </c>
      <c r="O273">
        <v>117.5</v>
      </c>
      <c r="P273">
        <v>0.5</v>
      </c>
      <c r="Q273">
        <v>0.4</v>
      </c>
      <c r="R273" t="s">
        <v>663</v>
      </c>
      <c r="S273">
        <v>214</v>
      </c>
      <c r="T273" t="s">
        <v>235</v>
      </c>
    </row>
    <row r="274" spans="11:20" x14ac:dyDescent="0.3">
      <c r="K274" t="s">
        <v>615</v>
      </c>
      <c r="L274">
        <v>48.5</v>
      </c>
      <c r="M274">
        <v>1005.18</v>
      </c>
      <c r="N274" t="s">
        <v>621</v>
      </c>
      <c r="O274">
        <v>72.7</v>
      </c>
      <c r="P274">
        <v>0.5</v>
      </c>
      <c r="R274" t="s">
        <v>617</v>
      </c>
      <c r="S274">
        <v>133.5</v>
      </c>
      <c r="T274" t="s">
        <v>235</v>
      </c>
    </row>
    <row r="275" spans="11:20" x14ac:dyDescent="0.3">
      <c r="K275" t="s">
        <v>615</v>
      </c>
      <c r="L275">
        <v>74.5</v>
      </c>
      <c r="M275">
        <v>2372.62</v>
      </c>
      <c r="N275" t="s">
        <v>667</v>
      </c>
      <c r="O275">
        <v>117.5</v>
      </c>
      <c r="P275">
        <v>0.5</v>
      </c>
      <c r="Q275">
        <v>0.4</v>
      </c>
      <c r="R275" t="s">
        <v>663</v>
      </c>
      <c r="S275">
        <v>215</v>
      </c>
      <c r="T275" t="s">
        <v>235</v>
      </c>
    </row>
    <row r="276" spans="11:20" x14ac:dyDescent="0.3">
      <c r="K276" t="s">
        <v>615</v>
      </c>
      <c r="L276">
        <v>74.5</v>
      </c>
      <c r="M276">
        <v>2372.62</v>
      </c>
      <c r="N276" t="s">
        <v>621</v>
      </c>
      <c r="O276">
        <v>117.5</v>
      </c>
      <c r="P276">
        <v>0.5</v>
      </c>
      <c r="Q276">
        <v>0.3</v>
      </c>
      <c r="R276" t="s">
        <v>663</v>
      </c>
      <c r="S276">
        <v>178</v>
      </c>
      <c r="T276" t="s">
        <v>235</v>
      </c>
    </row>
    <row r="277" spans="11:20" x14ac:dyDescent="0.3">
      <c r="K277" t="s">
        <v>615</v>
      </c>
      <c r="L277">
        <v>74.5</v>
      </c>
      <c r="M277">
        <v>2372.62</v>
      </c>
      <c r="N277" t="s">
        <v>621</v>
      </c>
      <c r="O277">
        <v>117.5</v>
      </c>
      <c r="P277">
        <v>0.5</v>
      </c>
      <c r="R277" t="s">
        <v>663</v>
      </c>
      <c r="S277">
        <v>160</v>
      </c>
      <c r="T277" t="s">
        <v>235</v>
      </c>
    </row>
    <row r="278" spans="11:20" x14ac:dyDescent="0.3">
      <c r="K278" t="s">
        <v>615</v>
      </c>
      <c r="L278">
        <v>78.5</v>
      </c>
      <c r="M278">
        <v>2633.49</v>
      </c>
      <c r="N278" t="s">
        <v>621</v>
      </c>
      <c r="O278">
        <v>122</v>
      </c>
      <c r="P278">
        <v>0.5</v>
      </c>
      <c r="R278" t="s">
        <v>663</v>
      </c>
      <c r="S278">
        <v>208.7</v>
      </c>
      <c r="T278" t="s">
        <v>235</v>
      </c>
    </row>
    <row r="279" spans="11:20" x14ac:dyDescent="0.3">
      <c r="K279" t="s">
        <v>615</v>
      </c>
      <c r="L279">
        <v>78.5</v>
      </c>
      <c r="M279">
        <v>2633.49</v>
      </c>
      <c r="N279" t="s">
        <v>621</v>
      </c>
      <c r="O279">
        <v>122</v>
      </c>
      <c r="P279">
        <v>0.5</v>
      </c>
      <c r="R279" t="s">
        <v>617</v>
      </c>
      <c r="S279">
        <v>204.7</v>
      </c>
      <c r="T279" t="s">
        <v>235</v>
      </c>
    </row>
    <row r="280" spans="11:20" x14ac:dyDescent="0.3">
      <c r="K280" t="s">
        <v>615</v>
      </c>
      <c r="L280">
        <v>78.5</v>
      </c>
      <c r="M280">
        <v>2633.49</v>
      </c>
      <c r="N280" t="s">
        <v>621</v>
      </c>
      <c r="O280">
        <v>122</v>
      </c>
      <c r="P280">
        <v>0.5</v>
      </c>
      <c r="R280" t="s">
        <v>663</v>
      </c>
      <c r="S280">
        <v>224</v>
      </c>
      <c r="T280" t="s">
        <v>235</v>
      </c>
    </row>
    <row r="281" spans="11:20" x14ac:dyDescent="0.3">
      <c r="K281" t="s">
        <v>615</v>
      </c>
      <c r="L281">
        <v>85.6</v>
      </c>
      <c r="M281">
        <v>3131.38</v>
      </c>
      <c r="N281" t="s">
        <v>621</v>
      </c>
      <c r="O281">
        <v>128.30000000000001</v>
      </c>
      <c r="P281">
        <v>0.5</v>
      </c>
      <c r="Q281">
        <v>0.3</v>
      </c>
      <c r="R281" t="s">
        <v>663</v>
      </c>
      <c r="S281">
        <v>226</v>
      </c>
      <c r="T281" t="s">
        <v>235</v>
      </c>
    </row>
    <row r="282" spans="11:20" x14ac:dyDescent="0.3">
      <c r="K282" t="s">
        <v>615</v>
      </c>
      <c r="L282">
        <v>85.6</v>
      </c>
      <c r="M282">
        <v>3131.38</v>
      </c>
      <c r="N282" t="s">
        <v>621</v>
      </c>
      <c r="O282">
        <v>128.30000000000001</v>
      </c>
      <c r="P282">
        <v>0.5</v>
      </c>
      <c r="Q282">
        <v>0.4</v>
      </c>
      <c r="R282" t="s">
        <v>663</v>
      </c>
      <c r="S282">
        <v>235</v>
      </c>
      <c r="T282" t="s">
        <v>235</v>
      </c>
    </row>
    <row r="283" spans="11:20" x14ac:dyDescent="0.3">
      <c r="K283" t="s">
        <v>615</v>
      </c>
      <c r="L283">
        <v>64.53</v>
      </c>
      <c r="M283">
        <v>1779.1</v>
      </c>
      <c r="N283" t="s">
        <v>621</v>
      </c>
      <c r="O283">
        <v>102.8</v>
      </c>
      <c r="P283">
        <v>0.5</v>
      </c>
      <c r="R283" t="s">
        <v>617</v>
      </c>
      <c r="S283">
        <v>186.6</v>
      </c>
      <c r="T283" t="s">
        <v>235</v>
      </c>
    </row>
    <row r="284" spans="11:20" x14ac:dyDescent="0.3">
      <c r="K284" t="s">
        <v>615</v>
      </c>
      <c r="L284">
        <v>47.61</v>
      </c>
      <c r="M284">
        <v>968.61</v>
      </c>
      <c r="N284" t="s">
        <v>619</v>
      </c>
      <c r="O284">
        <v>47.3</v>
      </c>
      <c r="P284">
        <v>0.5</v>
      </c>
      <c r="R284" t="s">
        <v>617</v>
      </c>
      <c r="S284">
        <v>87.2</v>
      </c>
      <c r="T284" t="s">
        <v>235</v>
      </c>
    </row>
    <row r="285" spans="11:20" x14ac:dyDescent="0.3">
      <c r="K285" t="s">
        <v>615</v>
      </c>
      <c r="L285">
        <v>49.5</v>
      </c>
      <c r="M285">
        <v>1047.01</v>
      </c>
      <c r="N285" t="s">
        <v>619</v>
      </c>
      <c r="O285">
        <v>49.7</v>
      </c>
      <c r="P285">
        <v>0.5</v>
      </c>
      <c r="R285" t="s">
        <v>617</v>
      </c>
      <c r="S285">
        <v>90.6</v>
      </c>
      <c r="T285" t="s">
        <v>235</v>
      </c>
    </row>
    <row r="286" spans="11:20" x14ac:dyDescent="0.3">
      <c r="K286" t="s">
        <v>615</v>
      </c>
      <c r="L286">
        <v>48.5</v>
      </c>
      <c r="M286">
        <v>1005.18</v>
      </c>
      <c r="N286" t="s">
        <v>619</v>
      </c>
      <c r="O286">
        <v>48.4</v>
      </c>
      <c r="P286">
        <v>0.5</v>
      </c>
      <c r="R286" t="s">
        <v>617</v>
      </c>
      <c r="S286">
        <v>86</v>
      </c>
      <c r="T286" t="s">
        <v>235</v>
      </c>
    </row>
    <row r="287" spans="11:20" x14ac:dyDescent="0.3">
      <c r="K287" t="s">
        <v>615</v>
      </c>
      <c r="L287">
        <v>48.5</v>
      </c>
      <c r="M287">
        <v>1005.18</v>
      </c>
      <c r="N287" t="s">
        <v>619</v>
      </c>
      <c r="O287">
        <v>48.4</v>
      </c>
      <c r="P287">
        <v>0.5</v>
      </c>
      <c r="R287" t="s">
        <v>663</v>
      </c>
      <c r="S287">
        <v>71.400000000000006</v>
      </c>
      <c r="T287" t="s">
        <v>235</v>
      </c>
    </row>
    <row r="288" spans="11:20" x14ac:dyDescent="0.3">
      <c r="K288" t="s">
        <v>615</v>
      </c>
      <c r="L288">
        <v>48.5</v>
      </c>
      <c r="M288">
        <v>1005.18</v>
      </c>
      <c r="N288" t="s">
        <v>621</v>
      </c>
      <c r="O288">
        <v>72.7</v>
      </c>
      <c r="P288">
        <v>0.5</v>
      </c>
      <c r="R288" t="s">
        <v>663</v>
      </c>
      <c r="S288">
        <v>110.7</v>
      </c>
      <c r="T288" t="s">
        <v>235</v>
      </c>
    </row>
    <row r="289" spans="11:20" x14ac:dyDescent="0.3">
      <c r="K289" t="s">
        <v>615</v>
      </c>
      <c r="L289">
        <v>48.5</v>
      </c>
      <c r="M289">
        <v>1005.18</v>
      </c>
      <c r="N289" t="s">
        <v>621</v>
      </c>
      <c r="O289">
        <v>72.7</v>
      </c>
      <c r="P289">
        <v>0.5</v>
      </c>
      <c r="Q289">
        <v>0.7</v>
      </c>
      <c r="R289" t="s">
        <v>663</v>
      </c>
      <c r="S289">
        <v>114</v>
      </c>
      <c r="T289" t="s">
        <v>235</v>
      </c>
    </row>
    <row r="290" spans="11:20" x14ac:dyDescent="0.3">
      <c r="K290" t="s">
        <v>615</v>
      </c>
      <c r="L290">
        <v>48.5</v>
      </c>
      <c r="M290">
        <v>1005.18</v>
      </c>
      <c r="N290" t="s">
        <v>621</v>
      </c>
      <c r="O290">
        <v>72.7</v>
      </c>
      <c r="P290">
        <v>0.5</v>
      </c>
      <c r="R290" t="s">
        <v>663</v>
      </c>
      <c r="S290">
        <v>114</v>
      </c>
      <c r="T290" t="s">
        <v>235</v>
      </c>
    </row>
    <row r="291" spans="11:20" x14ac:dyDescent="0.3">
      <c r="K291" t="s">
        <v>615</v>
      </c>
      <c r="L291">
        <v>48.5</v>
      </c>
      <c r="M291">
        <v>1005.18</v>
      </c>
      <c r="N291" t="s">
        <v>621</v>
      </c>
      <c r="O291">
        <v>72.7</v>
      </c>
      <c r="P291">
        <v>0.5</v>
      </c>
      <c r="R291" t="s">
        <v>663</v>
      </c>
      <c r="S291">
        <v>104</v>
      </c>
      <c r="T291" t="s">
        <v>235</v>
      </c>
    </row>
    <row r="292" spans="11:20" x14ac:dyDescent="0.3">
      <c r="K292" t="s">
        <v>615</v>
      </c>
      <c r="L292">
        <v>48.5</v>
      </c>
      <c r="M292">
        <v>1005.18</v>
      </c>
      <c r="N292" t="s">
        <v>621</v>
      </c>
      <c r="O292">
        <v>72.7</v>
      </c>
      <c r="P292">
        <v>0.5</v>
      </c>
      <c r="Q292">
        <v>0.4</v>
      </c>
      <c r="R292" t="s">
        <v>663</v>
      </c>
      <c r="S292">
        <v>92</v>
      </c>
      <c r="T292" t="s">
        <v>235</v>
      </c>
    </row>
    <row r="293" spans="11:20" x14ac:dyDescent="0.3">
      <c r="K293" t="s">
        <v>615</v>
      </c>
      <c r="L293">
        <v>48.5</v>
      </c>
      <c r="M293">
        <v>1005.18</v>
      </c>
      <c r="N293" t="s">
        <v>621</v>
      </c>
      <c r="O293">
        <v>72.7</v>
      </c>
      <c r="P293">
        <v>0.5</v>
      </c>
      <c r="R293" t="s">
        <v>663</v>
      </c>
      <c r="S293">
        <v>134</v>
      </c>
      <c r="T293" t="s">
        <v>235</v>
      </c>
    </row>
    <row r="294" spans="11:20" x14ac:dyDescent="0.3">
      <c r="K294" t="s">
        <v>615</v>
      </c>
      <c r="L294">
        <v>48.5</v>
      </c>
      <c r="M294">
        <v>1005.18</v>
      </c>
      <c r="N294" t="s">
        <v>621</v>
      </c>
      <c r="O294">
        <v>72.7</v>
      </c>
      <c r="P294">
        <v>0.5</v>
      </c>
      <c r="Q294">
        <v>0.3</v>
      </c>
      <c r="R294" t="s">
        <v>663</v>
      </c>
      <c r="S294">
        <v>102</v>
      </c>
      <c r="T294" t="s">
        <v>235</v>
      </c>
    </row>
    <row r="295" spans="11:20" x14ac:dyDescent="0.3">
      <c r="K295" t="s">
        <v>615</v>
      </c>
      <c r="L295">
        <v>48.5</v>
      </c>
      <c r="M295">
        <v>1005.18</v>
      </c>
      <c r="N295" t="s">
        <v>621</v>
      </c>
      <c r="O295">
        <v>72.7</v>
      </c>
      <c r="P295">
        <v>0.5</v>
      </c>
      <c r="Q295">
        <v>0.5</v>
      </c>
      <c r="R295" t="s">
        <v>663</v>
      </c>
      <c r="S295">
        <v>113</v>
      </c>
      <c r="T295" t="s">
        <v>235</v>
      </c>
    </row>
    <row r="296" spans="11:20" x14ac:dyDescent="0.3">
      <c r="K296" t="s">
        <v>615</v>
      </c>
      <c r="L296">
        <v>48.5</v>
      </c>
      <c r="M296">
        <v>1005.18</v>
      </c>
      <c r="N296" t="s">
        <v>621</v>
      </c>
      <c r="O296">
        <v>72.7</v>
      </c>
      <c r="P296">
        <v>0.5</v>
      </c>
      <c r="Q296">
        <v>0.3</v>
      </c>
      <c r="R296" t="s">
        <v>663</v>
      </c>
      <c r="S296">
        <v>114</v>
      </c>
      <c r="T296" t="s">
        <v>235</v>
      </c>
    </row>
    <row r="297" spans="11:20" x14ac:dyDescent="0.3">
      <c r="K297" t="s">
        <v>615</v>
      </c>
      <c r="L297">
        <v>48.5</v>
      </c>
      <c r="M297">
        <v>1005.18</v>
      </c>
      <c r="N297" t="s">
        <v>621</v>
      </c>
      <c r="O297">
        <v>72.7</v>
      </c>
      <c r="P297">
        <v>0.5</v>
      </c>
      <c r="R297" t="s">
        <v>663</v>
      </c>
      <c r="S297">
        <v>101</v>
      </c>
      <c r="T297" t="s">
        <v>235</v>
      </c>
    </row>
    <row r="298" spans="11:20" x14ac:dyDescent="0.3">
      <c r="K298" t="s">
        <v>615</v>
      </c>
      <c r="L298">
        <v>48.5</v>
      </c>
      <c r="M298">
        <v>1005.18</v>
      </c>
      <c r="N298" t="s">
        <v>621</v>
      </c>
      <c r="O298">
        <v>72.7</v>
      </c>
      <c r="P298">
        <v>0.5</v>
      </c>
      <c r="R298" t="s">
        <v>663</v>
      </c>
      <c r="S298">
        <v>96</v>
      </c>
      <c r="T298" t="s">
        <v>235</v>
      </c>
    </row>
    <row r="299" spans="11:20" x14ac:dyDescent="0.3">
      <c r="K299" t="s">
        <v>615</v>
      </c>
      <c r="L299">
        <v>48.5</v>
      </c>
      <c r="M299">
        <v>1005.18</v>
      </c>
      <c r="N299" t="s">
        <v>621</v>
      </c>
      <c r="O299">
        <v>72.7</v>
      </c>
      <c r="P299">
        <v>0.5</v>
      </c>
      <c r="R299" t="s">
        <v>663</v>
      </c>
      <c r="S299">
        <v>101</v>
      </c>
      <c r="T299" t="s">
        <v>235</v>
      </c>
    </row>
    <row r="300" spans="11:20" x14ac:dyDescent="0.3">
      <c r="K300" t="s">
        <v>615</v>
      </c>
      <c r="L300">
        <v>48.5</v>
      </c>
      <c r="M300">
        <v>1005.18</v>
      </c>
      <c r="N300" t="s">
        <v>621</v>
      </c>
      <c r="O300">
        <v>72.7</v>
      </c>
      <c r="P300">
        <v>0.5</v>
      </c>
      <c r="R300" t="s">
        <v>663</v>
      </c>
      <c r="S300">
        <v>108</v>
      </c>
      <c r="T300" t="s">
        <v>235</v>
      </c>
    </row>
    <row r="301" spans="11:20" x14ac:dyDescent="0.3">
      <c r="K301" t="s">
        <v>615</v>
      </c>
      <c r="L301">
        <v>48.5</v>
      </c>
      <c r="M301">
        <v>1005.18</v>
      </c>
      <c r="N301" t="s">
        <v>621</v>
      </c>
      <c r="O301">
        <v>72.7</v>
      </c>
      <c r="P301">
        <v>0.5</v>
      </c>
      <c r="R301" t="s">
        <v>663</v>
      </c>
      <c r="S301">
        <v>108</v>
      </c>
      <c r="T301" t="s">
        <v>235</v>
      </c>
    </row>
    <row r="302" spans="11:20" x14ac:dyDescent="0.3">
      <c r="K302" t="s">
        <v>615</v>
      </c>
      <c r="L302">
        <v>48.5</v>
      </c>
      <c r="M302">
        <v>1005.18</v>
      </c>
      <c r="N302" t="s">
        <v>621</v>
      </c>
      <c r="O302">
        <v>72.7</v>
      </c>
      <c r="P302">
        <v>0.5</v>
      </c>
      <c r="R302" t="s">
        <v>663</v>
      </c>
      <c r="S302">
        <v>122.7</v>
      </c>
      <c r="T302" t="s">
        <v>235</v>
      </c>
    </row>
    <row r="303" spans="11:20" x14ac:dyDescent="0.3">
      <c r="K303" t="s">
        <v>615</v>
      </c>
      <c r="L303">
        <v>48.5</v>
      </c>
      <c r="M303">
        <v>1005.18</v>
      </c>
      <c r="N303" t="s">
        <v>621</v>
      </c>
      <c r="O303">
        <v>72.7</v>
      </c>
      <c r="P303">
        <v>0.5</v>
      </c>
      <c r="R303" t="s">
        <v>617</v>
      </c>
      <c r="S303">
        <v>133.5</v>
      </c>
      <c r="T303" t="s">
        <v>235</v>
      </c>
    </row>
    <row r="304" spans="11:20" x14ac:dyDescent="0.3">
      <c r="K304" t="s">
        <v>615</v>
      </c>
      <c r="L304">
        <v>48.5</v>
      </c>
      <c r="M304">
        <v>1005.18</v>
      </c>
      <c r="N304" t="s">
        <v>621</v>
      </c>
      <c r="O304">
        <v>72.7</v>
      </c>
      <c r="P304">
        <v>0.5</v>
      </c>
      <c r="R304" t="s">
        <v>663</v>
      </c>
      <c r="S304">
        <v>123</v>
      </c>
      <c r="T304" t="s">
        <v>235</v>
      </c>
    </row>
    <row r="305" spans="11:20" x14ac:dyDescent="0.3">
      <c r="K305" t="s">
        <v>615</v>
      </c>
      <c r="L305">
        <v>49.5</v>
      </c>
      <c r="M305">
        <v>1047.01</v>
      </c>
      <c r="N305" t="s">
        <v>619</v>
      </c>
      <c r="O305">
        <v>49.7</v>
      </c>
      <c r="P305">
        <v>0.5</v>
      </c>
      <c r="Q305">
        <v>0.7</v>
      </c>
      <c r="R305" t="s">
        <v>663</v>
      </c>
      <c r="S305">
        <v>95</v>
      </c>
      <c r="T305" t="s">
        <v>235</v>
      </c>
    </row>
    <row r="306" spans="11:20" x14ac:dyDescent="0.3">
      <c r="K306" t="s">
        <v>668</v>
      </c>
      <c r="L306">
        <v>54.6</v>
      </c>
      <c r="M306">
        <v>1273.98</v>
      </c>
      <c r="N306" t="s">
        <v>619</v>
      </c>
      <c r="O306">
        <v>56.4</v>
      </c>
      <c r="P306">
        <v>0.5</v>
      </c>
      <c r="R306" t="s">
        <v>663</v>
      </c>
      <c r="S306">
        <v>99</v>
      </c>
      <c r="T306" t="s">
        <v>235</v>
      </c>
    </row>
    <row r="307" spans="11:20" x14ac:dyDescent="0.3">
      <c r="K307" t="s">
        <v>615</v>
      </c>
      <c r="L307">
        <v>54.6</v>
      </c>
      <c r="M307">
        <v>1273.98</v>
      </c>
      <c r="N307" t="s">
        <v>619</v>
      </c>
      <c r="O307">
        <v>56.4</v>
      </c>
      <c r="P307">
        <v>0.5</v>
      </c>
      <c r="R307" t="s">
        <v>617</v>
      </c>
      <c r="S307">
        <v>97</v>
      </c>
      <c r="T307" t="s">
        <v>235</v>
      </c>
    </row>
    <row r="308" spans="11:20" x14ac:dyDescent="0.3">
      <c r="K308" t="s">
        <v>615</v>
      </c>
      <c r="L308">
        <v>54.6</v>
      </c>
      <c r="M308">
        <v>1273.98</v>
      </c>
      <c r="N308" t="s">
        <v>619</v>
      </c>
      <c r="O308">
        <v>56.4</v>
      </c>
      <c r="P308">
        <v>0.5</v>
      </c>
      <c r="R308" t="s">
        <v>663</v>
      </c>
      <c r="S308">
        <v>98</v>
      </c>
      <c r="T308" t="s">
        <v>235</v>
      </c>
    </row>
    <row r="309" spans="11:20" x14ac:dyDescent="0.3">
      <c r="K309" t="s">
        <v>615</v>
      </c>
      <c r="L309">
        <v>54.6</v>
      </c>
      <c r="M309">
        <v>1273.98</v>
      </c>
      <c r="N309" t="s">
        <v>619</v>
      </c>
      <c r="O309">
        <v>56.4</v>
      </c>
      <c r="P309">
        <v>0.5</v>
      </c>
      <c r="R309" t="s">
        <v>663</v>
      </c>
      <c r="S309">
        <v>104</v>
      </c>
      <c r="T309" t="s">
        <v>235</v>
      </c>
    </row>
    <row r="310" spans="11:20" x14ac:dyDescent="0.3">
      <c r="K310" t="s">
        <v>615</v>
      </c>
      <c r="L310">
        <v>54.6</v>
      </c>
      <c r="M310">
        <v>1275.74</v>
      </c>
      <c r="N310" t="s">
        <v>619</v>
      </c>
      <c r="O310">
        <v>56.5</v>
      </c>
      <c r="P310">
        <v>0.5</v>
      </c>
      <c r="Q310">
        <v>0.5</v>
      </c>
      <c r="R310" t="s">
        <v>663</v>
      </c>
      <c r="S310">
        <v>100</v>
      </c>
      <c r="T310" t="s">
        <v>235</v>
      </c>
    </row>
    <row r="311" spans="11:20" x14ac:dyDescent="0.3">
      <c r="K311" t="s">
        <v>615</v>
      </c>
      <c r="L311">
        <v>54.6</v>
      </c>
      <c r="M311">
        <v>1275.74</v>
      </c>
      <c r="N311" t="s">
        <v>619</v>
      </c>
      <c r="O311">
        <v>56.5</v>
      </c>
      <c r="P311">
        <v>0.5</v>
      </c>
      <c r="R311" t="s">
        <v>663</v>
      </c>
      <c r="S311">
        <v>100</v>
      </c>
      <c r="T311" t="s">
        <v>235</v>
      </c>
    </row>
    <row r="312" spans="11:20" x14ac:dyDescent="0.3">
      <c r="K312" t="s">
        <v>615</v>
      </c>
      <c r="L312">
        <v>54.6</v>
      </c>
      <c r="M312">
        <v>1275.74</v>
      </c>
      <c r="N312" t="s">
        <v>619</v>
      </c>
      <c r="O312">
        <v>56.5</v>
      </c>
      <c r="P312">
        <v>0.5</v>
      </c>
      <c r="R312" t="s">
        <v>663</v>
      </c>
      <c r="S312">
        <v>104</v>
      </c>
      <c r="T312" t="s">
        <v>235</v>
      </c>
    </row>
    <row r="313" spans="11:20" x14ac:dyDescent="0.3">
      <c r="K313" t="s">
        <v>615</v>
      </c>
      <c r="L313">
        <v>54.6</v>
      </c>
      <c r="M313">
        <v>1275.74</v>
      </c>
      <c r="N313" t="s">
        <v>619</v>
      </c>
      <c r="O313">
        <v>56.5</v>
      </c>
      <c r="P313">
        <v>0.5</v>
      </c>
      <c r="R313" t="s">
        <v>663</v>
      </c>
      <c r="S313">
        <v>91</v>
      </c>
      <c r="T313" t="s">
        <v>235</v>
      </c>
    </row>
    <row r="314" spans="11:20" x14ac:dyDescent="0.3">
      <c r="K314" t="s">
        <v>615</v>
      </c>
      <c r="L314">
        <v>54.6</v>
      </c>
      <c r="M314">
        <v>1273.98</v>
      </c>
      <c r="N314" t="s">
        <v>619</v>
      </c>
      <c r="O314">
        <v>56.4</v>
      </c>
      <c r="P314">
        <v>0.5</v>
      </c>
      <c r="R314" t="s">
        <v>663</v>
      </c>
      <c r="S314">
        <v>101</v>
      </c>
      <c r="T314" t="s">
        <v>235</v>
      </c>
    </row>
    <row r="315" spans="11:20" x14ac:dyDescent="0.3">
      <c r="K315" t="s">
        <v>615</v>
      </c>
      <c r="L315">
        <v>54.6</v>
      </c>
      <c r="M315">
        <v>1273.98</v>
      </c>
      <c r="N315" t="s">
        <v>619</v>
      </c>
      <c r="O315">
        <v>56.4</v>
      </c>
      <c r="P315">
        <v>0.5</v>
      </c>
      <c r="R315" t="s">
        <v>663</v>
      </c>
      <c r="S315">
        <v>99</v>
      </c>
      <c r="T315" t="s">
        <v>235</v>
      </c>
    </row>
    <row r="316" spans="11:20" x14ac:dyDescent="0.3">
      <c r="K316" t="s">
        <v>615</v>
      </c>
      <c r="L316">
        <v>54.6</v>
      </c>
      <c r="M316">
        <v>1273.98</v>
      </c>
      <c r="N316" t="s">
        <v>619</v>
      </c>
      <c r="O316">
        <v>56.4</v>
      </c>
      <c r="P316">
        <v>0.5</v>
      </c>
      <c r="R316" t="s">
        <v>663</v>
      </c>
      <c r="S316">
        <v>84</v>
      </c>
      <c r="T316" t="s">
        <v>235</v>
      </c>
    </row>
    <row r="317" spans="11:20" x14ac:dyDescent="0.3">
      <c r="K317" t="s">
        <v>615</v>
      </c>
      <c r="L317">
        <v>54.6</v>
      </c>
      <c r="M317">
        <v>1273.98</v>
      </c>
      <c r="N317" t="s">
        <v>619</v>
      </c>
      <c r="O317">
        <v>56.4</v>
      </c>
      <c r="P317">
        <v>0.5</v>
      </c>
      <c r="R317" t="s">
        <v>617</v>
      </c>
      <c r="S317">
        <v>100.6</v>
      </c>
      <c r="T317" t="s">
        <v>235</v>
      </c>
    </row>
    <row r="318" spans="11:20" x14ac:dyDescent="0.3">
      <c r="K318" t="s">
        <v>615</v>
      </c>
      <c r="L318">
        <v>54.6</v>
      </c>
      <c r="M318">
        <v>1273.98</v>
      </c>
      <c r="N318" t="s">
        <v>619</v>
      </c>
      <c r="O318">
        <v>56.4</v>
      </c>
      <c r="P318">
        <v>0.5</v>
      </c>
      <c r="R318" t="s">
        <v>617</v>
      </c>
      <c r="S318">
        <v>100.6</v>
      </c>
      <c r="T318" t="s">
        <v>235</v>
      </c>
    </row>
    <row r="319" spans="11:20" x14ac:dyDescent="0.3">
      <c r="K319" t="s">
        <v>615</v>
      </c>
      <c r="L319">
        <v>54.6</v>
      </c>
      <c r="M319">
        <v>1273.98</v>
      </c>
      <c r="N319" t="s">
        <v>619</v>
      </c>
      <c r="O319">
        <v>56.4</v>
      </c>
      <c r="P319">
        <v>0.5</v>
      </c>
      <c r="R319" t="s">
        <v>663</v>
      </c>
      <c r="S319">
        <v>80.599999999999994</v>
      </c>
      <c r="T319" t="s">
        <v>235</v>
      </c>
    </row>
    <row r="320" spans="11:20" x14ac:dyDescent="0.3">
      <c r="K320" t="s">
        <v>615</v>
      </c>
      <c r="L320">
        <v>54.6</v>
      </c>
      <c r="M320">
        <v>1273.98</v>
      </c>
      <c r="N320" t="s">
        <v>619</v>
      </c>
      <c r="O320">
        <v>56.4</v>
      </c>
      <c r="P320">
        <v>0.5</v>
      </c>
      <c r="R320" t="s">
        <v>663</v>
      </c>
      <c r="S320">
        <v>100.6</v>
      </c>
      <c r="T320" t="s">
        <v>235</v>
      </c>
    </row>
    <row r="321" spans="11:20" x14ac:dyDescent="0.3">
      <c r="K321" t="s">
        <v>615</v>
      </c>
      <c r="L321">
        <v>54.6</v>
      </c>
      <c r="M321">
        <v>1273.98</v>
      </c>
      <c r="N321" t="s">
        <v>619</v>
      </c>
      <c r="O321">
        <v>56.4</v>
      </c>
      <c r="P321">
        <v>0.5</v>
      </c>
      <c r="R321" t="s">
        <v>663</v>
      </c>
      <c r="S321">
        <v>102</v>
      </c>
      <c r="T321" t="s">
        <v>235</v>
      </c>
    </row>
    <row r="322" spans="11:20" x14ac:dyDescent="0.3">
      <c r="K322" t="s">
        <v>615</v>
      </c>
      <c r="L322">
        <v>54.6</v>
      </c>
      <c r="M322">
        <v>1275.74</v>
      </c>
      <c r="N322" t="s">
        <v>621</v>
      </c>
      <c r="O322">
        <v>84.7</v>
      </c>
      <c r="P322">
        <v>0.5</v>
      </c>
      <c r="Q322">
        <v>0.3</v>
      </c>
      <c r="R322" t="s">
        <v>663</v>
      </c>
      <c r="S322">
        <v>123</v>
      </c>
      <c r="T322" t="s">
        <v>235</v>
      </c>
    </row>
    <row r="323" spans="11:20" x14ac:dyDescent="0.3">
      <c r="K323" t="s">
        <v>615</v>
      </c>
      <c r="L323">
        <v>54.64</v>
      </c>
      <c r="M323">
        <v>1275.74</v>
      </c>
      <c r="N323" t="s">
        <v>621</v>
      </c>
      <c r="O323">
        <v>84.7</v>
      </c>
      <c r="P323">
        <v>0.5</v>
      </c>
      <c r="Q323">
        <v>0.3</v>
      </c>
      <c r="R323" t="s">
        <v>663</v>
      </c>
      <c r="S323">
        <v>152</v>
      </c>
      <c r="T323" t="s">
        <v>235</v>
      </c>
    </row>
    <row r="324" spans="11:20" x14ac:dyDescent="0.3">
      <c r="K324" t="s">
        <v>615</v>
      </c>
      <c r="L324">
        <v>54.6</v>
      </c>
      <c r="M324">
        <v>1273.98</v>
      </c>
      <c r="N324" t="s">
        <v>621</v>
      </c>
      <c r="O324">
        <v>84.7</v>
      </c>
      <c r="P324">
        <v>0.5</v>
      </c>
      <c r="R324" t="s">
        <v>663</v>
      </c>
      <c r="S324">
        <v>153.6</v>
      </c>
      <c r="T324" t="s">
        <v>235</v>
      </c>
    </row>
    <row r="325" spans="11:20" x14ac:dyDescent="0.3">
      <c r="K325" t="s">
        <v>615</v>
      </c>
      <c r="L325">
        <v>54.6</v>
      </c>
      <c r="M325">
        <v>1273.98</v>
      </c>
      <c r="N325" t="s">
        <v>621</v>
      </c>
      <c r="O325">
        <v>84.7</v>
      </c>
      <c r="P325">
        <v>0.5</v>
      </c>
      <c r="R325" t="s">
        <v>663</v>
      </c>
      <c r="S325">
        <v>142.6</v>
      </c>
      <c r="T325" t="s">
        <v>235</v>
      </c>
    </row>
    <row r="326" spans="11:20" x14ac:dyDescent="0.3">
      <c r="K326" t="s">
        <v>615</v>
      </c>
      <c r="L326">
        <v>54.6</v>
      </c>
      <c r="M326">
        <v>1273.98</v>
      </c>
      <c r="N326" t="s">
        <v>621</v>
      </c>
      <c r="O326">
        <v>84.7</v>
      </c>
      <c r="P326">
        <v>0.5</v>
      </c>
      <c r="Q326">
        <v>0.7</v>
      </c>
      <c r="R326" t="s">
        <v>663</v>
      </c>
      <c r="S326">
        <v>156</v>
      </c>
      <c r="T326" t="s">
        <v>235</v>
      </c>
    </row>
    <row r="327" spans="11:20" x14ac:dyDescent="0.3">
      <c r="K327" t="s">
        <v>615</v>
      </c>
      <c r="L327">
        <v>54.6</v>
      </c>
      <c r="M327">
        <v>1273.98</v>
      </c>
      <c r="N327" t="s">
        <v>667</v>
      </c>
      <c r="O327">
        <v>84.7</v>
      </c>
      <c r="P327">
        <v>0.5</v>
      </c>
      <c r="Q327">
        <v>0.7</v>
      </c>
      <c r="R327" t="s">
        <v>663</v>
      </c>
      <c r="S327">
        <v>156</v>
      </c>
      <c r="T327" t="s">
        <v>235</v>
      </c>
    </row>
    <row r="328" spans="11:20" x14ac:dyDescent="0.3">
      <c r="K328" t="s">
        <v>615</v>
      </c>
      <c r="L328">
        <v>54.6</v>
      </c>
      <c r="M328">
        <v>1273.98</v>
      </c>
      <c r="N328" t="s">
        <v>621</v>
      </c>
      <c r="O328">
        <v>84.7</v>
      </c>
      <c r="P328">
        <v>0.5</v>
      </c>
      <c r="R328" t="s">
        <v>663</v>
      </c>
      <c r="S328">
        <v>134</v>
      </c>
      <c r="T328" t="s">
        <v>235</v>
      </c>
    </row>
    <row r="329" spans="11:20" x14ac:dyDescent="0.3">
      <c r="K329" t="s">
        <v>615</v>
      </c>
      <c r="L329">
        <v>54.6</v>
      </c>
      <c r="M329">
        <v>1273.98</v>
      </c>
      <c r="N329" t="s">
        <v>621</v>
      </c>
      <c r="O329">
        <v>84.7</v>
      </c>
      <c r="P329">
        <v>0.5</v>
      </c>
      <c r="Q329">
        <v>0.4</v>
      </c>
      <c r="R329" t="s">
        <v>663</v>
      </c>
      <c r="S329">
        <v>112</v>
      </c>
      <c r="T329" t="s">
        <v>235</v>
      </c>
    </row>
    <row r="330" spans="11:20" x14ac:dyDescent="0.3">
      <c r="K330" t="s">
        <v>615</v>
      </c>
      <c r="L330">
        <v>54.6</v>
      </c>
      <c r="M330">
        <v>1273.98</v>
      </c>
      <c r="N330" t="s">
        <v>621</v>
      </c>
      <c r="O330">
        <v>84.7</v>
      </c>
      <c r="P330">
        <v>0.5</v>
      </c>
      <c r="R330" t="s">
        <v>663</v>
      </c>
      <c r="S330">
        <v>152</v>
      </c>
      <c r="T330" t="s">
        <v>235</v>
      </c>
    </row>
    <row r="331" spans="11:20" x14ac:dyDescent="0.3">
      <c r="K331" t="s">
        <v>615</v>
      </c>
      <c r="L331">
        <v>54.6</v>
      </c>
      <c r="M331">
        <v>1273.98</v>
      </c>
      <c r="N331" t="s">
        <v>621</v>
      </c>
      <c r="O331">
        <v>84.7</v>
      </c>
      <c r="P331">
        <v>0.5</v>
      </c>
      <c r="R331" t="s">
        <v>663</v>
      </c>
      <c r="S331">
        <v>131</v>
      </c>
      <c r="T331" t="s">
        <v>235</v>
      </c>
    </row>
    <row r="332" spans="11:20" x14ac:dyDescent="0.3">
      <c r="K332" t="s">
        <v>615</v>
      </c>
      <c r="L332">
        <v>54.6</v>
      </c>
      <c r="M332">
        <v>1275.74</v>
      </c>
      <c r="N332" t="s">
        <v>621</v>
      </c>
      <c r="O332">
        <v>84.7</v>
      </c>
      <c r="P332">
        <v>0.5</v>
      </c>
      <c r="Q332">
        <v>0.3</v>
      </c>
      <c r="R332" t="s">
        <v>663</v>
      </c>
      <c r="S332">
        <v>132</v>
      </c>
      <c r="T332" t="s">
        <v>235</v>
      </c>
    </row>
    <row r="333" spans="11:20" x14ac:dyDescent="0.3">
      <c r="K333" t="s">
        <v>615</v>
      </c>
      <c r="L333">
        <v>54.64</v>
      </c>
      <c r="M333">
        <v>1275.74</v>
      </c>
      <c r="N333" t="s">
        <v>621</v>
      </c>
      <c r="O333">
        <v>84.7</v>
      </c>
      <c r="P333">
        <v>0.5</v>
      </c>
      <c r="Q333">
        <v>0.4</v>
      </c>
      <c r="R333" t="s">
        <v>663</v>
      </c>
      <c r="S333">
        <v>112</v>
      </c>
      <c r="T333" t="s">
        <v>235</v>
      </c>
    </row>
    <row r="334" spans="11:20" x14ac:dyDescent="0.3">
      <c r="K334" t="s">
        <v>615</v>
      </c>
      <c r="L334">
        <v>54.64</v>
      </c>
      <c r="M334">
        <v>1275.74</v>
      </c>
      <c r="N334" t="s">
        <v>621</v>
      </c>
      <c r="O334">
        <v>84.7</v>
      </c>
      <c r="P334">
        <v>0.5</v>
      </c>
      <c r="Q334">
        <v>0.3</v>
      </c>
      <c r="R334" t="s">
        <v>663</v>
      </c>
      <c r="S334">
        <v>116</v>
      </c>
      <c r="T334" t="s">
        <v>235</v>
      </c>
    </row>
    <row r="335" spans="11:20" x14ac:dyDescent="0.3">
      <c r="K335" t="s">
        <v>615</v>
      </c>
      <c r="L335">
        <v>54.6</v>
      </c>
      <c r="M335">
        <v>1275.74</v>
      </c>
      <c r="N335" t="s">
        <v>621</v>
      </c>
      <c r="O335">
        <v>84.7</v>
      </c>
      <c r="P335">
        <v>0.5</v>
      </c>
      <c r="R335" t="s">
        <v>663</v>
      </c>
      <c r="S335">
        <v>109</v>
      </c>
      <c r="T335" t="s">
        <v>235</v>
      </c>
    </row>
    <row r="336" spans="11:20" x14ac:dyDescent="0.3">
      <c r="K336" t="s">
        <v>615</v>
      </c>
      <c r="L336">
        <v>54.6</v>
      </c>
      <c r="M336">
        <v>1275.74</v>
      </c>
      <c r="N336" t="s">
        <v>621</v>
      </c>
      <c r="O336">
        <v>84.7</v>
      </c>
      <c r="P336">
        <v>0.5</v>
      </c>
      <c r="R336" t="s">
        <v>663</v>
      </c>
      <c r="S336">
        <v>107</v>
      </c>
      <c r="T336" t="s">
        <v>235</v>
      </c>
    </row>
    <row r="337" spans="11:20" x14ac:dyDescent="0.3">
      <c r="K337" t="s">
        <v>615</v>
      </c>
      <c r="L337">
        <v>54.6</v>
      </c>
      <c r="M337">
        <v>1275.74</v>
      </c>
      <c r="N337" t="s">
        <v>621</v>
      </c>
      <c r="O337">
        <v>84.7</v>
      </c>
      <c r="P337">
        <v>0.5</v>
      </c>
      <c r="R337" t="s">
        <v>663</v>
      </c>
      <c r="S337">
        <v>103</v>
      </c>
      <c r="T337" t="s">
        <v>235</v>
      </c>
    </row>
    <row r="338" spans="11:20" x14ac:dyDescent="0.3">
      <c r="K338" t="s">
        <v>615</v>
      </c>
      <c r="L338">
        <v>54.64</v>
      </c>
      <c r="M338">
        <v>1275.74</v>
      </c>
      <c r="N338" t="s">
        <v>621</v>
      </c>
      <c r="O338">
        <v>84.7</v>
      </c>
      <c r="P338">
        <v>0.5</v>
      </c>
      <c r="R338" t="s">
        <v>663</v>
      </c>
      <c r="S338">
        <v>155</v>
      </c>
      <c r="T338" t="s">
        <v>235</v>
      </c>
    </row>
    <row r="339" spans="11:20" x14ac:dyDescent="0.3">
      <c r="K339" t="s">
        <v>615</v>
      </c>
      <c r="L339">
        <v>54.6</v>
      </c>
      <c r="M339">
        <v>1275.74</v>
      </c>
      <c r="N339" t="s">
        <v>621</v>
      </c>
      <c r="O339">
        <v>84.7</v>
      </c>
      <c r="P339">
        <v>0.5</v>
      </c>
      <c r="R339" t="s">
        <v>663</v>
      </c>
      <c r="S339">
        <v>113</v>
      </c>
      <c r="T339" t="s">
        <v>235</v>
      </c>
    </row>
    <row r="340" spans="11:20" x14ac:dyDescent="0.3">
      <c r="K340" t="s">
        <v>615</v>
      </c>
      <c r="L340">
        <v>54.6</v>
      </c>
      <c r="M340">
        <v>1273.98</v>
      </c>
      <c r="N340" t="s">
        <v>621</v>
      </c>
      <c r="O340">
        <v>84.7</v>
      </c>
      <c r="P340">
        <v>0.5</v>
      </c>
      <c r="R340" t="s">
        <v>663</v>
      </c>
      <c r="S340">
        <v>155.6</v>
      </c>
      <c r="T340" t="s">
        <v>235</v>
      </c>
    </row>
    <row r="341" spans="11:20" x14ac:dyDescent="0.3">
      <c r="K341" t="s">
        <v>615</v>
      </c>
      <c r="L341">
        <v>54.6</v>
      </c>
      <c r="M341">
        <v>1273.98</v>
      </c>
      <c r="N341" t="s">
        <v>621</v>
      </c>
      <c r="O341">
        <v>84.7</v>
      </c>
      <c r="P341">
        <v>0.5</v>
      </c>
      <c r="R341" t="s">
        <v>617</v>
      </c>
      <c r="S341">
        <v>140.80000000000001</v>
      </c>
      <c r="T341" t="s">
        <v>235</v>
      </c>
    </row>
    <row r="342" spans="11:20" x14ac:dyDescent="0.3">
      <c r="K342" t="s">
        <v>615</v>
      </c>
      <c r="L342">
        <v>54.6</v>
      </c>
      <c r="M342">
        <v>1273.98</v>
      </c>
      <c r="N342" t="s">
        <v>621</v>
      </c>
      <c r="O342">
        <v>84.7</v>
      </c>
      <c r="P342">
        <v>0.5</v>
      </c>
      <c r="R342" t="s">
        <v>617</v>
      </c>
      <c r="S342">
        <v>140.80000000000001</v>
      </c>
      <c r="T342" t="s">
        <v>235</v>
      </c>
    </row>
    <row r="343" spans="11:20" x14ac:dyDescent="0.3">
      <c r="K343" t="s">
        <v>615</v>
      </c>
      <c r="L343">
        <v>54.6</v>
      </c>
      <c r="M343">
        <v>1273.98</v>
      </c>
      <c r="N343" t="s">
        <v>621</v>
      </c>
      <c r="O343">
        <v>84.7</v>
      </c>
      <c r="P343">
        <v>0.5</v>
      </c>
      <c r="R343" t="s">
        <v>663</v>
      </c>
      <c r="S343">
        <v>135</v>
      </c>
      <c r="T343" t="s">
        <v>235</v>
      </c>
    </row>
    <row r="344" spans="11:20" x14ac:dyDescent="0.3">
      <c r="K344" t="s">
        <v>615</v>
      </c>
      <c r="L344">
        <v>57.5</v>
      </c>
      <c r="M344">
        <v>1412.88</v>
      </c>
      <c r="N344" t="s">
        <v>621</v>
      </c>
      <c r="O344">
        <v>90.2</v>
      </c>
      <c r="P344">
        <v>0.5</v>
      </c>
      <c r="R344" t="s">
        <v>663</v>
      </c>
      <c r="S344">
        <v>163</v>
      </c>
      <c r="T344" t="s">
        <v>235</v>
      </c>
    </row>
    <row r="345" spans="11:20" x14ac:dyDescent="0.3">
      <c r="K345" t="s">
        <v>615</v>
      </c>
      <c r="L345">
        <v>59.5</v>
      </c>
      <c r="M345">
        <v>1512.76</v>
      </c>
      <c r="N345" t="s">
        <v>619</v>
      </c>
      <c r="O345">
        <v>62.6</v>
      </c>
      <c r="P345">
        <v>0.5</v>
      </c>
      <c r="R345" t="s">
        <v>617</v>
      </c>
      <c r="S345">
        <v>109.8</v>
      </c>
      <c r="T345" t="s">
        <v>235</v>
      </c>
    </row>
    <row r="346" spans="11:20" x14ac:dyDescent="0.3">
      <c r="K346" t="s">
        <v>615</v>
      </c>
      <c r="L346">
        <v>59.5</v>
      </c>
      <c r="M346">
        <v>1512.76</v>
      </c>
      <c r="N346" t="s">
        <v>619</v>
      </c>
      <c r="O346">
        <v>62.6</v>
      </c>
      <c r="P346">
        <v>0.5</v>
      </c>
      <c r="R346" t="s">
        <v>617</v>
      </c>
      <c r="S346">
        <v>114</v>
      </c>
      <c r="T346" t="s">
        <v>235</v>
      </c>
    </row>
    <row r="347" spans="11:20" x14ac:dyDescent="0.3">
      <c r="K347" t="s">
        <v>615</v>
      </c>
      <c r="L347">
        <v>59.5</v>
      </c>
      <c r="M347">
        <v>1512.76</v>
      </c>
      <c r="N347" t="s">
        <v>619</v>
      </c>
      <c r="O347">
        <v>62.6</v>
      </c>
      <c r="P347">
        <v>0.5</v>
      </c>
      <c r="R347" t="s">
        <v>617</v>
      </c>
      <c r="S347">
        <v>116.3</v>
      </c>
      <c r="T347" t="s">
        <v>235</v>
      </c>
    </row>
    <row r="348" spans="11:20" x14ac:dyDescent="0.3">
      <c r="K348" t="s">
        <v>615</v>
      </c>
      <c r="L348">
        <v>59.5</v>
      </c>
      <c r="M348">
        <v>1512.76</v>
      </c>
      <c r="N348" t="s">
        <v>621</v>
      </c>
      <c r="O348">
        <v>94</v>
      </c>
      <c r="P348">
        <v>0.5</v>
      </c>
      <c r="Q348">
        <v>0.3</v>
      </c>
      <c r="R348" t="s">
        <v>663</v>
      </c>
      <c r="S348">
        <v>153</v>
      </c>
      <c r="T348" t="s">
        <v>235</v>
      </c>
    </row>
    <row r="349" spans="11:20" x14ac:dyDescent="0.3">
      <c r="K349" t="s">
        <v>615</v>
      </c>
      <c r="L349">
        <v>59.5</v>
      </c>
      <c r="M349">
        <v>1512.76</v>
      </c>
      <c r="N349" t="s">
        <v>621</v>
      </c>
      <c r="O349">
        <v>94</v>
      </c>
      <c r="P349">
        <v>0.5</v>
      </c>
      <c r="Q349">
        <v>0.3</v>
      </c>
      <c r="R349" t="s">
        <v>663</v>
      </c>
      <c r="S349">
        <v>167</v>
      </c>
      <c r="T349" t="s">
        <v>235</v>
      </c>
    </row>
    <row r="350" spans="11:20" x14ac:dyDescent="0.3">
      <c r="K350" t="s">
        <v>615</v>
      </c>
      <c r="L350">
        <v>59.5</v>
      </c>
      <c r="M350">
        <v>1512.76</v>
      </c>
      <c r="N350" t="s">
        <v>621</v>
      </c>
      <c r="O350">
        <v>94</v>
      </c>
      <c r="P350">
        <v>0.5</v>
      </c>
      <c r="R350" t="s">
        <v>663</v>
      </c>
      <c r="S350">
        <v>130</v>
      </c>
      <c r="T350" t="s">
        <v>235</v>
      </c>
    </row>
    <row r="351" spans="11:20" x14ac:dyDescent="0.3">
      <c r="K351" t="s">
        <v>615</v>
      </c>
      <c r="L351">
        <v>59.5</v>
      </c>
      <c r="M351">
        <v>1512.76</v>
      </c>
      <c r="N351" t="s">
        <v>621</v>
      </c>
      <c r="O351">
        <v>94</v>
      </c>
      <c r="P351">
        <v>0.5</v>
      </c>
      <c r="Q351">
        <v>0.6</v>
      </c>
      <c r="R351" t="s">
        <v>663</v>
      </c>
      <c r="S351">
        <v>170</v>
      </c>
      <c r="T351" t="s">
        <v>235</v>
      </c>
    </row>
    <row r="352" spans="11:20" x14ac:dyDescent="0.3">
      <c r="K352" t="s">
        <v>615</v>
      </c>
      <c r="L352">
        <v>59.5</v>
      </c>
      <c r="M352">
        <v>1512.76</v>
      </c>
      <c r="N352" t="s">
        <v>621</v>
      </c>
      <c r="O352">
        <v>94</v>
      </c>
      <c r="P352">
        <v>0.5</v>
      </c>
      <c r="R352" t="s">
        <v>663</v>
      </c>
      <c r="S352">
        <v>154</v>
      </c>
      <c r="T352" t="s">
        <v>235</v>
      </c>
    </row>
    <row r="353" spans="11:20" x14ac:dyDescent="0.3">
      <c r="K353" t="s">
        <v>615</v>
      </c>
      <c r="L353">
        <v>59.5</v>
      </c>
      <c r="M353">
        <v>1512.76</v>
      </c>
      <c r="N353" t="s">
        <v>621</v>
      </c>
      <c r="O353">
        <v>94</v>
      </c>
      <c r="P353">
        <v>0.5</v>
      </c>
      <c r="Q353">
        <v>0.4</v>
      </c>
      <c r="R353" t="s">
        <v>663</v>
      </c>
      <c r="S353">
        <v>112</v>
      </c>
      <c r="T353" t="s">
        <v>235</v>
      </c>
    </row>
    <row r="354" spans="11:20" x14ac:dyDescent="0.3">
      <c r="K354" t="s">
        <v>615</v>
      </c>
      <c r="L354">
        <v>59.5</v>
      </c>
      <c r="M354">
        <v>1512.76</v>
      </c>
      <c r="N354" t="s">
        <v>621</v>
      </c>
      <c r="O354">
        <v>94</v>
      </c>
      <c r="P354">
        <v>0.5</v>
      </c>
      <c r="Q354">
        <v>0.4</v>
      </c>
      <c r="R354" t="s">
        <v>663</v>
      </c>
      <c r="S354">
        <v>163.69999999999999</v>
      </c>
      <c r="T354" t="s">
        <v>235</v>
      </c>
    </row>
    <row r="355" spans="11:20" x14ac:dyDescent="0.3">
      <c r="K355" t="s">
        <v>615</v>
      </c>
      <c r="L355">
        <v>59.5</v>
      </c>
      <c r="M355">
        <v>1512.76</v>
      </c>
      <c r="N355" t="s">
        <v>621</v>
      </c>
      <c r="O355">
        <v>94</v>
      </c>
      <c r="P355">
        <v>0.5</v>
      </c>
      <c r="R355" t="s">
        <v>663</v>
      </c>
      <c r="S355">
        <v>154</v>
      </c>
      <c r="T355" t="s">
        <v>235</v>
      </c>
    </row>
    <row r="356" spans="11:20" x14ac:dyDescent="0.3">
      <c r="K356" t="s">
        <v>615</v>
      </c>
      <c r="L356">
        <v>59.5</v>
      </c>
      <c r="M356">
        <v>1512.76</v>
      </c>
      <c r="N356" t="s">
        <v>621</v>
      </c>
      <c r="O356">
        <v>94</v>
      </c>
      <c r="P356">
        <v>0.5</v>
      </c>
      <c r="R356" t="s">
        <v>663</v>
      </c>
      <c r="S356">
        <v>155</v>
      </c>
      <c r="T356" t="s">
        <v>235</v>
      </c>
    </row>
    <row r="357" spans="11:20" x14ac:dyDescent="0.3">
      <c r="K357" t="s">
        <v>615</v>
      </c>
      <c r="L357">
        <v>59.5</v>
      </c>
      <c r="M357">
        <v>1512.76</v>
      </c>
      <c r="N357" t="s">
        <v>621</v>
      </c>
      <c r="O357">
        <v>94</v>
      </c>
      <c r="P357">
        <v>0.5</v>
      </c>
      <c r="Q357">
        <v>0.3</v>
      </c>
      <c r="R357" t="s">
        <v>663</v>
      </c>
      <c r="S357">
        <v>159</v>
      </c>
      <c r="T357" t="s">
        <v>235</v>
      </c>
    </row>
    <row r="358" spans="11:20" x14ac:dyDescent="0.3">
      <c r="K358" t="s">
        <v>615</v>
      </c>
      <c r="L358">
        <v>59.5</v>
      </c>
      <c r="M358">
        <v>1512.76</v>
      </c>
      <c r="N358" t="s">
        <v>621</v>
      </c>
      <c r="O358">
        <v>94</v>
      </c>
      <c r="P358">
        <v>0.5</v>
      </c>
      <c r="Q358">
        <v>0.4</v>
      </c>
      <c r="R358" t="s">
        <v>663</v>
      </c>
      <c r="S358">
        <v>118</v>
      </c>
      <c r="T358" t="s">
        <v>235</v>
      </c>
    </row>
    <row r="359" spans="11:20" x14ac:dyDescent="0.3">
      <c r="K359" t="s">
        <v>615</v>
      </c>
      <c r="L359">
        <v>59.5</v>
      </c>
      <c r="M359">
        <v>1512.76</v>
      </c>
      <c r="N359" t="s">
        <v>621</v>
      </c>
      <c r="O359">
        <v>94</v>
      </c>
      <c r="P359">
        <v>0.5</v>
      </c>
      <c r="Q359">
        <v>0.3</v>
      </c>
      <c r="R359" t="s">
        <v>663</v>
      </c>
      <c r="S359">
        <v>132</v>
      </c>
      <c r="T359" t="s">
        <v>235</v>
      </c>
    </row>
    <row r="360" spans="11:20" x14ac:dyDescent="0.3">
      <c r="K360" t="s">
        <v>668</v>
      </c>
      <c r="L360">
        <v>64.5</v>
      </c>
      <c r="M360">
        <v>1777.68</v>
      </c>
      <c r="N360" t="s">
        <v>621</v>
      </c>
      <c r="O360">
        <v>102.8</v>
      </c>
      <c r="P360">
        <v>0.5</v>
      </c>
      <c r="R360" t="s">
        <v>663</v>
      </c>
      <c r="S360">
        <v>175.2</v>
      </c>
      <c r="T360" t="s">
        <v>235</v>
      </c>
    </row>
    <row r="361" spans="11:20" x14ac:dyDescent="0.3">
      <c r="K361" t="s">
        <v>615</v>
      </c>
      <c r="L361">
        <v>64.5</v>
      </c>
      <c r="M361">
        <v>1777.68</v>
      </c>
      <c r="N361" t="s">
        <v>619</v>
      </c>
      <c r="O361">
        <v>68.5</v>
      </c>
      <c r="P361">
        <v>0.5</v>
      </c>
      <c r="R361" t="s">
        <v>663</v>
      </c>
      <c r="S361">
        <v>120.7</v>
      </c>
      <c r="T361" t="s">
        <v>235</v>
      </c>
    </row>
    <row r="362" spans="11:20" x14ac:dyDescent="0.3">
      <c r="K362" t="s">
        <v>615</v>
      </c>
      <c r="L362">
        <v>64.5</v>
      </c>
      <c r="M362">
        <v>1777.68</v>
      </c>
      <c r="N362" t="s">
        <v>619</v>
      </c>
      <c r="O362">
        <v>68.5</v>
      </c>
      <c r="P362">
        <v>0.5</v>
      </c>
      <c r="R362" t="s">
        <v>663</v>
      </c>
      <c r="S362">
        <v>126</v>
      </c>
      <c r="T362" t="s">
        <v>235</v>
      </c>
    </row>
    <row r="363" spans="11:20" x14ac:dyDescent="0.3">
      <c r="K363" t="s">
        <v>615</v>
      </c>
      <c r="L363">
        <v>64.5</v>
      </c>
      <c r="M363">
        <v>1777.68</v>
      </c>
      <c r="N363" t="s">
        <v>619</v>
      </c>
      <c r="O363">
        <v>68.5</v>
      </c>
      <c r="P363">
        <v>0.5</v>
      </c>
      <c r="R363" t="s">
        <v>617</v>
      </c>
      <c r="S363">
        <v>122.5</v>
      </c>
      <c r="T363" t="s">
        <v>235</v>
      </c>
    </row>
    <row r="364" spans="11:20" x14ac:dyDescent="0.3">
      <c r="K364" t="s">
        <v>615</v>
      </c>
      <c r="L364">
        <v>64.5</v>
      </c>
      <c r="M364">
        <v>1777.68</v>
      </c>
      <c r="N364" t="s">
        <v>619</v>
      </c>
      <c r="O364">
        <v>68.5</v>
      </c>
      <c r="P364">
        <v>0.5</v>
      </c>
      <c r="R364" t="s">
        <v>663</v>
      </c>
      <c r="S364">
        <v>104.3</v>
      </c>
      <c r="T364" t="s">
        <v>235</v>
      </c>
    </row>
    <row r="365" spans="11:20" x14ac:dyDescent="0.3">
      <c r="K365" t="s">
        <v>615</v>
      </c>
      <c r="L365">
        <v>64.5</v>
      </c>
      <c r="M365">
        <v>1777.68</v>
      </c>
      <c r="N365" t="s">
        <v>619</v>
      </c>
      <c r="O365">
        <v>68.5</v>
      </c>
      <c r="P365">
        <v>0.5</v>
      </c>
      <c r="R365" t="s">
        <v>663</v>
      </c>
      <c r="S365">
        <v>124.4</v>
      </c>
      <c r="T365" t="s">
        <v>235</v>
      </c>
    </row>
    <row r="366" spans="11:20" x14ac:dyDescent="0.3">
      <c r="K366" t="s">
        <v>615</v>
      </c>
      <c r="L366">
        <v>64.5</v>
      </c>
      <c r="M366">
        <v>1777.68</v>
      </c>
      <c r="N366" t="s">
        <v>621</v>
      </c>
      <c r="O366">
        <v>102.8</v>
      </c>
      <c r="P366">
        <v>0.5</v>
      </c>
      <c r="Q366">
        <v>0.3</v>
      </c>
      <c r="R366" t="s">
        <v>663</v>
      </c>
      <c r="S366">
        <v>153</v>
      </c>
      <c r="T366" t="s">
        <v>235</v>
      </c>
    </row>
    <row r="367" spans="11:20" x14ac:dyDescent="0.3">
      <c r="K367" t="s">
        <v>615</v>
      </c>
      <c r="L367">
        <v>64.5</v>
      </c>
      <c r="M367">
        <v>1777.68</v>
      </c>
      <c r="N367" t="s">
        <v>621</v>
      </c>
      <c r="O367">
        <v>102.8</v>
      </c>
      <c r="P367">
        <v>0.5</v>
      </c>
      <c r="Q367">
        <v>0.4</v>
      </c>
      <c r="R367" t="s">
        <v>663</v>
      </c>
      <c r="S367">
        <v>190</v>
      </c>
      <c r="T367" t="s">
        <v>235</v>
      </c>
    </row>
    <row r="368" spans="11:20" x14ac:dyDescent="0.3">
      <c r="K368" t="s">
        <v>615</v>
      </c>
      <c r="L368">
        <v>64.5</v>
      </c>
      <c r="M368">
        <v>1777.68</v>
      </c>
      <c r="N368" t="s">
        <v>621</v>
      </c>
      <c r="O368">
        <v>102.8</v>
      </c>
      <c r="P368">
        <v>0.5</v>
      </c>
      <c r="Q368">
        <v>0.3</v>
      </c>
      <c r="R368" t="s">
        <v>663</v>
      </c>
      <c r="S368">
        <v>170</v>
      </c>
      <c r="T368" t="s">
        <v>235</v>
      </c>
    </row>
    <row r="369" spans="11:20" x14ac:dyDescent="0.3">
      <c r="K369" t="s">
        <v>615</v>
      </c>
      <c r="L369">
        <v>64.5</v>
      </c>
      <c r="M369">
        <v>1777.68</v>
      </c>
      <c r="N369" t="s">
        <v>621</v>
      </c>
      <c r="O369">
        <v>102.8</v>
      </c>
      <c r="P369">
        <v>0.5</v>
      </c>
      <c r="R369" t="s">
        <v>663</v>
      </c>
      <c r="S369">
        <v>154</v>
      </c>
      <c r="T369" t="s">
        <v>235</v>
      </c>
    </row>
    <row r="370" spans="11:20" x14ac:dyDescent="0.3">
      <c r="K370" t="s">
        <v>615</v>
      </c>
      <c r="L370">
        <v>64.5</v>
      </c>
      <c r="M370">
        <v>1777.68</v>
      </c>
      <c r="N370" t="s">
        <v>621</v>
      </c>
      <c r="O370">
        <v>102.8</v>
      </c>
      <c r="P370">
        <v>0.5</v>
      </c>
      <c r="Q370">
        <v>0.7</v>
      </c>
      <c r="R370" t="s">
        <v>663</v>
      </c>
      <c r="S370">
        <v>181</v>
      </c>
      <c r="T370" t="s">
        <v>235</v>
      </c>
    </row>
    <row r="371" spans="11:20" x14ac:dyDescent="0.3">
      <c r="K371" t="s">
        <v>615</v>
      </c>
      <c r="L371">
        <v>64.5</v>
      </c>
      <c r="M371">
        <v>1777.68</v>
      </c>
      <c r="N371" t="s">
        <v>667</v>
      </c>
      <c r="O371">
        <v>102.8</v>
      </c>
      <c r="P371">
        <v>0.5</v>
      </c>
      <c r="Q371">
        <v>0.7</v>
      </c>
      <c r="R371" t="s">
        <v>663</v>
      </c>
      <c r="S371">
        <v>181</v>
      </c>
      <c r="T371" t="s">
        <v>235</v>
      </c>
    </row>
    <row r="372" spans="11:20" x14ac:dyDescent="0.3">
      <c r="K372" t="s">
        <v>615</v>
      </c>
      <c r="L372">
        <v>64.5</v>
      </c>
      <c r="M372">
        <v>1777.68</v>
      </c>
      <c r="N372" t="s">
        <v>621</v>
      </c>
      <c r="O372">
        <v>102.8</v>
      </c>
      <c r="P372">
        <v>0.5</v>
      </c>
      <c r="R372" t="s">
        <v>663</v>
      </c>
      <c r="S372">
        <v>163</v>
      </c>
      <c r="T372" t="s">
        <v>235</v>
      </c>
    </row>
    <row r="373" spans="11:20" x14ac:dyDescent="0.3">
      <c r="K373" t="s">
        <v>615</v>
      </c>
      <c r="L373">
        <v>64.5</v>
      </c>
      <c r="M373">
        <v>1777.68</v>
      </c>
      <c r="N373" t="s">
        <v>621</v>
      </c>
      <c r="O373">
        <v>102.8</v>
      </c>
      <c r="P373">
        <v>0.5</v>
      </c>
      <c r="Q373">
        <v>0.4</v>
      </c>
      <c r="R373" t="s">
        <v>663</v>
      </c>
      <c r="S373">
        <v>112</v>
      </c>
      <c r="T373" t="s">
        <v>235</v>
      </c>
    </row>
    <row r="374" spans="11:20" x14ac:dyDescent="0.3">
      <c r="K374" t="s">
        <v>615</v>
      </c>
      <c r="L374">
        <v>64.5</v>
      </c>
      <c r="M374">
        <v>1777.68</v>
      </c>
      <c r="N374" t="s">
        <v>621</v>
      </c>
      <c r="O374">
        <v>102.8</v>
      </c>
      <c r="P374">
        <v>0.5</v>
      </c>
      <c r="Q374">
        <v>0.4</v>
      </c>
      <c r="R374" t="s">
        <v>663</v>
      </c>
      <c r="S374">
        <v>171.6</v>
      </c>
      <c r="T374" t="s">
        <v>235</v>
      </c>
    </row>
    <row r="375" spans="11:20" x14ac:dyDescent="0.3">
      <c r="K375" t="s">
        <v>615</v>
      </c>
      <c r="L375">
        <v>64.5</v>
      </c>
      <c r="M375">
        <v>1777.68</v>
      </c>
      <c r="N375" t="s">
        <v>621</v>
      </c>
      <c r="O375">
        <v>102.8</v>
      </c>
      <c r="P375">
        <v>0.5</v>
      </c>
      <c r="R375" t="s">
        <v>663</v>
      </c>
      <c r="S375">
        <v>183</v>
      </c>
      <c r="T375" t="s">
        <v>235</v>
      </c>
    </row>
    <row r="376" spans="11:20" x14ac:dyDescent="0.3">
      <c r="K376" t="s">
        <v>615</v>
      </c>
      <c r="L376">
        <v>64.5</v>
      </c>
      <c r="M376">
        <v>1777.68</v>
      </c>
      <c r="N376" t="s">
        <v>621</v>
      </c>
      <c r="O376">
        <v>102.8</v>
      </c>
      <c r="P376">
        <v>0.5</v>
      </c>
      <c r="R376" t="s">
        <v>663</v>
      </c>
      <c r="S376">
        <v>155</v>
      </c>
      <c r="T376" t="s">
        <v>235</v>
      </c>
    </row>
    <row r="377" spans="11:20" x14ac:dyDescent="0.3">
      <c r="K377" t="s">
        <v>615</v>
      </c>
      <c r="L377">
        <v>64.5</v>
      </c>
      <c r="M377">
        <v>1777.68</v>
      </c>
      <c r="N377" t="s">
        <v>621</v>
      </c>
      <c r="O377">
        <v>102.8</v>
      </c>
      <c r="P377">
        <v>0.5</v>
      </c>
      <c r="R377" t="s">
        <v>663</v>
      </c>
      <c r="S377">
        <v>188</v>
      </c>
      <c r="T377" t="s">
        <v>235</v>
      </c>
    </row>
    <row r="378" spans="11:20" x14ac:dyDescent="0.3">
      <c r="K378" t="s">
        <v>615</v>
      </c>
      <c r="L378">
        <v>64.5</v>
      </c>
      <c r="M378">
        <v>1777.68</v>
      </c>
      <c r="N378" t="s">
        <v>621</v>
      </c>
      <c r="O378">
        <v>102.8</v>
      </c>
      <c r="P378">
        <v>0.5</v>
      </c>
      <c r="Q378">
        <v>0.3</v>
      </c>
      <c r="R378" t="s">
        <v>663</v>
      </c>
      <c r="S378">
        <v>167</v>
      </c>
      <c r="T378" t="s">
        <v>235</v>
      </c>
    </row>
    <row r="379" spans="11:20" x14ac:dyDescent="0.3">
      <c r="K379" t="s">
        <v>615</v>
      </c>
      <c r="L379">
        <v>50</v>
      </c>
      <c r="M379">
        <v>1047.01</v>
      </c>
      <c r="N379" t="s">
        <v>621</v>
      </c>
      <c r="O379">
        <v>74.599999999999994</v>
      </c>
      <c r="P379">
        <v>0.5</v>
      </c>
      <c r="Q379">
        <v>0.9</v>
      </c>
      <c r="R379" t="s">
        <v>663</v>
      </c>
      <c r="S379">
        <v>128.30000000000001</v>
      </c>
      <c r="T379" t="s">
        <v>235</v>
      </c>
    </row>
    <row r="380" spans="11:20" x14ac:dyDescent="0.3">
      <c r="K380" t="s">
        <v>615</v>
      </c>
      <c r="L380">
        <v>23.76</v>
      </c>
      <c r="M380">
        <v>241.27</v>
      </c>
      <c r="N380" t="s">
        <v>619</v>
      </c>
      <c r="O380">
        <v>20.9</v>
      </c>
      <c r="P380">
        <v>0.5</v>
      </c>
      <c r="R380" t="s">
        <v>617</v>
      </c>
      <c r="S380">
        <v>35.1</v>
      </c>
      <c r="T380" t="s">
        <v>235</v>
      </c>
    </row>
    <row r="381" spans="11:20" x14ac:dyDescent="0.3">
      <c r="K381" t="s">
        <v>615</v>
      </c>
      <c r="L381">
        <v>54.6</v>
      </c>
      <c r="M381">
        <v>1275.74</v>
      </c>
      <c r="N381" t="s">
        <v>619</v>
      </c>
      <c r="O381">
        <v>56.5</v>
      </c>
      <c r="P381">
        <v>0.5</v>
      </c>
      <c r="R381" t="s">
        <v>663</v>
      </c>
      <c r="S381">
        <v>100.8</v>
      </c>
      <c r="T381" t="s">
        <v>235</v>
      </c>
    </row>
    <row r="382" spans="11:20" x14ac:dyDescent="0.3">
      <c r="K382" t="s">
        <v>615</v>
      </c>
      <c r="L382">
        <v>59.5</v>
      </c>
      <c r="M382">
        <v>1512.76</v>
      </c>
      <c r="N382" t="s">
        <v>619</v>
      </c>
      <c r="O382">
        <v>62.6</v>
      </c>
      <c r="P382">
        <v>0.5</v>
      </c>
      <c r="R382" t="s">
        <v>663</v>
      </c>
      <c r="S382">
        <v>109.4</v>
      </c>
      <c r="T382" t="s">
        <v>235</v>
      </c>
    </row>
    <row r="383" spans="11:20" x14ac:dyDescent="0.3">
      <c r="K383" t="s">
        <v>615</v>
      </c>
      <c r="L383">
        <v>32</v>
      </c>
      <c r="M383">
        <v>424.2</v>
      </c>
      <c r="N383" t="s">
        <v>616</v>
      </c>
      <c r="O383">
        <v>27.9</v>
      </c>
      <c r="P383">
        <v>0.5</v>
      </c>
      <c r="R383" t="s">
        <v>664</v>
      </c>
      <c r="S383">
        <v>51.4</v>
      </c>
      <c r="T383" t="s">
        <v>235</v>
      </c>
    </row>
    <row r="384" spans="11:20" x14ac:dyDescent="0.3">
      <c r="K384" t="s">
        <v>615</v>
      </c>
      <c r="L384">
        <v>32</v>
      </c>
      <c r="M384">
        <v>424.2</v>
      </c>
      <c r="N384" t="s">
        <v>616</v>
      </c>
      <c r="O384">
        <v>27.9</v>
      </c>
      <c r="P384">
        <v>0.5</v>
      </c>
      <c r="R384" t="s">
        <v>663</v>
      </c>
      <c r="S384">
        <v>47.9</v>
      </c>
      <c r="T384" t="s">
        <v>235</v>
      </c>
    </row>
    <row r="385" spans="11:20" x14ac:dyDescent="0.3">
      <c r="K385" t="s">
        <v>615</v>
      </c>
      <c r="L385">
        <v>32</v>
      </c>
      <c r="M385">
        <v>424.2</v>
      </c>
      <c r="N385" t="s">
        <v>616</v>
      </c>
      <c r="O385">
        <v>27.9</v>
      </c>
      <c r="P385">
        <v>0.5</v>
      </c>
      <c r="R385" t="s">
        <v>663</v>
      </c>
      <c r="S385">
        <v>45.1</v>
      </c>
      <c r="T385" t="s">
        <v>235</v>
      </c>
    </row>
    <row r="386" spans="11:20" x14ac:dyDescent="0.3">
      <c r="K386" t="s">
        <v>615</v>
      </c>
      <c r="L386">
        <v>39.5</v>
      </c>
      <c r="M386">
        <v>660.6</v>
      </c>
      <c r="N386" t="s">
        <v>619</v>
      </c>
      <c r="O386">
        <v>36.700000000000003</v>
      </c>
      <c r="P386">
        <v>0.5</v>
      </c>
      <c r="R386" t="s">
        <v>663</v>
      </c>
      <c r="S386">
        <v>56.2</v>
      </c>
      <c r="T386" t="s">
        <v>235</v>
      </c>
    </row>
    <row r="387" spans="11:20" x14ac:dyDescent="0.3">
      <c r="K387" t="s">
        <v>615</v>
      </c>
      <c r="L387">
        <v>39.5</v>
      </c>
      <c r="M387">
        <v>660.6</v>
      </c>
      <c r="N387" t="s">
        <v>619</v>
      </c>
      <c r="O387">
        <v>36.700000000000003</v>
      </c>
      <c r="P387">
        <v>0.5</v>
      </c>
      <c r="R387" t="s">
        <v>664</v>
      </c>
      <c r="S387">
        <v>55.8</v>
      </c>
      <c r="T387" t="s">
        <v>235</v>
      </c>
    </row>
    <row r="388" spans="11:20" x14ac:dyDescent="0.3">
      <c r="K388" t="s">
        <v>615</v>
      </c>
      <c r="L388">
        <v>39.5</v>
      </c>
      <c r="M388">
        <v>660.6</v>
      </c>
      <c r="N388" t="s">
        <v>619</v>
      </c>
      <c r="O388">
        <v>36.700000000000003</v>
      </c>
      <c r="P388">
        <v>0.5</v>
      </c>
      <c r="R388" t="s">
        <v>663</v>
      </c>
      <c r="S388">
        <v>50.4</v>
      </c>
      <c r="T388" t="s">
        <v>235</v>
      </c>
    </row>
    <row r="389" spans="11:20" x14ac:dyDescent="0.3">
      <c r="K389" t="s">
        <v>615</v>
      </c>
      <c r="L389">
        <v>42.5</v>
      </c>
      <c r="M389">
        <v>772.33</v>
      </c>
      <c r="N389" t="s">
        <v>619</v>
      </c>
      <c r="O389">
        <v>67</v>
      </c>
      <c r="P389">
        <v>0.5</v>
      </c>
      <c r="R389" t="s">
        <v>664</v>
      </c>
      <c r="S389">
        <v>57.9</v>
      </c>
      <c r="T389" t="s">
        <v>235</v>
      </c>
    </row>
    <row r="390" spans="11:20" x14ac:dyDescent="0.3">
      <c r="K390" t="s">
        <v>615</v>
      </c>
      <c r="L390">
        <v>43</v>
      </c>
      <c r="M390">
        <v>772.3</v>
      </c>
      <c r="N390" t="s">
        <v>619</v>
      </c>
      <c r="O390">
        <v>40.6</v>
      </c>
      <c r="P390">
        <v>0.5</v>
      </c>
      <c r="R390" t="s">
        <v>664</v>
      </c>
      <c r="S390">
        <v>59.6</v>
      </c>
      <c r="T390" t="s">
        <v>235</v>
      </c>
    </row>
    <row r="391" spans="11:20" x14ac:dyDescent="0.3">
      <c r="K391" t="s">
        <v>615</v>
      </c>
      <c r="L391">
        <v>43</v>
      </c>
      <c r="M391">
        <v>772.3</v>
      </c>
      <c r="N391" t="s">
        <v>619</v>
      </c>
      <c r="O391">
        <v>40.6</v>
      </c>
      <c r="P391">
        <v>0.5</v>
      </c>
      <c r="R391" t="s">
        <v>664</v>
      </c>
      <c r="S391">
        <v>60.2</v>
      </c>
      <c r="T391" t="s">
        <v>235</v>
      </c>
    </row>
    <row r="392" spans="11:20" x14ac:dyDescent="0.3">
      <c r="K392" t="s">
        <v>615</v>
      </c>
      <c r="L392">
        <v>42.5</v>
      </c>
      <c r="M392">
        <v>772.33</v>
      </c>
      <c r="N392" t="s">
        <v>619</v>
      </c>
      <c r="O392">
        <v>67</v>
      </c>
      <c r="P392">
        <v>0.5</v>
      </c>
      <c r="R392" t="s">
        <v>664</v>
      </c>
      <c r="S392">
        <v>57.9</v>
      </c>
      <c r="T392" t="s">
        <v>235</v>
      </c>
    </row>
    <row r="393" spans="11:20" x14ac:dyDescent="0.3">
      <c r="K393" t="s">
        <v>615</v>
      </c>
      <c r="L393">
        <v>27.5</v>
      </c>
      <c r="M393">
        <v>324.83</v>
      </c>
      <c r="N393" t="s">
        <v>619</v>
      </c>
      <c r="O393">
        <v>24.2</v>
      </c>
      <c r="P393">
        <v>0.5</v>
      </c>
      <c r="R393" t="s">
        <v>617</v>
      </c>
      <c r="S393">
        <v>37.700000000000003</v>
      </c>
      <c r="T393" t="s">
        <v>235</v>
      </c>
    </row>
    <row r="394" spans="11:20" x14ac:dyDescent="0.3">
      <c r="K394" t="s">
        <v>615</v>
      </c>
      <c r="L394">
        <v>49</v>
      </c>
      <c r="M394">
        <v>1005.27</v>
      </c>
      <c r="N394" t="s">
        <v>665</v>
      </c>
      <c r="O394">
        <v>72.599999999999994</v>
      </c>
      <c r="P394">
        <v>0.5</v>
      </c>
      <c r="R394" t="s">
        <v>664</v>
      </c>
      <c r="S394">
        <v>93.3</v>
      </c>
      <c r="T394" t="s">
        <v>235</v>
      </c>
    </row>
    <row r="395" spans="11:20" x14ac:dyDescent="0.3">
      <c r="K395" t="s">
        <v>615</v>
      </c>
      <c r="L395">
        <v>42.5</v>
      </c>
      <c r="M395">
        <v>771.85</v>
      </c>
      <c r="N395" t="s">
        <v>619</v>
      </c>
      <c r="O395">
        <v>40.700000000000003</v>
      </c>
      <c r="P395">
        <v>0.5</v>
      </c>
      <c r="R395" t="s">
        <v>617</v>
      </c>
      <c r="S395">
        <v>76.5</v>
      </c>
      <c r="T395" t="s">
        <v>235</v>
      </c>
    </row>
    <row r="396" spans="11:20" x14ac:dyDescent="0.3">
      <c r="K396" t="s">
        <v>615</v>
      </c>
      <c r="L396">
        <v>48</v>
      </c>
      <c r="M396">
        <v>968.73</v>
      </c>
      <c r="N396" t="s">
        <v>619</v>
      </c>
      <c r="O396">
        <v>47.3</v>
      </c>
      <c r="P396">
        <v>0.5</v>
      </c>
      <c r="R396" t="s">
        <v>617</v>
      </c>
      <c r="S396">
        <v>68.5</v>
      </c>
      <c r="T396" t="s">
        <v>235</v>
      </c>
    </row>
    <row r="397" spans="11:20" x14ac:dyDescent="0.3">
      <c r="K397" t="s">
        <v>615</v>
      </c>
      <c r="L397">
        <v>47.61</v>
      </c>
      <c r="M397">
        <v>968.73</v>
      </c>
      <c r="N397" t="s">
        <v>621</v>
      </c>
      <c r="O397">
        <v>70.900000000000006</v>
      </c>
      <c r="P397">
        <v>0.5</v>
      </c>
      <c r="R397" t="s">
        <v>617</v>
      </c>
      <c r="S397">
        <v>100.2</v>
      </c>
      <c r="T397" t="s">
        <v>235</v>
      </c>
    </row>
    <row r="398" spans="11:20" x14ac:dyDescent="0.3">
      <c r="K398" t="s">
        <v>615</v>
      </c>
      <c r="L398">
        <v>47.61</v>
      </c>
      <c r="M398">
        <v>968.73</v>
      </c>
      <c r="N398" t="s">
        <v>619</v>
      </c>
      <c r="O398">
        <v>47.3</v>
      </c>
      <c r="P398">
        <v>0.5</v>
      </c>
      <c r="R398" t="s">
        <v>617</v>
      </c>
      <c r="S398">
        <v>85.6</v>
      </c>
      <c r="T398" t="s">
        <v>235</v>
      </c>
    </row>
    <row r="399" spans="11:20" x14ac:dyDescent="0.3">
      <c r="K399" t="s">
        <v>615</v>
      </c>
      <c r="L399">
        <v>48.5</v>
      </c>
      <c r="M399">
        <v>1005.28</v>
      </c>
      <c r="N399" t="s">
        <v>621</v>
      </c>
      <c r="O399">
        <v>72.7</v>
      </c>
      <c r="P399">
        <v>0.5</v>
      </c>
      <c r="R399" t="s">
        <v>617</v>
      </c>
      <c r="S399">
        <v>116.6</v>
      </c>
      <c r="T399" t="s">
        <v>235</v>
      </c>
    </row>
    <row r="400" spans="11:20" x14ac:dyDescent="0.3">
      <c r="K400" t="s">
        <v>615</v>
      </c>
      <c r="L400">
        <v>50</v>
      </c>
      <c r="M400">
        <v>1047</v>
      </c>
      <c r="N400" t="s">
        <v>619</v>
      </c>
      <c r="O400">
        <v>121.4</v>
      </c>
      <c r="P400">
        <v>0.5</v>
      </c>
      <c r="R400" t="s">
        <v>617</v>
      </c>
      <c r="S400">
        <v>93.6</v>
      </c>
      <c r="T400" t="s">
        <v>235</v>
      </c>
    </row>
    <row r="401" spans="11:20" x14ac:dyDescent="0.3">
      <c r="K401" t="s">
        <v>615</v>
      </c>
      <c r="L401">
        <v>49.5</v>
      </c>
      <c r="M401">
        <v>1047</v>
      </c>
      <c r="N401" t="s">
        <v>619</v>
      </c>
      <c r="O401">
        <v>49.7</v>
      </c>
      <c r="P401">
        <v>0.5</v>
      </c>
      <c r="R401" t="s">
        <v>617</v>
      </c>
      <c r="S401">
        <v>80.099999999999994</v>
      </c>
      <c r="T401" t="s">
        <v>235</v>
      </c>
    </row>
    <row r="402" spans="11:20" x14ac:dyDescent="0.3">
      <c r="K402" t="s">
        <v>615</v>
      </c>
      <c r="L402">
        <v>50</v>
      </c>
      <c r="M402">
        <v>1047.01</v>
      </c>
      <c r="N402" t="s">
        <v>621</v>
      </c>
      <c r="O402">
        <v>74.599999999999994</v>
      </c>
      <c r="P402">
        <v>0.5</v>
      </c>
      <c r="R402" t="s">
        <v>617</v>
      </c>
      <c r="S402">
        <v>123.9</v>
      </c>
      <c r="T402" t="s">
        <v>235</v>
      </c>
    </row>
    <row r="403" spans="11:20" x14ac:dyDescent="0.3">
      <c r="K403" t="s">
        <v>615</v>
      </c>
      <c r="L403">
        <v>49.5</v>
      </c>
      <c r="M403">
        <v>1047.01</v>
      </c>
      <c r="N403" t="s">
        <v>619</v>
      </c>
      <c r="O403">
        <v>49.7</v>
      </c>
      <c r="P403">
        <v>0.5</v>
      </c>
      <c r="R403" t="s">
        <v>617</v>
      </c>
      <c r="S403">
        <v>84.6</v>
      </c>
      <c r="T403" t="s">
        <v>235</v>
      </c>
    </row>
    <row r="404" spans="11:20" x14ac:dyDescent="0.3">
      <c r="K404" t="s">
        <v>615</v>
      </c>
      <c r="L404">
        <v>49.5</v>
      </c>
      <c r="M404">
        <v>1047</v>
      </c>
      <c r="N404" t="s">
        <v>619</v>
      </c>
      <c r="O404">
        <v>49.7</v>
      </c>
      <c r="P404">
        <v>0.5</v>
      </c>
      <c r="R404" t="s">
        <v>617</v>
      </c>
      <c r="S404">
        <v>90.8</v>
      </c>
      <c r="T404" t="s">
        <v>235</v>
      </c>
    </row>
    <row r="405" spans="11:20" x14ac:dyDescent="0.3">
      <c r="K405" t="s">
        <v>615</v>
      </c>
      <c r="L405">
        <v>49.5</v>
      </c>
      <c r="M405">
        <v>1047.01</v>
      </c>
      <c r="N405" t="s">
        <v>619</v>
      </c>
      <c r="O405">
        <v>49.7</v>
      </c>
      <c r="P405">
        <v>0.5</v>
      </c>
      <c r="R405" t="s">
        <v>617</v>
      </c>
      <c r="S405">
        <v>89.2</v>
      </c>
      <c r="T405" t="s">
        <v>235</v>
      </c>
    </row>
    <row r="406" spans="11:20" x14ac:dyDescent="0.3">
      <c r="K406" t="s">
        <v>615</v>
      </c>
      <c r="L406">
        <v>54.6</v>
      </c>
      <c r="M406">
        <v>1275.67</v>
      </c>
      <c r="N406" t="s">
        <v>619</v>
      </c>
      <c r="O406">
        <v>125</v>
      </c>
      <c r="P406">
        <v>0.5</v>
      </c>
      <c r="R406" t="s">
        <v>617</v>
      </c>
      <c r="S406">
        <v>70.400000000000006</v>
      </c>
      <c r="T406" t="s">
        <v>235</v>
      </c>
    </row>
    <row r="407" spans="11:20" x14ac:dyDescent="0.3">
      <c r="K407" t="s">
        <v>615</v>
      </c>
      <c r="L407">
        <v>54.63</v>
      </c>
      <c r="M407">
        <v>1275.79</v>
      </c>
      <c r="N407" t="s">
        <v>619</v>
      </c>
      <c r="O407">
        <v>56.5</v>
      </c>
      <c r="P407">
        <v>0.5</v>
      </c>
      <c r="R407" t="s">
        <v>617</v>
      </c>
      <c r="S407">
        <v>103.1</v>
      </c>
      <c r="T407" t="s">
        <v>235</v>
      </c>
    </row>
    <row r="408" spans="11:20" x14ac:dyDescent="0.3">
      <c r="K408" t="s">
        <v>615</v>
      </c>
      <c r="L408">
        <v>54.64</v>
      </c>
      <c r="M408">
        <v>1275.67</v>
      </c>
      <c r="N408" t="s">
        <v>621</v>
      </c>
      <c r="O408">
        <v>84.7</v>
      </c>
      <c r="P408">
        <v>0.5</v>
      </c>
      <c r="R408" t="s">
        <v>617</v>
      </c>
      <c r="S408">
        <v>116.6</v>
      </c>
      <c r="T408" t="s">
        <v>235</v>
      </c>
    </row>
    <row r="409" spans="11:20" x14ac:dyDescent="0.3">
      <c r="K409" t="s">
        <v>615</v>
      </c>
      <c r="L409">
        <v>54.64</v>
      </c>
      <c r="M409">
        <v>1275.67</v>
      </c>
      <c r="N409" t="s">
        <v>621</v>
      </c>
      <c r="O409">
        <v>84.7</v>
      </c>
      <c r="P409">
        <v>0.5</v>
      </c>
      <c r="R409" t="s">
        <v>617</v>
      </c>
      <c r="S409">
        <v>134.9</v>
      </c>
      <c r="T409" t="s">
        <v>235</v>
      </c>
    </row>
    <row r="410" spans="11:20" x14ac:dyDescent="0.3">
      <c r="K410" t="s">
        <v>615</v>
      </c>
      <c r="L410">
        <v>54.64</v>
      </c>
      <c r="M410">
        <v>1275.67</v>
      </c>
      <c r="N410" t="s">
        <v>621</v>
      </c>
      <c r="O410">
        <v>84.7</v>
      </c>
      <c r="P410">
        <v>0.5</v>
      </c>
      <c r="R410" t="s">
        <v>617</v>
      </c>
      <c r="S410">
        <v>134.9</v>
      </c>
      <c r="T410" t="s">
        <v>235</v>
      </c>
    </row>
    <row r="411" spans="11:20" x14ac:dyDescent="0.3">
      <c r="K411" t="s">
        <v>615</v>
      </c>
      <c r="L411">
        <v>55</v>
      </c>
      <c r="M411">
        <v>1275.74</v>
      </c>
      <c r="N411" t="s">
        <v>619</v>
      </c>
      <c r="O411">
        <v>56.5</v>
      </c>
      <c r="P411">
        <v>0.5</v>
      </c>
      <c r="R411" t="s">
        <v>617</v>
      </c>
      <c r="S411">
        <v>89.7</v>
      </c>
      <c r="T411" t="s">
        <v>235</v>
      </c>
    </row>
    <row r="412" spans="11:20" x14ac:dyDescent="0.3">
      <c r="K412" t="s">
        <v>615</v>
      </c>
      <c r="L412">
        <v>54.64</v>
      </c>
      <c r="M412">
        <v>1275.67</v>
      </c>
      <c r="N412" t="s">
        <v>619</v>
      </c>
      <c r="O412">
        <v>56.5</v>
      </c>
      <c r="P412">
        <v>0.5</v>
      </c>
      <c r="R412" t="s">
        <v>617</v>
      </c>
      <c r="S412">
        <v>103.8</v>
      </c>
      <c r="T412" t="s">
        <v>235</v>
      </c>
    </row>
    <row r="413" spans="11:20" x14ac:dyDescent="0.3">
      <c r="K413" t="s">
        <v>615</v>
      </c>
      <c r="L413">
        <v>54.63</v>
      </c>
      <c r="M413">
        <v>1275.67</v>
      </c>
      <c r="N413" t="s">
        <v>621</v>
      </c>
      <c r="O413">
        <v>84.7</v>
      </c>
      <c r="P413">
        <v>0.5</v>
      </c>
      <c r="R413" t="s">
        <v>617</v>
      </c>
      <c r="S413">
        <v>122.1</v>
      </c>
      <c r="T413" t="s">
        <v>235</v>
      </c>
    </row>
    <row r="414" spans="11:20" x14ac:dyDescent="0.3">
      <c r="K414" t="s">
        <v>615</v>
      </c>
      <c r="L414">
        <v>60.04</v>
      </c>
      <c r="M414">
        <v>1540.07</v>
      </c>
      <c r="N414" t="s">
        <v>619</v>
      </c>
      <c r="O414">
        <v>63.3</v>
      </c>
      <c r="P414">
        <v>0.5</v>
      </c>
      <c r="R414" t="s">
        <v>617</v>
      </c>
      <c r="S414">
        <v>103</v>
      </c>
      <c r="T414" t="s">
        <v>235</v>
      </c>
    </row>
    <row r="415" spans="11:20" x14ac:dyDescent="0.3">
      <c r="K415" t="s">
        <v>615</v>
      </c>
      <c r="L415">
        <v>60.04</v>
      </c>
      <c r="M415">
        <v>1540.22</v>
      </c>
      <c r="N415" t="s">
        <v>619</v>
      </c>
      <c r="O415">
        <v>63.3</v>
      </c>
      <c r="P415">
        <v>0.5</v>
      </c>
      <c r="R415" t="s">
        <v>617</v>
      </c>
      <c r="S415">
        <v>116.6</v>
      </c>
      <c r="T415" t="s">
        <v>235</v>
      </c>
    </row>
    <row r="416" spans="11:20" x14ac:dyDescent="0.3">
      <c r="K416" t="s">
        <v>615</v>
      </c>
      <c r="L416">
        <v>64.52</v>
      </c>
      <c r="M416">
        <v>1778.87</v>
      </c>
      <c r="N416" t="s">
        <v>669</v>
      </c>
      <c r="O416">
        <v>116.7</v>
      </c>
      <c r="P416">
        <v>0.5</v>
      </c>
      <c r="R416" t="s">
        <v>617</v>
      </c>
      <c r="S416">
        <v>102</v>
      </c>
      <c r="T416" t="s">
        <v>670</v>
      </c>
    </row>
    <row r="417" spans="11:20" x14ac:dyDescent="0.3">
      <c r="K417" t="s">
        <v>615</v>
      </c>
      <c r="L417">
        <v>64.53</v>
      </c>
      <c r="M417">
        <v>1779.11</v>
      </c>
      <c r="N417" t="s">
        <v>621</v>
      </c>
      <c r="O417">
        <v>102.8</v>
      </c>
      <c r="P417">
        <v>0.5</v>
      </c>
      <c r="R417" t="s">
        <v>617</v>
      </c>
      <c r="S417">
        <v>158.6</v>
      </c>
      <c r="T417" t="s">
        <v>235</v>
      </c>
    </row>
    <row r="418" spans="11:20" x14ac:dyDescent="0.3">
      <c r="K418" t="s">
        <v>615</v>
      </c>
      <c r="L418">
        <v>64.53</v>
      </c>
      <c r="M418">
        <v>1779.11</v>
      </c>
      <c r="N418" t="s">
        <v>621</v>
      </c>
      <c r="O418">
        <v>102.8</v>
      </c>
      <c r="P418">
        <v>0.5</v>
      </c>
      <c r="R418" t="s">
        <v>617</v>
      </c>
      <c r="S418">
        <v>158.6</v>
      </c>
      <c r="T418" t="s">
        <v>235</v>
      </c>
    </row>
    <row r="419" spans="11:20" x14ac:dyDescent="0.3">
      <c r="K419" t="s">
        <v>615</v>
      </c>
      <c r="L419">
        <v>64.52</v>
      </c>
      <c r="M419">
        <v>1778.87</v>
      </c>
      <c r="N419" t="s">
        <v>669</v>
      </c>
      <c r="O419">
        <v>68.599999999999994</v>
      </c>
      <c r="P419">
        <v>0.5</v>
      </c>
      <c r="R419" t="s">
        <v>617</v>
      </c>
      <c r="S419">
        <v>119.8</v>
      </c>
      <c r="T419" t="s">
        <v>670</v>
      </c>
    </row>
    <row r="420" spans="11:20" x14ac:dyDescent="0.3">
      <c r="K420" t="s">
        <v>615</v>
      </c>
      <c r="L420">
        <v>64.53</v>
      </c>
      <c r="M420">
        <v>1779.11</v>
      </c>
      <c r="N420" t="s">
        <v>621</v>
      </c>
      <c r="O420">
        <v>102.8</v>
      </c>
      <c r="P420">
        <v>0.5</v>
      </c>
      <c r="R420" t="s">
        <v>617</v>
      </c>
      <c r="S420">
        <v>131.19999999999999</v>
      </c>
      <c r="T420" t="s">
        <v>235</v>
      </c>
    </row>
    <row r="421" spans="11:20" x14ac:dyDescent="0.3">
      <c r="K421" t="s">
        <v>615</v>
      </c>
      <c r="L421">
        <v>64.53</v>
      </c>
      <c r="M421">
        <v>1779.11</v>
      </c>
      <c r="N421" t="s">
        <v>621</v>
      </c>
      <c r="O421">
        <v>102.8</v>
      </c>
      <c r="P421">
        <v>0.5</v>
      </c>
      <c r="R421" t="s">
        <v>617</v>
      </c>
      <c r="S421">
        <v>131.19999999999999</v>
      </c>
      <c r="T421" t="s">
        <v>235</v>
      </c>
    </row>
    <row r="422" spans="11:20" x14ac:dyDescent="0.3">
      <c r="K422" t="s">
        <v>615</v>
      </c>
      <c r="L422">
        <v>40</v>
      </c>
      <c r="M422">
        <v>683.8</v>
      </c>
      <c r="N422" t="s">
        <v>619</v>
      </c>
      <c r="O422">
        <v>37.6</v>
      </c>
      <c r="P422">
        <v>0.5</v>
      </c>
      <c r="R422" t="s">
        <v>617</v>
      </c>
      <c r="S422">
        <v>67.8</v>
      </c>
      <c r="T422" t="s">
        <v>235</v>
      </c>
    </row>
    <row r="423" spans="11:20" x14ac:dyDescent="0.3">
      <c r="K423" t="s">
        <v>615</v>
      </c>
      <c r="L423">
        <v>47.61</v>
      </c>
      <c r="M423">
        <v>968.73</v>
      </c>
      <c r="N423" t="s">
        <v>619</v>
      </c>
      <c r="O423">
        <v>47.3</v>
      </c>
      <c r="P423">
        <v>0.5</v>
      </c>
      <c r="R423" t="s">
        <v>617</v>
      </c>
      <c r="S423">
        <v>86</v>
      </c>
      <c r="T423" t="s">
        <v>235</v>
      </c>
    </row>
    <row r="424" spans="11:20" x14ac:dyDescent="0.3">
      <c r="K424" t="s">
        <v>615</v>
      </c>
      <c r="L424">
        <v>48.5</v>
      </c>
      <c r="M424">
        <v>1005.28</v>
      </c>
      <c r="N424" t="s">
        <v>619</v>
      </c>
      <c r="O424">
        <v>48.4</v>
      </c>
      <c r="P424">
        <v>0.5</v>
      </c>
      <c r="R424" t="s">
        <v>617</v>
      </c>
      <c r="S424">
        <v>87.9</v>
      </c>
      <c r="T424" t="s">
        <v>235</v>
      </c>
    </row>
    <row r="425" spans="11:20" x14ac:dyDescent="0.3">
      <c r="K425" t="s">
        <v>615</v>
      </c>
      <c r="L425">
        <v>54.63</v>
      </c>
      <c r="M425">
        <v>1275.67</v>
      </c>
      <c r="N425" t="s">
        <v>619</v>
      </c>
      <c r="O425">
        <v>56.5</v>
      </c>
      <c r="P425">
        <v>0.5</v>
      </c>
      <c r="R425" t="s">
        <v>617</v>
      </c>
      <c r="S425">
        <v>102.5</v>
      </c>
      <c r="T425" t="s">
        <v>235</v>
      </c>
    </row>
    <row r="426" spans="11:20" x14ac:dyDescent="0.3">
      <c r="K426" t="s">
        <v>615</v>
      </c>
      <c r="L426">
        <v>54.64</v>
      </c>
      <c r="M426">
        <v>1275.67</v>
      </c>
      <c r="N426" t="s">
        <v>621</v>
      </c>
      <c r="O426">
        <v>84.7</v>
      </c>
      <c r="P426">
        <v>0.5</v>
      </c>
      <c r="R426" t="s">
        <v>617</v>
      </c>
      <c r="S426">
        <v>148.80000000000001</v>
      </c>
      <c r="T426" t="s">
        <v>235</v>
      </c>
    </row>
    <row r="427" spans="11:20" x14ac:dyDescent="0.3">
      <c r="K427" t="s">
        <v>615</v>
      </c>
      <c r="L427">
        <v>54.64</v>
      </c>
      <c r="M427">
        <v>1275.67</v>
      </c>
      <c r="N427" t="s">
        <v>621</v>
      </c>
      <c r="O427">
        <v>84.7</v>
      </c>
      <c r="P427">
        <v>0.5</v>
      </c>
      <c r="R427" t="s">
        <v>617</v>
      </c>
      <c r="S427">
        <v>148.80000000000001</v>
      </c>
      <c r="T427" t="s">
        <v>235</v>
      </c>
    </row>
    <row r="428" spans="11:20" x14ac:dyDescent="0.3">
      <c r="K428" t="s">
        <v>615</v>
      </c>
      <c r="L428">
        <v>54.64</v>
      </c>
      <c r="M428">
        <v>1275.67</v>
      </c>
      <c r="N428" t="s">
        <v>621</v>
      </c>
      <c r="O428">
        <v>84.7</v>
      </c>
      <c r="P428">
        <v>0.5</v>
      </c>
      <c r="R428" t="s">
        <v>617</v>
      </c>
      <c r="S428">
        <v>149.5</v>
      </c>
      <c r="T428" t="s">
        <v>235</v>
      </c>
    </row>
    <row r="429" spans="11:20" x14ac:dyDescent="0.3">
      <c r="K429" t="s">
        <v>615</v>
      </c>
      <c r="L429">
        <v>64.53</v>
      </c>
      <c r="M429">
        <v>1779.11</v>
      </c>
      <c r="N429" t="s">
        <v>621</v>
      </c>
      <c r="O429">
        <v>102.8</v>
      </c>
      <c r="P429">
        <v>0.5</v>
      </c>
      <c r="R429" t="s">
        <v>617</v>
      </c>
      <c r="S429">
        <v>167</v>
      </c>
      <c r="T429" t="s">
        <v>235</v>
      </c>
    </row>
    <row r="430" spans="11:20" x14ac:dyDescent="0.3">
      <c r="K430" t="s">
        <v>615</v>
      </c>
      <c r="L430">
        <v>64.53</v>
      </c>
      <c r="M430">
        <v>1779.11</v>
      </c>
      <c r="N430" t="s">
        <v>621</v>
      </c>
      <c r="O430">
        <v>102.8</v>
      </c>
      <c r="P430">
        <v>0.5</v>
      </c>
      <c r="R430" t="s">
        <v>617</v>
      </c>
      <c r="S430">
        <v>167</v>
      </c>
      <c r="T430" t="s">
        <v>235</v>
      </c>
    </row>
    <row r="431" spans="11:20" x14ac:dyDescent="0.3">
      <c r="K431" t="s">
        <v>615</v>
      </c>
      <c r="L431">
        <v>64.53</v>
      </c>
      <c r="M431">
        <v>1779.11</v>
      </c>
      <c r="N431" t="s">
        <v>621</v>
      </c>
      <c r="O431">
        <v>102.8</v>
      </c>
      <c r="P431">
        <v>0.5</v>
      </c>
      <c r="R431" t="s">
        <v>617</v>
      </c>
      <c r="S431">
        <v>167</v>
      </c>
      <c r="T431" t="s">
        <v>235</v>
      </c>
    </row>
    <row r="432" spans="11:20" x14ac:dyDescent="0.3">
      <c r="K432" t="s">
        <v>615</v>
      </c>
      <c r="L432">
        <v>47.61</v>
      </c>
      <c r="M432">
        <v>968.73</v>
      </c>
      <c r="N432" t="s">
        <v>619</v>
      </c>
      <c r="O432">
        <v>47.3</v>
      </c>
      <c r="P432">
        <v>0.5</v>
      </c>
      <c r="R432" t="s">
        <v>617</v>
      </c>
      <c r="S432">
        <v>84.2</v>
      </c>
      <c r="T432" t="s">
        <v>235</v>
      </c>
    </row>
    <row r="433" spans="11:20" x14ac:dyDescent="0.3">
      <c r="K433" t="s">
        <v>615</v>
      </c>
      <c r="L433">
        <v>49</v>
      </c>
      <c r="M433">
        <v>1005.27</v>
      </c>
      <c r="N433" t="s">
        <v>665</v>
      </c>
      <c r="O433">
        <v>72.599999999999994</v>
      </c>
      <c r="P433">
        <v>0.5</v>
      </c>
      <c r="R433" t="s">
        <v>664</v>
      </c>
      <c r="S433">
        <v>93.3</v>
      </c>
      <c r="T433" t="s">
        <v>235</v>
      </c>
    </row>
    <row r="434" spans="11:20" x14ac:dyDescent="0.3">
      <c r="K434" t="s">
        <v>615</v>
      </c>
      <c r="L434">
        <v>49</v>
      </c>
      <c r="M434">
        <v>1005.28</v>
      </c>
      <c r="N434" t="s">
        <v>621</v>
      </c>
      <c r="O434">
        <v>72.599999999999994</v>
      </c>
      <c r="P434">
        <v>0.5</v>
      </c>
      <c r="R434" t="s">
        <v>664</v>
      </c>
      <c r="S434">
        <v>119.4</v>
      </c>
      <c r="T434" t="s">
        <v>235</v>
      </c>
    </row>
    <row r="435" spans="11:20" x14ac:dyDescent="0.3">
      <c r="K435" t="s">
        <v>615</v>
      </c>
      <c r="L435">
        <v>50</v>
      </c>
      <c r="M435">
        <v>1047.01</v>
      </c>
      <c r="N435" t="s">
        <v>619</v>
      </c>
      <c r="O435">
        <v>49.7</v>
      </c>
      <c r="P435">
        <v>0.5</v>
      </c>
      <c r="R435" t="s">
        <v>664</v>
      </c>
      <c r="S435">
        <v>76.099999999999994</v>
      </c>
      <c r="T435" t="s">
        <v>235</v>
      </c>
    </row>
    <row r="436" spans="11:20" x14ac:dyDescent="0.3">
      <c r="K436" t="s">
        <v>615</v>
      </c>
      <c r="L436">
        <v>50</v>
      </c>
      <c r="M436">
        <v>1047.01</v>
      </c>
      <c r="N436" t="s">
        <v>619</v>
      </c>
      <c r="O436">
        <v>49.7</v>
      </c>
      <c r="P436">
        <v>0.5</v>
      </c>
      <c r="R436" t="s">
        <v>664</v>
      </c>
      <c r="S436">
        <v>76.2</v>
      </c>
      <c r="T436" t="s">
        <v>235</v>
      </c>
    </row>
    <row r="437" spans="11:20" x14ac:dyDescent="0.3">
      <c r="K437" t="s">
        <v>615</v>
      </c>
      <c r="L437">
        <v>54.64</v>
      </c>
      <c r="M437">
        <v>1275.67</v>
      </c>
      <c r="N437" t="s">
        <v>619</v>
      </c>
      <c r="O437">
        <v>56.5</v>
      </c>
      <c r="P437">
        <v>0.5</v>
      </c>
      <c r="R437" t="s">
        <v>617</v>
      </c>
      <c r="S437">
        <v>94.7</v>
      </c>
      <c r="T437" t="s">
        <v>235</v>
      </c>
    </row>
    <row r="438" spans="11:20" x14ac:dyDescent="0.3">
      <c r="K438" t="s">
        <v>615</v>
      </c>
      <c r="L438">
        <v>50</v>
      </c>
      <c r="M438">
        <v>1047.01</v>
      </c>
      <c r="N438" t="s">
        <v>619</v>
      </c>
      <c r="O438">
        <v>49.7</v>
      </c>
      <c r="P438">
        <v>0.5</v>
      </c>
      <c r="R438" t="s">
        <v>664</v>
      </c>
      <c r="S438">
        <v>72.400000000000006</v>
      </c>
      <c r="T438" t="s">
        <v>235</v>
      </c>
    </row>
    <row r="439" spans="11:20" x14ac:dyDescent="0.3">
      <c r="K439" t="s">
        <v>615</v>
      </c>
      <c r="L439">
        <v>55</v>
      </c>
      <c r="M439">
        <v>1275.67</v>
      </c>
      <c r="N439" t="s">
        <v>619</v>
      </c>
      <c r="O439">
        <v>90.9</v>
      </c>
      <c r="P439">
        <v>0.5</v>
      </c>
      <c r="R439" t="s">
        <v>664</v>
      </c>
      <c r="S439">
        <v>86.2</v>
      </c>
      <c r="T439" t="s">
        <v>235</v>
      </c>
    </row>
    <row r="440" spans="11:20" x14ac:dyDescent="0.3">
      <c r="K440" t="s">
        <v>615</v>
      </c>
      <c r="L440">
        <v>55</v>
      </c>
      <c r="M440">
        <v>1275.67</v>
      </c>
      <c r="N440" t="s">
        <v>619</v>
      </c>
      <c r="O440">
        <v>56.4</v>
      </c>
      <c r="P440">
        <v>0.5</v>
      </c>
      <c r="R440" t="s">
        <v>664</v>
      </c>
      <c r="S440">
        <v>92.5</v>
      </c>
      <c r="T440" t="s">
        <v>235</v>
      </c>
    </row>
    <row r="441" spans="11:20" x14ac:dyDescent="0.3">
      <c r="K441" t="s">
        <v>615</v>
      </c>
      <c r="L441">
        <v>55</v>
      </c>
      <c r="M441">
        <v>1275.67</v>
      </c>
      <c r="N441" t="s">
        <v>619</v>
      </c>
      <c r="O441">
        <v>56.4</v>
      </c>
      <c r="P441">
        <v>0.5</v>
      </c>
      <c r="R441" t="s">
        <v>664</v>
      </c>
      <c r="S441">
        <v>73.8</v>
      </c>
      <c r="T441" t="s">
        <v>235</v>
      </c>
    </row>
    <row r="442" spans="11:20" x14ac:dyDescent="0.3">
      <c r="K442" t="s">
        <v>615</v>
      </c>
      <c r="L442">
        <v>55</v>
      </c>
      <c r="M442">
        <v>1275.67</v>
      </c>
      <c r="N442" t="s">
        <v>619</v>
      </c>
      <c r="O442">
        <v>90.9</v>
      </c>
      <c r="P442">
        <v>0.5</v>
      </c>
      <c r="R442" t="s">
        <v>664</v>
      </c>
      <c r="S442">
        <v>86.2</v>
      </c>
      <c r="T442" t="s">
        <v>235</v>
      </c>
    </row>
    <row r="443" spans="11:20" x14ac:dyDescent="0.3">
      <c r="K443" t="s">
        <v>615</v>
      </c>
      <c r="L443">
        <v>55</v>
      </c>
      <c r="M443">
        <v>1275.67</v>
      </c>
      <c r="N443" t="s">
        <v>621</v>
      </c>
      <c r="O443">
        <v>84.7</v>
      </c>
      <c r="P443">
        <v>0.5</v>
      </c>
      <c r="R443" t="s">
        <v>664</v>
      </c>
      <c r="S443">
        <v>141.5</v>
      </c>
      <c r="T443" t="s">
        <v>235</v>
      </c>
    </row>
    <row r="444" spans="11:20" x14ac:dyDescent="0.3">
      <c r="K444" t="s">
        <v>615</v>
      </c>
      <c r="L444">
        <v>55</v>
      </c>
      <c r="M444">
        <v>1275.67</v>
      </c>
      <c r="N444" t="s">
        <v>665</v>
      </c>
      <c r="O444">
        <v>84.7</v>
      </c>
      <c r="P444">
        <v>0.5</v>
      </c>
      <c r="R444" t="s">
        <v>664</v>
      </c>
      <c r="S444">
        <v>122.4</v>
      </c>
      <c r="T444" t="s">
        <v>235</v>
      </c>
    </row>
    <row r="445" spans="11:20" x14ac:dyDescent="0.3">
      <c r="K445" t="s">
        <v>615</v>
      </c>
      <c r="L445">
        <v>55</v>
      </c>
      <c r="M445">
        <v>1275.67</v>
      </c>
      <c r="N445" t="s">
        <v>665</v>
      </c>
      <c r="O445">
        <v>84.7</v>
      </c>
      <c r="P445">
        <v>0.5</v>
      </c>
      <c r="R445" t="s">
        <v>664</v>
      </c>
      <c r="S445">
        <v>128.5</v>
      </c>
      <c r="T445" t="s">
        <v>235</v>
      </c>
    </row>
    <row r="446" spans="11:20" x14ac:dyDescent="0.3">
      <c r="K446" t="s">
        <v>615</v>
      </c>
      <c r="L446">
        <v>55</v>
      </c>
      <c r="M446">
        <v>1275.67</v>
      </c>
      <c r="N446" t="s">
        <v>665</v>
      </c>
      <c r="O446">
        <v>84.7</v>
      </c>
      <c r="P446">
        <v>0.5</v>
      </c>
      <c r="R446" t="s">
        <v>664</v>
      </c>
      <c r="S446">
        <v>128.5</v>
      </c>
      <c r="T446" t="s">
        <v>235</v>
      </c>
    </row>
    <row r="447" spans="11:20" x14ac:dyDescent="0.3">
      <c r="K447" t="s">
        <v>615</v>
      </c>
      <c r="L447">
        <v>55</v>
      </c>
      <c r="M447">
        <v>1275.67</v>
      </c>
      <c r="N447" t="s">
        <v>621</v>
      </c>
      <c r="O447">
        <v>84.7</v>
      </c>
      <c r="P447">
        <v>0.5</v>
      </c>
      <c r="R447" t="s">
        <v>664</v>
      </c>
      <c r="S447">
        <v>130.6</v>
      </c>
      <c r="T447" t="s">
        <v>235</v>
      </c>
    </row>
    <row r="448" spans="11:20" x14ac:dyDescent="0.3">
      <c r="K448" t="s">
        <v>615</v>
      </c>
      <c r="L448">
        <v>65</v>
      </c>
      <c r="M448">
        <v>1779.11</v>
      </c>
      <c r="N448" t="s">
        <v>665</v>
      </c>
      <c r="O448">
        <v>102.8</v>
      </c>
      <c r="P448">
        <v>0.5</v>
      </c>
      <c r="R448" t="s">
        <v>664</v>
      </c>
      <c r="S448">
        <v>164.2</v>
      </c>
      <c r="T448" t="s">
        <v>235</v>
      </c>
    </row>
    <row r="449" spans="11:20" x14ac:dyDescent="0.3">
      <c r="K449" t="s">
        <v>615</v>
      </c>
      <c r="L449">
        <v>65</v>
      </c>
      <c r="M449">
        <v>1779.11</v>
      </c>
      <c r="N449" t="s">
        <v>621</v>
      </c>
      <c r="O449">
        <v>102.8</v>
      </c>
      <c r="P449">
        <v>0.5</v>
      </c>
      <c r="R449" t="s">
        <v>664</v>
      </c>
      <c r="S449">
        <v>168.8</v>
      </c>
      <c r="T449" t="s">
        <v>235</v>
      </c>
    </row>
    <row r="450" spans="11:20" x14ac:dyDescent="0.3">
      <c r="K450" t="s">
        <v>615</v>
      </c>
      <c r="L450">
        <v>47.61</v>
      </c>
      <c r="M450">
        <v>968.61</v>
      </c>
      <c r="N450" t="s">
        <v>619</v>
      </c>
      <c r="O450">
        <v>47.3</v>
      </c>
      <c r="P450">
        <v>0.5</v>
      </c>
      <c r="R450" t="s">
        <v>617</v>
      </c>
      <c r="S450">
        <v>81.3</v>
      </c>
      <c r="T450" t="s">
        <v>235</v>
      </c>
    </row>
    <row r="451" spans="11:20" x14ac:dyDescent="0.3">
      <c r="K451" t="s">
        <v>615</v>
      </c>
      <c r="L451">
        <v>31.55</v>
      </c>
      <c r="M451">
        <v>425.27</v>
      </c>
      <c r="N451" t="s">
        <v>619</v>
      </c>
      <c r="O451">
        <v>28</v>
      </c>
      <c r="P451">
        <v>0.5</v>
      </c>
      <c r="R451" t="s">
        <v>617</v>
      </c>
      <c r="S451">
        <v>52</v>
      </c>
      <c r="T451" t="s">
        <v>235</v>
      </c>
    </row>
    <row r="452" spans="11:20" x14ac:dyDescent="0.3">
      <c r="K452" t="s">
        <v>615</v>
      </c>
      <c r="L452">
        <v>40</v>
      </c>
      <c r="M452">
        <v>683.8</v>
      </c>
      <c r="N452" t="s">
        <v>619</v>
      </c>
      <c r="O452">
        <v>37.6</v>
      </c>
      <c r="P452">
        <v>0.5</v>
      </c>
      <c r="R452" t="s">
        <v>617</v>
      </c>
      <c r="S452">
        <v>68.5</v>
      </c>
      <c r="T452" t="s">
        <v>235</v>
      </c>
    </row>
    <row r="453" spans="11:20" x14ac:dyDescent="0.3">
      <c r="K453" t="s">
        <v>615</v>
      </c>
      <c r="L453">
        <v>47.61</v>
      </c>
      <c r="M453">
        <v>968.73</v>
      </c>
      <c r="N453" t="s">
        <v>619</v>
      </c>
      <c r="O453">
        <v>47.3</v>
      </c>
      <c r="P453">
        <v>0.5</v>
      </c>
      <c r="R453" t="s">
        <v>617</v>
      </c>
      <c r="S453">
        <v>85.6</v>
      </c>
      <c r="T453" t="s">
        <v>235</v>
      </c>
    </row>
    <row r="454" spans="11:20" x14ac:dyDescent="0.3">
      <c r="K454" t="s">
        <v>615</v>
      </c>
      <c r="L454">
        <v>54.64</v>
      </c>
      <c r="M454">
        <v>1275.67</v>
      </c>
      <c r="N454" t="s">
        <v>619</v>
      </c>
      <c r="O454">
        <v>56.5</v>
      </c>
      <c r="P454">
        <v>0.5</v>
      </c>
      <c r="R454" t="s">
        <v>617</v>
      </c>
      <c r="S454">
        <v>102.5</v>
      </c>
      <c r="T454" t="s">
        <v>235</v>
      </c>
    </row>
    <row r="455" spans="11:20" x14ac:dyDescent="0.3">
      <c r="K455" t="s">
        <v>615</v>
      </c>
      <c r="L455">
        <v>31.55</v>
      </c>
      <c r="M455">
        <v>425.27</v>
      </c>
      <c r="N455" t="s">
        <v>619</v>
      </c>
      <c r="O455">
        <v>28</v>
      </c>
      <c r="P455">
        <v>0.5</v>
      </c>
      <c r="R455" t="s">
        <v>617</v>
      </c>
      <c r="S455">
        <v>53.9</v>
      </c>
      <c r="T455" t="s">
        <v>235</v>
      </c>
    </row>
    <row r="456" spans="11:20" x14ac:dyDescent="0.3">
      <c r="K456" t="s">
        <v>615</v>
      </c>
      <c r="L456">
        <v>31.55</v>
      </c>
      <c r="M456">
        <v>425.27</v>
      </c>
      <c r="N456" t="s">
        <v>619</v>
      </c>
      <c r="O456">
        <v>28</v>
      </c>
      <c r="P456">
        <v>0.5</v>
      </c>
      <c r="R456" t="s">
        <v>617</v>
      </c>
      <c r="S456">
        <v>53.9</v>
      </c>
      <c r="T456" t="s">
        <v>235</v>
      </c>
    </row>
    <row r="457" spans="11:20" x14ac:dyDescent="0.3">
      <c r="K457" t="s">
        <v>615</v>
      </c>
      <c r="L457">
        <v>40</v>
      </c>
      <c r="M457">
        <v>683.8</v>
      </c>
      <c r="N457" t="s">
        <v>619</v>
      </c>
      <c r="O457">
        <v>37.6</v>
      </c>
      <c r="P457">
        <v>0.5</v>
      </c>
      <c r="R457" t="s">
        <v>617</v>
      </c>
      <c r="S457">
        <v>68.5</v>
      </c>
      <c r="T457" t="s">
        <v>235</v>
      </c>
    </row>
    <row r="458" spans="11:20" x14ac:dyDescent="0.3">
      <c r="K458" t="s">
        <v>615</v>
      </c>
      <c r="L458">
        <v>40</v>
      </c>
      <c r="M458">
        <v>683.8</v>
      </c>
      <c r="N458" t="s">
        <v>619</v>
      </c>
      <c r="O458">
        <v>37.6</v>
      </c>
      <c r="P458">
        <v>0.5</v>
      </c>
      <c r="R458" t="s">
        <v>617</v>
      </c>
      <c r="S458">
        <v>68.5</v>
      </c>
      <c r="T458" t="s">
        <v>235</v>
      </c>
    </row>
    <row r="459" spans="11:20" x14ac:dyDescent="0.3">
      <c r="K459" t="s">
        <v>615</v>
      </c>
      <c r="L459">
        <v>42.5</v>
      </c>
      <c r="M459">
        <v>771.85</v>
      </c>
      <c r="N459" t="s">
        <v>619</v>
      </c>
      <c r="O459">
        <v>40.700000000000003</v>
      </c>
      <c r="P459">
        <v>0.5</v>
      </c>
      <c r="R459" t="s">
        <v>617</v>
      </c>
      <c r="S459">
        <v>72.8</v>
      </c>
      <c r="T459" t="s">
        <v>235</v>
      </c>
    </row>
    <row r="460" spans="11:20" x14ac:dyDescent="0.3">
      <c r="K460" t="s">
        <v>615</v>
      </c>
      <c r="L460">
        <v>47.61</v>
      </c>
      <c r="M460">
        <v>968.73</v>
      </c>
      <c r="N460" t="s">
        <v>619</v>
      </c>
      <c r="O460">
        <v>47.3</v>
      </c>
      <c r="P460">
        <v>0.5</v>
      </c>
      <c r="R460" t="s">
        <v>617</v>
      </c>
      <c r="S460">
        <v>84.9</v>
      </c>
      <c r="T460" t="s">
        <v>235</v>
      </c>
    </row>
    <row r="461" spans="11:20" x14ac:dyDescent="0.3">
      <c r="K461" t="s">
        <v>615</v>
      </c>
      <c r="L461">
        <v>47.61</v>
      </c>
      <c r="M461">
        <v>968.73</v>
      </c>
      <c r="N461" t="s">
        <v>619</v>
      </c>
      <c r="O461">
        <v>47.3</v>
      </c>
      <c r="P461">
        <v>0.5</v>
      </c>
      <c r="R461" t="s">
        <v>617</v>
      </c>
      <c r="S461">
        <v>84.9</v>
      </c>
      <c r="T461" t="s">
        <v>235</v>
      </c>
    </row>
    <row r="462" spans="11:20" x14ac:dyDescent="0.3">
      <c r="K462" t="s">
        <v>615</v>
      </c>
      <c r="L462">
        <v>48.5</v>
      </c>
      <c r="M462">
        <v>1005.28</v>
      </c>
      <c r="N462" t="s">
        <v>619</v>
      </c>
      <c r="O462">
        <v>48.4</v>
      </c>
      <c r="P462">
        <v>0.5</v>
      </c>
      <c r="R462" t="s">
        <v>617</v>
      </c>
      <c r="S462">
        <v>66.2</v>
      </c>
      <c r="T462" t="s">
        <v>235</v>
      </c>
    </row>
    <row r="463" spans="11:20" x14ac:dyDescent="0.3">
      <c r="K463" t="s">
        <v>615</v>
      </c>
      <c r="L463">
        <v>54.64</v>
      </c>
      <c r="M463">
        <v>1275.67</v>
      </c>
      <c r="N463" t="s">
        <v>619</v>
      </c>
      <c r="O463">
        <v>56.5</v>
      </c>
      <c r="P463">
        <v>0.5</v>
      </c>
      <c r="R463" t="s">
        <v>617</v>
      </c>
      <c r="S463">
        <v>103.1</v>
      </c>
      <c r="T463" t="s">
        <v>235</v>
      </c>
    </row>
    <row r="464" spans="11:20" x14ac:dyDescent="0.3">
      <c r="K464" t="s">
        <v>615</v>
      </c>
      <c r="L464">
        <v>54.64</v>
      </c>
      <c r="M464">
        <v>1275.67</v>
      </c>
      <c r="N464" t="s">
        <v>619</v>
      </c>
      <c r="O464">
        <v>56.5</v>
      </c>
      <c r="P464">
        <v>0.5</v>
      </c>
      <c r="R464" t="s">
        <v>617</v>
      </c>
      <c r="S464">
        <v>105</v>
      </c>
      <c r="T464" t="s">
        <v>235</v>
      </c>
    </row>
    <row r="465" spans="11:20" x14ac:dyDescent="0.3">
      <c r="K465" t="s">
        <v>615</v>
      </c>
      <c r="L465">
        <v>40</v>
      </c>
      <c r="M465">
        <v>683.8</v>
      </c>
      <c r="N465" t="s">
        <v>619</v>
      </c>
      <c r="O465">
        <v>37</v>
      </c>
      <c r="P465">
        <v>0.5</v>
      </c>
      <c r="R465" t="s">
        <v>617</v>
      </c>
      <c r="S465">
        <v>70.3</v>
      </c>
      <c r="T465" t="s">
        <v>235</v>
      </c>
    </row>
    <row r="466" spans="11:20" x14ac:dyDescent="0.3">
      <c r="K466" t="s">
        <v>615</v>
      </c>
      <c r="L466">
        <v>47.61</v>
      </c>
      <c r="M466">
        <v>968.73</v>
      </c>
      <c r="N466" t="s">
        <v>619</v>
      </c>
      <c r="O466">
        <v>47.3</v>
      </c>
      <c r="P466">
        <v>0.5</v>
      </c>
      <c r="R466" t="s">
        <v>617</v>
      </c>
      <c r="S466">
        <v>85.6</v>
      </c>
      <c r="T466" t="s">
        <v>235</v>
      </c>
    </row>
    <row r="467" spans="11:20" x14ac:dyDescent="0.3">
      <c r="K467" t="s">
        <v>615</v>
      </c>
      <c r="L467">
        <v>54.64</v>
      </c>
      <c r="M467">
        <v>1275.67</v>
      </c>
      <c r="N467" t="s">
        <v>619</v>
      </c>
      <c r="O467">
        <v>56.5</v>
      </c>
      <c r="P467">
        <v>0.5</v>
      </c>
      <c r="R467" t="s">
        <v>617</v>
      </c>
      <c r="S467">
        <v>105</v>
      </c>
      <c r="T467" t="s">
        <v>235</v>
      </c>
    </row>
    <row r="468" spans="11:20" x14ac:dyDescent="0.3">
      <c r="K468" t="s">
        <v>615</v>
      </c>
      <c r="L468">
        <v>31.55</v>
      </c>
      <c r="M468">
        <v>425.27</v>
      </c>
      <c r="N468" t="s">
        <v>619</v>
      </c>
      <c r="O468">
        <v>28</v>
      </c>
      <c r="P468">
        <v>0.5</v>
      </c>
      <c r="R468" t="s">
        <v>617</v>
      </c>
      <c r="S468">
        <v>53.9</v>
      </c>
      <c r="T468" t="s">
        <v>235</v>
      </c>
    </row>
    <row r="469" spans="11:20" x14ac:dyDescent="0.3">
      <c r="K469" t="s">
        <v>615</v>
      </c>
      <c r="L469">
        <v>40</v>
      </c>
      <c r="M469">
        <v>683.8</v>
      </c>
      <c r="N469" t="s">
        <v>619</v>
      </c>
      <c r="O469">
        <v>37.6</v>
      </c>
      <c r="P469">
        <v>0.5</v>
      </c>
      <c r="R469" t="s">
        <v>617</v>
      </c>
      <c r="S469">
        <v>70.3</v>
      </c>
      <c r="T469" t="s">
        <v>235</v>
      </c>
    </row>
    <row r="470" spans="11:20" x14ac:dyDescent="0.3">
      <c r="K470" t="s">
        <v>615</v>
      </c>
      <c r="L470">
        <v>47.61</v>
      </c>
      <c r="M470">
        <v>968.73</v>
      </c>
      <c r="N470" t="s">
        <v>619</v>
      </c>
      <c r="O470">
        <v>47.3</v>
      </c>
      <c r="P470">
        <v>0.5</v>
      </c>
      <c r="R470" t="s">
        <v>617</v>
      </c>
      <c r="S470">
        <v>86.7</v>
      </c>
      <c r="T470" t="s">
        <v>235</v>
      </c>
    </row>
    <row r="471" spans="11:20" x14ac:dyDescent="0.3">
      <c r="K471" t="s">
        <v>615</v>
      </c>
      <c r="L471">
        <v>54.64</v>
      </c>
      <c r="M471">
        <v>1275.67</v>
      </c>
      <c r="N471" t="s">
        <v>619</v>
      </c>
      <c r="O471">
        <v>56.5</v>
      </c>
      <c r="P471">
        <v>0.5</v>
      </c>
      <c r="R471" t="s">
        <v>617</v>
      </c>
      <c r="S471">
        <v>101.3</v>
      </c>
      <c r="T471" t="s">
        <v>235</v>
      </c>
    </row>
    <row r="472" spans="11:20" x14ac:dyDescent="0.3">
      <c r="K472" t="s">
        <v>615</v>
      </c>
      <c r="L472">
        <v>64.53</v>
      </c>
      <c r="M472">
        <v>1779.11</v>
      </c>
      <c r="N472" t="s">
        <v>619</v>
      </c>
      <c r="O472">
        <v>68.599999999999994</v>
      </c>
      <c r="P472">
        <v>0.5</v>
      </c>
      <c r="R472" t="s">
        <v>617</v>
      </c>
      <c r="S472">
        <v>126.9</v>
      </c>
      <c r="T472" t="s">
        <v>235</v>
      </c>
    </row>
    <row r="473" spans="11:20" x14ac:dyDescent="0.3">
      <c r="K473" t="s">
        <v>615</v>
      </c>
      <c r="L473">
        <v>31.5</v>
      </c>
      <c r="M473">
        <v>424.2</v>
      </c>
      <c r="N473" t="s">
        <v>616</v>
      </c>
      <c r="O473">
        <v>28</v>
      </c>
      <c r="P473">
        <v>0.5</v>
      </c>
      <c r="R473" t="s">
        <v>617</v>
      </c>
      <c r="S473">
        <v>49.3</v>
      </c>
      <c r="T473" t="s">
        <v>235</v>
      </c>
    </row>
    <row r="474" spans="11:20" x14ac:dyDescent="0.3">
      <c r="K474" t="s">
        <v>615</v>
      </c>
      <c r="L474">
        <v>40</v>
      </c>
      <c r="M474">
        <v>683.8</v>
      </c>
      <c r="N474" t="s">
        <v>619</v>
      </c>
      <c r="O474">
        <v>37.6</v>
      </c>
      <c r="P474">
        <v>0.5</v>
      </c>
      <c r="R474" t="s">
        <v>617</v>
      </c>
      <c r="S474">
        <v>66</v>
      </c>
      <c r="T474" t="s">
        <v>235</v>
      </c>
    </row>
    <row r="475" spans="11:20" x14ac:dyDescent="0.3">
      <c r="K475" t="s">
        <v>615</v>
      </c>
      <c r="L475">
        <v>45.99</v>
      </c>
      <c r="M475">
        <v>903.69</v>
      </c>
      <c r="N475" t="s">
        <v>619</v>
      </c>
      <c r="O475">
        <v>45.1</v>
      </c>
      <c r="P475">
        <v>0.5</v>
      </c>
      <c r="R475" t="s">
        <v>617</v>
      </c>
      <c r="S475">
        <v>84.2</v>
      </c>
      <c r="T475" t="s">
        <v>235</v>
      </c>
    </row>
    <row r="476" spans="11:20" x14ac:dyDescent="0.3">
      <c r="K476" t="s">
        <v>615</v>
      </c>
      <c r="L476">
        <v>21.54</v>
      </c>
      <c r="M476">
        <v>198.21</v>
      </c>
      <c r="N476" t="s">
        <v>669</v>
      </c>
      <c r="O476">
        <v>19.3</v>
      </c>
      <c r="P476">
        <v>0.5</v>
      </c>
      <c r="R476" t="s">
        <v>617</v>
      </c>
      <c r="S476">
        <v>40.9</v>
      </c>
      <c r="T476" t="s">
        <v>670</v>
      </c>
    </row>
    <row r="477" spans="11:20" x14ac:dyDescent="0.3">
      <c r="K477" t="s">
        <v>615</v>
      </c>
      <c r="L477">
        <v>23.55</v>
      </c>
      <c r="M477">
        <v>236.92</v>
      </c>
      <c r="N477" t="s">
        <v>619</v>
      </c>
      <c r="O477">
        <v>20.7</v>
      </c>
      <c r="P477">
        <v>0.5</v>
      </c>
      <c r="R477" t="s">
        <v>617</v>
      </c>
      <c r="S477">
        <v>34.6</v>
      </c>
      <c r="T477" t="s">
        <v>235</v>
      </c>
    </row>
    <row r="478" spans="11:20" x14ac:dyDescent="0.3">
      <c r="K478" t="s">
        <v>615</v>
      </c>
      <c r="L478">
        <v>27.5</v>
      </c>
      <c r="M478">
        <v>324.89999999999998</v>
      </c>
      <c r="N478" t="s">
        <v>616</v>
      </c>
      <c r="O478">
        <v>39.200000000000003</v>
      </c>
      <c r="P478">
        <v>0.5</v>
      </c>
      <c r="R478" t="s">
        <v>617</v>
      </c>
      <c r="S478">
        <v>47.4</v>
      </c>
      <c r="T478" t="s">
        <v>235</v>
      </c>
    </row>
    <row r="479" spans="11:20" x14ac:dyDescent="0.3">
      <c r="K479" t="s">
        <v>615</v>
      </c>
      <c r="L479">
        <v>27.53</v>
      </c>
      <c r="M479">
        <v>325.39</v>
      </c>
      <c r="N479" t="s">
        <v>671</v>
      </c>
      <c r="O479">
        <v>24.2</v>
      </c>
      <c r="P479">
        <v>0.5</v>
      </c>
      <c r="R479" t="s">
        <v>617</v>
      </c>
      <c r="S479">
        <v>43.2</v>
      </c>
      <c r="T479" t="s">
        <v>670</v>
      </c>
    </row>
    <row r="480" spans="11:20" x14ac:dyDescent="0.3">
      <c r="K480" t="s">
        <v>615</v>
      </c>
      <c r="L480">
        <v>27.5</v>
      </c>
      <c r="M480">
        <v>324.89999999999998</v>
      </c>
      <c r="N480" t="s">
        <v>616</v>
      </c>
      <c r="O480">
        <v>24.2</v>
      </c>
      <c r="P480">
        <v>0.5</v>
      </c>
      <c r="R480" t="s">
        <v>617</v>
      </c>
      <c r="S480">
        <v>46.6</v>
      </c>
      <c r="T480" t="s">
        <v>235</v>
      </c>
    </row>
    <row r="481" spans="11:20" x14ac:dyDescent="0.3">
      <c r="K481" t="s">
        <v>615</v>
      </c>
      <c r="L481">
        <v>27.5</v>
      </c>
      <c r="M481">
        <v>324.83</v>
      </c>
      <c r="N481" t="s">
        <v>619</v>
      </c>
      <c r="O481">
        <v>24.2</v>
      </c>
      <c r="P481">
        <v>0.5</v>
      </c>
      <c r="R481" t="s">
        <v>617</v>
      </c>
      <c r="S481">
        <v>48.3</v>
      </c>
      <c r="T481" t="s">
        <v>235</v>
      </c>
    </row>
    <row r="482" spans="11:20" x14ac:dyDescent="0.3">
      <c r="K482" t="s">
        <v>615</v>
      </c>
      <c r="L482">
        <v>31.5</v>
      </c>
      <c r="M482">
        <v>424.19</v>
      </c>
      <c r="N482" t="s">
        <v>616</v>
      </c>
      <c r="O482">
        <v>41.2</v>
      </c>
      <c r="P482">
        <v>0.5</v>
      </c>
      <c r="R482" t="s">
        <v>617</v>
      </c>
      <c r="S482">
        <v>42</v>
      </c>
      <c r="T482" t="s">
        <v>235</v>
      </c>
    </row>
    <row r="483" spans="11:20" x14ac:dyDescent="0.3">
      <c r="K483" t="s">
        <v>615</v>
      </c>
      <c r="L483">
        <v>31.5</v>
      </c>
      <c r="M483">
        <v>424.19</v>
      </c>
      <c r="N483" t="s">
        <v>616</v>
      </c>
      <c r="O483">
        <v>41.9</v>
      </c>
      <c r="P483">
        <v>0.5</v>
      </c>
      <c r="R483" t="s">
        <v>617</v>
      </c>
      <c r="S483">
        <v>42.6</v>
      </c>
      <c r="T483" t="s">
        <v>235</v>
      </c>
    </row>
    <row r="484" spans="11:20" x14ac:dyDescent="0.3">
      <c r="K484" t="s">
        <v>615</v>
      </c>
      <c r="L484">
        <v>31.5</v>
      </c>
      <c r="M484">
        <v>424.19</v>
      </c>
      <c r="N484" t="s">
        <v>616</v>
      </c>
      <c r="O484">
        <v>43.4</v>
      </c>
      <c r="P484">
        <v>0.5</v>
      </c>
      <c r="R484" t="s">
        <v>617</v>
      </c>
      <c r="S484">
        <v>45.5</v>
      </c>
      <c r="T484" t="s">
        <v>235</v>
      </c>
    </row>
    <row r="485" spans="11:20" x14ac:dyDescent="0.3">
      <c r="K485" t="s">
        <v>615</v>
      </c>
      <c r="L485">
        <v>31.51</v>
      </c>
      <c r="M485">
        <v>424.2</v>
      </c>
      <c r="N485" t="s">
        <v>619</v>
      </c>
      <c r="O485">
        <v>28</v>
      </c>
      <c r="P485">
        <v>0.5</v>
      </c>
      <c r="R485" t="s">
        <v>617</v>
      </c>
      <c r="S485">
        <v>48.4</v>
      </c>
      <c r="T485" t="s">
        <v>235</v>
      </c>
    </row>
    <row r="486" spans="11:20" x14ac:dyDescent="0.3">
      <c r="K486" t="s">
        <v>615</v>
      </c>
      <c r="L486">
        <v>31.51</v>
      </c>
      <c r="M486">
        <v>424.14</v>
      </c>
      <c r="N486" t="s">
        <v>669</v>
      </c>
      <c r="O486">
        <v>28</v>
      </c>
      <c r="P486">
        <v>0.5</v>
      </c>
      <c r="R486" t="s">
        <v>617</v>
      </c>
      <c r="S486">
        <v>55.9</v>
      </c>
      <c r="T486" t="s">
        <v>670</v>
      </c>
    </row>
    <row r="487" spans="11:20" x14ac:dyDescent="0.3">
      <c r="K487" t="s">
        <v>615</v>
      </c>
      <c r="L487">
        <v>31.5</v>
      </c>
      <c r="M487">
        <v>424.14</v>
      </c>
      <c r="N487" t="s">
        <v>619</v>
      </c>
      <c r="O487">
        <v>28</v>
      </c>
      <c r="P487">
        <v>0.5</v>
      </c>
      <c r="R487" t="s">
        <v>617</v>
      </c>
      <c r="S487">
        <v>48.8</v>
      </c>
      <c r="T487" t="s">
        <v>235</v>
      </c>
    </row>
    <row r="488" spans="11:20" x14ac:dyDescent="0.3">
      <c r="K488" t="s">
        <v>615</v>
      </c>
      <c r="L488">
        <v>31.55</v>
      </c>
      <c r="M488">
        <v>425.43</v>
      </c>
      <c r="N488" t="s">
        <v>669</v>
      </c>
      <c r="O488">
        <v>28</v>
      </c>
      <c r="P488">
        <v>0.5</v>
      </c>
      <c r="R488" t="s">
        <v>617</v>
      </c>
      <c r="S488">
        <v>42.5</v>
      </c>
      <c r="T488" t="s">
        <v>670</v>
      </c>
    </row>
    <row r="489" spans="11:20" x14ac:dyDescent="0.3">
      <c r="K489" t="s">
        <v>615</v>
      </c>
      <c r="L489">
        <v>31.55</v>
      </c>
      <c r="M489">
        <v>425.27</v>
      </c>
      <c r="N489" t="s">
        <v>619</v>
      </c>
      <c r="O489">
        <v>28</v>
      </c>
      <c r="P489">
        <v>0.5</v>
      </c>
      <c r="R489" t="s">
        <v>617</v>
      </c>
      <c r="S489">
        <v>52.7</v>
      </c>
      <c r="T489" t="s">
        <v>235</v>
      </c>
    </row>
    <row r="490" spans="11:20" x14ac:dyDescent="0.3">
      <c r="K490" t="s">
        <v>615</v>
      </c>
      <c r="L490">
        <v>40</v>
      </c>
      <c r="M490">
        <v>683.8</v>
      </c>
      <c r="N490" t="s">
        <v>619</v>
      </c>
      <c r="O490">
        <v>37.6</v>
      </c>
      <c r="P490">
        <v>0.5</v>
      </c>
      <c r="R490" t="s">
        <v>617</v>
      </c>
      <c r="S490">
        <v>63.7</v>
      </c>
      <c r="T490" t="s">
        <v>235</v>
      </c>
    </row>
    <row r="491" spans="11:20" x14ac:dyDescent="0.3">
      <c r="K491" t="s">
        <v>615</v>
      </c>
      <c r="L491">
        <v>39.5</v>
      </c>
      <c r="M491">
        <v>660.63</v>
      </c>
      <c r="N491" t="s">
        <v>619</v>
      </c>
      <c r="O491">
        <v>85.4</v>
      </c>
      <c r="P491">
        <v>0.5</v>
      </c>
      <c r="R491" t="s">
        <v>617</v>
      </c>
      <c r="S491">
        <v>70.7</v>
      </c>
      <c r="T491" t="s">
        <v>235</v>
      </c>
    </row>
    <row r="492" spans="11:20" x14ac:dyDescent="0.3">
      <c r="K492" t="s">
        <v>615</v>
      </c>
      <c r="L492">
        <v>40</v>
      </c>
      <c r="M492">
        <v>683.8</v>
      </c>
      <c r="N492" t="s">
        <v>619</v>
      </c>
      <c r="O492">
        <v>37.6</v>
      </c>
      <c r="P492">
        <v>0.5</v>
      </c>
      <c r="R492" t="s">
        <v>617</v>
      </c>
      <c r="S492">
        <v>66.7</v>
      </c>
      <c r="T492" t="s">
        <v>235</v>
      </c>
    </row>
    <row r="493" spans="11:20" x14ac:dyDescent="0.3">
      <c r="K493" t="s">
        <v>615</v>
      </c>
      <c r="L493">
        <v>40</v>
      </c>
      <c r="M493">
        <v>683.8</v>
      </c>
      <c r="N493" t="s">
        <v>621</v>
      </c>
      <c r="O493">
        <v>56.4</v>
      </c>
      <c r="P493">
        <v>0.5</v>
      </c>
      <c r="R493" t="s">
        <v>617</v>
      </c>
      <c r="S493">
        <v>94.7</v>
      </c>
      <c r="T493" t="s">
        <v>235</v>
      </c>
    </row>
    <row r="494" spans="11:20" x14ac:dyDescent="0.3">
      <c r="K494" t="s">
        <v>615</v>
      </c>
      <c r="L494">
        <v>40</v>
      </c>
      <c r="M494">
        <v>683.8</v>
      </c>
      <c r="N494" t="s">
        <v>619</v>
      </c>
      <c r="O494">
        <v>37.6</v>
      </c>
      <c r="P494">
        <v>0.5</v>
      </c>
      <c r="R494" t="s">
        <v>617</v>
      </c>
      <c r="S494">
        <v>67.3</v>
      </c>
      <c r="T494" t="s">
        <v>235</v>
      </c>
    </row>
    <row r="495" spans="11:20" x14ac:dyDescent="0.3">
      <c r="K495" t="s">
        <v>615</v>
      </c>
      <c r="L495">
        <v>39.5</v>
      </c>
      <c r="M495">
        <v>660.63</v>
      </c>
      <c r="N495" t="s">
        <v>619</v>
      </c>
      <c r="O495">
        <v>36.700000000000003</v>
      </c>
      <c r="P495">
        <v>0.5</v>
      </c>
      <c r="R495" t="s">
        <v>617</v>
      </c>
      <c r="S495">
        <v>69.2</v>
      </c>
      <c r="T495" t="s">
        <v>235</v>
      </c>
    </row>
    <row r="496" spans="11:20" x14ac:dyDescent="0.3">
      <c r="K496" t="s">
        <v>615</v>
      </c>
      <c r="L496">
        <v>39.5</v>
      </c>
      <c r="M496">
        <v>660.63</v>
      </c>
      <c r="N496" t="s">
        <v>669</v>
      </c>
      <c r="O496">
        <v>36.799999999999997</v>
      </c>
      <c r="P496">
        <v>0.5</v>
      </c>
      <c r="R496" t="s">
        <v>617</v>
      </c>
      <c r="S496">
        <v>66.099999999999994</v>
      </c>
      <c r="T496" t="s">
        <v>670</v>
      </c>
    </row>
    <row r="497" spans="11:20" x14ac:dyDescent="0.3">
      <c r="K497" t="s">
        <v>615</v>
      </c>
      <c r="L497">
        <v>40</v>
      </c>
      <c r="M497">
        <v>683.8</v>
      </c>
      <c r="N497" t="s">
        <v>619</v>
      </c>
      <c r="O497">
        <v>37.6</v>
      </c>
      <c r="P497">
        <v>0.5</v>
      </c>
      <c r="R497" t="s">
        <v>617</v>
      </c>
      <c r="S497">
        <v>67.3</v>
      </c>
      <c r="T497" t="s">
        <v>235</v>
      </c>
    </row>
    <row r="498" spans="11:20" x14ac:dyDescent="0.3">
      <c r="K498" t="s">
        <v>615</v>
      </c>
      <c r="L498">
        <v>42.5</v>
      </c>
      <c r="M498">
        <v>771.91</v>
      </c>
      <c r="N498" t="s">
        <v>619</v>
      </c>
      <c r="O498">
        <v>92.3</v>
      </c>
      <c r="P498">
        <v>0.5</v>
      </c>
      <c r="R498" t="s">
        <v>617</v>
      </c>
      <c r="S498">
        <v>77.7</v>
      </c>
      <c r="T498" t="s">
        <v>235</v>
      </c>
    </row>
    <row r="499" spans="11:20" x14ac:dyDescent="0.3">
      <c r="K499" t="s">
        <v>615</v>
      </c>
      <c r="L499">
        <v>42.5</v>
      </c>
      <c r="M499">
        <v>771.91</v>
      </c>
      <c r="N499" t="s">
        <v>619</v>
      </c>
      <c r="O499">
        <v>40.6</v>
      </c>
      <c r="P499">
        <v>0.5</v>
      </c>
      <c r="R499" t="s">
        <v>617</v>
      </c>
      <c r="S499">
        <v>69.8</v>
      </c>
      <c r="T499" t="s">
        <v>235</v>
      </c>
    </row>
    <row r="500" spans="11:20" x14ac:dyDescent="0.3">
      <c r="K500" t="s">
        <v>615</v>
      </c>
      <c r="L500">
        <v>42.5</v>
      </c>
      <c r="M500">
        <v>771.91</v>
      </c>
      <c r="N500" t="s">
        <v>669</v>
      </c>
      <c r="O500">
        <v>40.700000000000003</v>
      </c>
      <c r="P500">
        <v>0.5</v>
      </c>
      <c r="R500" t="s">
        <v>617</v>
      </c>
      <c r="S500">
        <v>78.900000000000006</v>
      </c>
      <c r="T500" t="s">
        <v>670</v>
      </c>
    </row>
    <row r="501" spans="11:20" x14ac:dyDescent="0.3">
      <c r="K501" t="s">
        <v>615</v>
      </c>
      <c r="L501">
        <v>64.53</v>
      </c>
      <c r="M501">
        <v>1779.1</v>
      </c>
      <c r="N501" t="s">
        <v>621</v>
      </c>
      <c r="O501">
        <v>102.8</v>
      </c>
      <c r="P501">
        <v>0.5</v>
      </c>
      <c r="R501" t="s">
        <v>617</v>
      </c>
      <c r="S501">
        <v>186.6</v>
      </c>
      <c r="T501" t="s">
        <v>235</v>
      </c>
    </row>
    <row r="502" spans="11:20" x14ac:dyDescent="0.3">
      <c r="K502" t="s">
        <v>615</v>
      </c>
      <c r="L502">
        <v>74.540000000000006</v>
      </c>
      <c r="M502">
        <v>2374.65</v>
      </c>
      <c r="N502" t="s">
        <v>621</v>
      </c>
      <c r="O502">
        <v>117.5</v>
      </c>
      <c r="P502">
        <v>0.5</v>
      </c>
      <c r="R502" t="s">
        <v>663</v>
      </c>
      <c r="S502">
        <v>213.4</v>
      </c>
      <c r="T502" t="s">
        <v>235</v>
      </c>
    </row>
    <row r="503" spans="11:20" x14ac:dyDescent="0.3">
      <c r="K503" t="s">
        <v>615</v>
      </c>
      <c r="L503">
        <v>31.51</v>
      </c>
      <c r="M503">
        <v>424.14</v>
      </c>
      <c r="N503" t="s">
        <v>616</v>
      </c>
      <c r="O503">
        <v>28</v>
      </c>
      <c r="P503">
        <v>0.5</v>
      </c>
      <c r="R503" t="s">
        <v>617</v>
      </c>
      <c r="S503">
        <v>51.9</v>
      </c>
      <c r="T503" t="s">
        <v>235</v>
      </c>
    </row>
    <row r="504" spans="11:20" x14ac:dyDescent="0.3">
      <c r="K504" t="s">
        <v>615</v>
      </c>
      <c r="L504">
        <v>31.51</v>
      </c>
      <c r="M504">
        <v>424.14</v>
      </c>
      <c r="N504" t="s">
        <v>616</v>
      </c>
      <c r="O504">
        <v>28</v>
      </c>
      <c r="P504">
        <v>0.5</v>
      </c>
      <c r="R504" t="s">
        <v>617</v>
      </c>
      <c r="S504">
        <v>51.9</v>
      </c>
      <c r="T504" t="s">
        <v>235</v>
      </c>
    </row>
    <row r="505" spans="11:20" x14ac:dyDescent="0.3">
      <c r="K505" t="s">
        <v>615</v>
      </c>
      <c r="L505">
        <v>21.5</v>
      </c>
      <c r="M505">
        <v>198.21</v>
      </c>
      <c r="N505" t="s">
        <v>619</v>
      </c>
      <c r="O505">
        <v>19.3</v>
      </c>
      <c r="P505">
        <v>0.5</v>
      </c>
      <c r="R505" t="s">
        <v>617</v>
      </c>
      <c r="S505">
        <v>35.299999999999997</v>
      </c>
      <c r="T505" t="s">
        <v>235</v>
      </c>
    </row>
    <row r="506" spans="11:20" x14ac:dyDescent="0.3">
      <c r="K506" t="s">
        <v>615</v>
      </c>
      <c r="L506">
        <v>23.6</v>
      </c>
      <c r="M506">
        <v>236.8</v>
      </c>
      <c r="N506" t="s">
        <v>619</v>
      </c>
      <c r="O506">
        <v>20.8</v>
      </c>
      <c r="P506">
        <v>0.5</v>
      </c>
      <c r="R506" t="s">
        <v>617</v>
      </c>
      <c r="S506">
        <v>39.5</v>
      </c>
      <c r="T506" t="s">
        <v>235</v>
      </c>
    </row>
    <row r="507" spans="11:20" x14ac:dyDescent="0.3">
      <c r="K507" t="s">
        <v>615</v>
      </c>
      <c r="L507">
        <v>13.25</v>
      </c>
      <c r="M507">
        <v>75.08</v>
      </c>
      <c r="N507" t="s">
        <v>616</v>
      </c>
      <c r="O507">
        <v>14.4</v>
      </c>
      <c r="P507">
        <v>0.5</v>
      </c>
      <c r="R507" t="s">
        <v>617</v>
      </c>
      <c r="S507">
        <v>21.3</v>
      </c>
      <c r="T507" t="s">
        <v>235</v>
      </c>
    </row>
    <row r="508" spans="11:20" x14ac:dyDescent="0.3">
      <c r="K508" t="s">
        <v>615</v>
      </c>
      <c r="L508">
        <v>15.55</v>
      </c>
      <c r="M508">
        <v>103.45</v>
      </c>
      <c r="N508" t="s">
        <v>616</v>
      </c>
      <c r="O508">
        <v>15.5</v>
      </c>
      <c r="P508">
        <v>0.5</v>
      </c>
      <c r="R508" t="s">
        <v>617</v>
      </c>
      <c r="S508">
        <v>22.6</v>
      </c>
      <c r="T508" t="s">
        <v>235</v>
      </c>
    </row>
    <row r="509" spans="11:20" x14ac:dyDescent="0.3">
      <c r="K509" t="s">
        <v>615</v>
      </c>
      <c r="L509">
        <v>15.55</v>
      </c>
      <c r="M509">
        <v>103.25</v>
      </c>
      <c r="N509" t="s">
        <v>616</v>
      </c>
      <c r="O509">
        <v>15.5</v>
      </c>
      <c r="P509">
        <v>0.5</v>
      </c>
      <c r="R509" t="s">
        <v>617</v>
      </c>
      <c r="S509">
        <v>20.7</v>
      </c>
      <c r="T509" t="s">
        <v>235</v>
      </c>
    </row>
    <row r="510" spans="11:20" x14ac:dyDescent="0.3">
      <c r="K510" t="s">
        <v>615</v>
      </c>
      <c r="L510">
        <v>50</v>
      </c>
      <c r="M510">
        <v>1047.01</v>
      </c>
      <c r="N510" t="s">
        <v>619</v>
      </c>
      <c r="O510">
        <v>49.7</v>
      </c>
      <c r="P510">
        <v>0.5</v>
      </c>
      <c r="R510" t="s">
        <v>663</v>
      </c>
      <c r="S510">
        <v>58</v>
      </c>
      <c r="T510" t="s">
        <v>235</v>
      </c>
    </row>
    <row r="511" spans="11:20" x14ac:dyDescent="0.3">
      <c r="K511" t="s">
        <v>615</v>
      </c>
      <c r="L511">
        <v>54.64</v>
      </c>
      <c r="M511">
        <v>1275.67</v>
      </c>
      <c r="N511" t="s">
        <v>619</v>
      </c>
      <c r="O511">
        <v>56.5</v>
      </c>
      <c r="P511">
        <v>0.5</v>
      </c>
      <c r="R511" t="s">
        <v>617</v>
      </c>
      <c r="S511">
        <v>98.8</v>
      </c>
      <c r="T511" t="s">
        <v>235</v>
      </c>
    </row>
    <row r="512" spans="11:20" x14ac:dyDescent="0.3">
      <c r="K512" t="s">
        <v>615</v>
      </c>
      <c r="L512">
        <v>54.64</v>
      </c>
      <c r="M512">
        <v>1275.67</v>
      </c>
      <c r="N512" t="s">
        <v>619</v>
      </c>
      <c r="O512">
        <v>56.5</v>
      </c>
      <c r="P512">
        <v>0.5</v>
      </c>
      <c r="R512" t="s">
        <v>617</v>
      </c>
      <c r="S512">
        <v>98.8</v>
      </c>
      <c r="T512" t="s">
        <v>235</v>
      </c>
    </row>
    <row r="513" spans="11:20" x14ac:dyDescent="0.3">
      <c r="K513" t="s">
        <v>615</v>
      </c>
      <c r="L513">
        <v>54.64</v>
      </c>
      <c r="M513">
        <v>1275.67</v>
      </c>
      <c r="N513" t="s">
        <v>619</v>
      </c>
      <c r="O513">
        <v>56.5</v>
      </c>
      <c r="P513">
        <v>0.5</v>
      </c>
      <c r="R513" t="s">
        <v>617</v>
      </c>
      <c r="S513">
        <v>93.2</v>
      </c>
      <c r="T513" t="s">
        <v>235</v>
      </c>
    </row>
    <row r="514" spans="11:20" x14ac:dyDescent="0.3">
      <c r="K514" t="s">
        <v>615</v>
      </c>
      <c r="L514">
        <v>54.64</v>
      </c>
      <c r="M514">
        <v>1275.67</v>
      </c>
      <c r="N514" t="s">
        <v>619</v>
      </c>
      <c r="O514">
        <v>56.5</v>
      </c>
      <c r="P514">
        <v>0.5</v>
      </c>
      <c r="R514" t="s">
        <v>617</v>
      </c>
      <c r="S514">
        <v>98.8</v>
      </c>
      <c r="T514" t="s">
        <v>235</v>
      </c>
    </row>
    <row r="515" spans="11:20" x14ac:dyDescent="0.3">
      <c r="K515" t="s">
        <v>615</v>
      </c>
      <c r="L515">
        <v>54.64</v>
      </c>
      <c r="M515">
        <v>1275.67</v>
      </c>
      <c r="N515" t="s">
        <v>619</v>
      </c>
      <c r="O515">
        <v>56.5</v>
      </c>
      <c r="P515">
        <v>0.5</v>
      </c>
      <c r="R515" t="s">
        <v>617</v>
      </c>
      <c r="S515">
        <v>69</v>
      </c>
      <c r="T515" t="s">
        <v>235</v>
      </c>
    </row>
    <row r="516" spans="11:20" x14ac:dyDescent="0.3">
      <c r="K516" t="s">
        <v>615</v>
      </c>
      <c r="L516">
        <v>54.64</v>
      </c>
      <c r="M516">
        <v>1275.67</v>
      </c>
      <c r="N516" t="s">
        <v>621</v>
      </c>
      <c r="O516">
        <v>84.7</v>
      </c>
      <c r="P516">
        <v>0.5</v>
      </c>
      <c r="R516" t="s">
        <v>617</v>
      </c>
      <c r="S516">
        <v>106.1</v>
      </c>
      <c r="T516" t="s">
        <v>235</v>
      </c>
    </row>
    <row r="517" spans="11:20" x14ac:dyDescent="0.3">
      <c r="K517" t="s">
        <v>615</v>
      </c>
      <c r="L517">
        <v>54.64</v>
      </c>
      <c r="M517">
        <v>1275.67</v>
      </c>
      <c r="N517" t="s">
        <v>621</v>
      </c>
      <c r="O517">
        <v>84.7</v>
      </c>
      <c r="P517">
        <v>0.5</v>
      </c>
      <c r="R517" t="s">
        <v>617</v>
      </c>
      <c r="S517">
        <v>106.1</v>
      </c>
      <c r="T517" t="s">
        <v>235</v>
      </c>
    </row>
    <row r="518" spans="11:20" x14ac:dyDescent="0.3">
      <c r="K518" t="s">
        <v>615</v>
      </c>
      <c r="L518">
        <v>54.64</v>
      </c>
      <c r="M518">
        <v>1275.67</v>
      </c>
      <c r="N518" t="s">
        <v>621</v>
      </c>
      <c r="O518">
        <v>84.7</v>
      </c>
      <c r="P518">
        <v>0.5</v>
      </c>
      <c r="R518" t="s">
        <v>617</v>
      </c>
      <c r="S518">
        <v>113.7</v>
      </c>
      <c r="T518" t="s">
        <v>235</v>
      </c>
    </row>
    <row r="519" spans="11:20" x14ac:dyDescent="0.3">
      <c r="K519" t="s">
        <v>615</v>
      </c>
      <c r="L519">
        <v>54.64</v>
      </c>
      <c r="M519">
        <v>1275.67</v>
      </c>
      <c r="N519" t="s">
        <v>621</v>
      </c>
      <c r="O519">
        <v>84.7</v>
      </c>
      <c r="P519">
        <v>0.5</v>
      </c>
      <c r="R519" t="s">
        <v>617</v>
      </c>
      <c r="S519">
        <v>102.5</v>
      </c>
      <c r="T519" t="s">
        <v>235</v>
      </c>
    </row>
    <row r="520" spans="11:20" x14ac:dyDescent="0.3">
      <c r="K520" t="s">
        <v>615</v>
      </c>
      <c r="L520">
        <v>54.64</v>
      </c>
      <c r="M520">
        <v>1275.67</v>
      </c>
      <c r="N520" t="s">
        <v>621</v>
      </c>
      <c r="O520">
        <v>84.7</v>
      </c>
      <c r="P520">
        <v>0.5</v>
      </c>
      <c r="R520" t="s">
        <v>617</v>
      </c>
      <c r="S520">
        <v>94.9</v>
      </c>
      <c r="T520" t="s">
        <v>235</v>
      </c>
    </row>
    <row r="521" spans="11:20" x14ac:dyDescent="0.3">
      <c r="K521" t="s">
        <v>615</v>
      </c>
      <c r="L521">
        <v>54.64</v>
      </c>
      <c r="M521">
        <v>1275.67</v>
      </c>
      <c r="N521" t="s">
        <v>621</v>
      </c>
      <c r="O521">
        <v>84.7</v>
      </c>
      <c r="P521">
        <v>0.5</v>
      </c>
      <c r="R521" t="s">
        <v>617</v>
      </c>
      <c r="S521">
        <v>115.2</v>
      </c>
      <c r="T521" t="s">
        <v>235</v>
      </c>
    </row>
    <row r="522" spans="11:20" x14ac:dyDescent="0.3">
      <c r="K522" t="s">
        <v>615</v>
      </c>
      <c r="L522">
        <v>54.64</v>
      </c>
      <c r="M522">
        <v>1275.67</v>
      </c>
      <c r="N522" t="s">
        <v>621</v>
      </c>
      <c r="O522">
        <v>84.7</v>
      </c>
      <c r="P522">
        <v>0.5</v>
      </c>
      <c r="R522" t="s">
        <v>617</v>
      </c>
      <c r="S522">
        <v>96.6</v>
      </c>
      <c r="T522" t="s">
        <v>235</v>
      </c>
    </row>
    <row r="523" spans="11:20" x14ac:dyDescent="0.3">
      <c r="K523" t="s">
        <v>615</v>
      </c>
      <c r="L523">
        <v>54.64</v>
      </c>
      <c r="M523">
        <v>1275.67</v>
      </c>
      <c r="N523" t="s">
        <v>621</v>
      </c>
      <c r="O523">
        <v>84.7</v>
      </c>
      <c r="P523">
        <v>0.5</v>
      </c>
      <c r="R523" t="s">
        <v>617</v>
      </c>
      <c r="S523">
        <v>102.2</v>
      </c>
      <c r="T523" t="s">
        <v>235</v>
      </c>
    </row>
    <row r="524" spans="11:20" x14ac:dyDescent="0.3">
      <c r="K524" t="s">
        <v>615</v>
      </c>
      <c r="L524">
        <v>54.64</v>
      </c>
      <c r="M524">
        <v>1275.67</v>
      </c>
      <c r="N524" t="s">
        <v>621</v>
      </c>
      <c r="O524">
        <v>84.7</v>
      </c>
      <c r="P524">
        <v>0.5</v>
      </c>
      <c r="R524" t="s">
        <v>617</v>
      </c>
      <c r="S524">
        <v>109.8</v>
      </c>
      <c r="T524" t="s">
        <v>235</v>
      </c>
    </row>
    <row r="525" spans="11:20" x14ac:dyDescent="0.3">
      <c r="K525" t="s">
        <v>615</v>
      </c>
      <c r="L525">
        <v>54.64</v>
      </c>
      <c r="M525">
        <v>1275.67</v>
      </c>
      <c r="N525" t="s">
        <v>621</v>
      </c>
      <c r="O525">
        <v>84.7</v>
      </c>
      <c r="P525">
        <v>0.5</v>
      </c>
      <c r="R525" t="s">
        <v>617</v>
      </c>
      <c r="S525">
        <v>119.7</v>
      </c>
      <c r="T525" t="s">
        <v>235</v>
      </c>
    </row>
    <row r="526" spans="11:20" x14ac:dyDescent="0.3">
      <c r="K526" t="s">
        <v>615</v>
      </c>
      <c r="L526">
        <v>54.64</v>
      </c>
      <c r="M526">
        <v>1275.67</v>
      </c>
      <c r="N526" t="s">
        <v>621</v>
      </c>
      <c r="O526">
        <v>84.7</v>
      </c>
      <c r="P526">
        <v>0.5</v>
      </c>
      <c r="R526" t="s">
        <v>617</v>
      </c>
      <c r="S526">
        <v>120.9</v>
      </c>
      <c r="T526" t="s">
        <v>235</v>
      </c>
    </row>
    <row r="527" spans="11:20" x14ac:dyDescent="0.3">
      <c r="K527" t="s">
        <v>615</v>
      </c>
      <c r="L527">
        <v>54.64</v>
      </c>
      <c r="M527">
        <v>1275.67</v>
      </c>
      <c r="N527" t="s">
        <v>621</v>
      </c>
      <c r="O527">
        <v>84.7</v>
      </c>
      <c r="P527">
        <v>0.5</v>
      </c>
      <c r="R527" t="s">
        <v>617</v>
      </c>
      <c r="S527">
        <v>133.5</v>
      </c>
      <c r="T527" t="s">
        <v>235</v>
      </c>
    </row>
    <row r="528" spans="11:20" x14ac:dyDescent="0.3">
      <c r="K528" t="s">
        <v>615</v>
      </c>
      <c r="L528">
        <v>54.64</v>
      </c>
      <c r="M528">
        <v>1275.67</v>
      </c>
      <c r="N528" t="s">
        <v>619</v>
      </c>
      <c r="O528">
        <v>56.5</v>
      </c>
      <c r="P528">
        <v>0.5</v>
      </c>
      <c r="R528" t="s">
        <v>617</v>
      </c>
      <c r="S528">
        <v>84.2</v>
      </c>
      <c r="T528" t="s">
        <v>235</v>
      </c>
    </row>
    <row r="529" spans="11:20" x14ac:dyDescent="0.3">
      <c r="K529" t="s">
        <v>615</v>
      </c>
      <c r="L529">
        <v>54.64</v>
      </c>
      <c r="M529">
        <v>1275.67</v>
      </c>
      <c r="N529" t="s">
        <v>621</v>
      </c>
      <c r="O529">
        <v>84.7</v>
      </c>
      <c r="P529">
        <v>0.5</v>
      </c>
      <c r="R529" t="s">
        <v>617</v>
      </c>
      <c r="S529">
        <v>111.6</v>
      </c>
      <c r="T529" t="s">
        <v>235</v>
      </c>
    </row>
    <row r="530" spans="11:20" x14ac:dyDescent="0.3">
      <c r="K530" t="s">
        <v>615</v>
      </c>
      <c r="L530">
        <v>54.64</v>
      </c>
      <c r="M530">
        <v>1275.67</v>
      </c>
      <c r="N530" t="s">
        <v>621</v>
      </c>
      <c r="O530">
        <v>84.7</v>
      </c>
      <c r="P530">
        <v>0.5</v>
      </c>
      <c r="R530" t="s">
        <v>617</v>
      </c>
      <c r="S530">
        <v>111.6</v>
      </c>
      <c r="T530" t="s">
        <v>235</v>
      </c>
    </row>
    <row r="531" spans="11:20" x14ac:dyDescent="0.3">
      <c r="K531" t="s">
        <v>615</v>
      </c>
      <c r="L531">
        <v>54.64</v>
      </c>
      <c r="M531">
        <v>1275.67</v>
      </c>
      <c r="N531" t="s">
        <v>621</v>
      </c>
      <c r="O531">
        <v>84.7</v>
      </c>
      <c r="P531">
        <v>0.5</v>
      </c>
      <c r="R531" t="s">
        <v>617</v>
      </c>
      <c r="S531">
        <v>111.6</v>
      </c>
      <c r="T531" t="s">
        <v>235</v>
      </c>
    </row>
    <row r="532" spans="11:20" x14ac:dyDescent="0.3">
      <c r="K532" t="s">
        <v>615</v>
      </c>
      <c r="L532">
        <v>54.64</v>
      </c>
      <c r="M532">
        <v>1275.67</v>
      </c>
      <c r="N532" t="s">
        <v>621</v>
      </c>
      <c r="O532">
        <v>84.7</v>
      </c>
      <c r="P532">
        <v>0.5</v>
      </c>
      <c r="R532" t="s">
        <v>617</v>
      </c>
      <c r="S532">
        <v>111.6</v>
      </c>
      <c r="T532" t="s">
        <v>235</v>
      </c>
    </row>
    <row r="533" spans="11:20" x14ac:dyDescent="0.3">
      <c r="K533" t="s">
        <v>615</v>
      </c>
      <c r="L533">
        <v>54.64</v>
      </c>
      <c r="M533">
        <v>1275.67</v>
      </c>
      <c r="N533" t="s">
        <v>621</v>
      </c>
      <c r="O533">
        <v>84.7</v>
      </c>
      <c r="P533">
        <v>0.5</v>
      </c>
      <c r="R533" t="s">
        <v>617</v>
      </c>
      <c r="S533">
        <v>111.6</v>
      </c>
      <c r="T533" t="s">
        <v>235</v>
      </c>
    </row>
    <row r="534" spans="11:20" x14ac:dyDescent="0.3">
      <c r="K534" t="s">
        <v>615</v>
      </c>
      <c r="L534">
        <v>54.64</v>
      </c>
      <c r="M534">
        <v>1275.67</v>
      </c>
      <c r="N534" t="s">
        <v>621</v>
      </c>
      <c r="O534">
        <v>84.7</v>
      </c>
      <c r="P534">
        <v>0.5</v>
      </c>
      <c r="R534" t="s">
        <v>617</v>
      </c>
      <c r="S534">
        <v>111.6</v>
      </c>
      <c r="T534" t="s">
        <v>235</v>
      </c>
    </row>
    <row r="535" spans="11:20" x14ac:dyDescent="0.3">
      <c r="K535" t="s">
        <v>615</v>
      </c>
      <c r="L535">
        <v>54.64</v>
      </c>
      <c r="M535">
        <v>1275.67</v>
      </c>
      <c r="N535" t="s">
        <v>621</v>
      </c>
      <c r="O535">
        <v>84.7</v>
      </c>
      <c r="P535">
        <v>0.5</v>
      </c>
      <c r="R535" t="s">
        <v>617</v>
      </c>
      <c r="S535">
        <v>111.6</v>
      </c>
      <c r="T535" t="s">
        <v>235</v>
      </c>
    </row>
    <row r="536" spans="11:20" x14ac:dyDescent="0.3">
      <c r="K536" t="s">
        <v>615</v>
      </c>
      <c r="L536">
        <v>54.64</v>
      </c>
      <c r="M536">
        <v>1275.67</v>
      </c>
      <c r="N536" t="s">
        <v>621</v>
      </c>
      <c r="O536">
        <v>84.7</v>
      </c>
      <c r="P536">
        <v>0.5</v>
      </c>
      <c r="R536" t="s">
        <v>617</v>
      </c>
      <c r="S536">
        <v>111.6</v>
      </c>
      <c r="T536" t="s">
        <v>235</v>
      </c>
    </row>
    <row r="537" spans="11:20" x14ac:dyDescent="0.3">
      <c r="K537" t="s">
        <v>615</v>
      </c>
      <c r="L537">
        <v>54.64</v>
      </c>
      <c r="M537">
        <v>1275.67</v>
      </c>
      <c r="N537" t="s">
        <v>621</v>
      </c>
      <c r="O537">
        <v>84.7</v>
      </c>
      <c r="P537">
        <v>0.5</v>
      </c>
      <c r="R537" t="s">
        <v>617</v>
      </c>
      <c r="S537">
        <v>111.6</v>
      </c>
      <c r="T537" t="s">
        <v>235</v>
      </c>
    </row>
    <row r="538" spans="11:20" x14ac:dyDescent="0.3">
      <c r="K538" t="s">
        <v>615</v>
      </c>
      <c r="L538">
        <v>54.64</v>
      </c>
      <c r="M538">
        <v>1275.67</v>
      </c>
      <c r="N538" t="s">
        <v>621</v>
      </c>
      <c r="O538">
        <v>84.7</v>
      </c>
      <c r="P538">
        <v>0.5</v>
      </c>
      <c r="R538" t="s">
        <v>617</v>
      </c>
      <c r="S538">
        <v>121.4</v>
      </c>
      <c r="T538" t="s">
        <v>235</v>
      </c>
    </row>
    <row r="539" spans="11:20" x14ac:dyDescent="0.3">
      <c r="K539" t="s">
        <v>615</v>
      </c>
      <c r="L539">
        <v>54.64</v>
      </c>
      <c r="M539">
        <v>1275.67</v>
      </c>
      <c r="N539" t="s">
        <v>621</v>
      </c>
      <c r="O539">
        <v>84.7</v>
      </c>
      <c r="P539">
        <v>0.5</v>
      </c>
      <c r="R539" t="s">
        <v>617</v>
      </c>
      <c r="S539">
        <v>129.80000000000001</v>
      </c>
      <c r="T539" t="s">
        <v>235</v>
      </c>
    </row>
    <row r="540" spans="11:20" x14ac:dyDescent="0.3">
      <c r="K540" t="s">
        <v>615</v>
      </c>
      <c r="L540">
        <v>54.64</v>
      </c>
      <c r="M540">
        <v>1275.67</v>
      </c>
      <c r="N540" t="s">
        <v>621</v>
      </c>
      <c r="O540">
        <v>84.7</v>
      </c>
      <c r="P540">
        <v>0.5</v>
      </c>
      <c r="R540" t="s">
        <v>617</v>
      </c>
      <c r="S540">
        <v>129.80000000000001</v>
      </c>
      <c r="T540" t="s">
        <v>235</v>
      </c>
    </row>
    <row r="541" spans="11:20" x14ac:dyDescent="0.3">
      <c r="K541" t="s">
        <v>615</v>
      </c>
      <c r="L541">
        <v>54.64</v>
      </c>
      <c r="M541">
        <v>1275.67</v>
      </c>
      <c r="N541" t="s">
        <v>621</v>
      </c>
      <c r="O541">
        <v>84.7</v>
      </c>
      <c r="P541">
        <v>0.5</v>
      </c>
      <c r="R541" t="s">
        <v>617</v>
      </c>
      <c r="S541">
        <v>106.1</v>
      </c>
      <c r="T541" t="s">
        <v>235</v>
      </c>
    </row>
    <row r="542" spans="11:20" x14ac:dyDescent="0.3">
      <c r="K542" t="s">
        <v>615</v>
      </c>
      <c r="L542">
        <v>54.64</v>
      </c>
      <c r="M542">
        <v>1275.67</v>
      </c>
      <c r="N542" t="s">
        <v>621</v>
      </c>
      <c r="O542">
        <v>84.7</v>
      </c>
      <c r="P542">
        <v>0.5</v>
      </c>
      <c r="R542" t="s">
        <v>617</v>
      </c>
      <c r="S542">
        <v>106.1</v>
      </c>
      <c r="T542" t="s">
        <v>235</v>
      </c>
    </row>
    <row r="543" spans="11:20" x14ac:dyDescent="0.3">
      <c r="K543" t="s">
        <v>615</v>
      </c>
      <c r="L543">
        <v>54.64</v>
      </c>
      <c r="M543">
        <v>1275.67</v>
      </c>
      <c r="N543" t="s">
        <v>621</v>
      </c>
      <c r="O543">
        <v>84.7</v>
      </c>
      <c r="P543">
        <v>0.5</v>
      </c>
      <c r="R543" t="s">
        <v>617</v>
      </c>
      <c r="S543">
        <v>121.4</v>
      </c>
      <c r="T543" t="s">
        <v>235</v>
      </c>
    </row>
    <row r="544" spans="11:20" x14ac:dyDescent="0.3">
      <c r="K544" t="s">
        <v>615</v>
      </c>
      <c r="L544">
        <v>54.64</v>
      </c>
      <c r="M544">
        <v>1275.67</v>
      </c>
      <c r="N544" t="s">
        <v>621</v>
      </c>
      <c r="O544">
        <v>84.7</v>
      </c>
      <c r="P544">
        <v>0.5</v>
      </c>
      <c r="R544" t="s">
        <v>617</v>
      </c>
      <c r="S544">
        <v>121.4</v>
      </c>
      <c r="T544" t="s">
        <v>235</v>
      </c>
    </row>
    <row r="545" spans="11:20" x14ac:dyDescent="0.3">
      <c r="K545" t="s">
        <v>615</v>
      </c>
      <c r="L545">
        <v>54.64</v>
      </c>
      <c r="M545">
        <v>1275.67</v>
      </c>
      <c r="N545" t="s">
        <v>621</v>
      </c>
      <c r="O545">
        <v>84.7</v>
      </c>
      <c r="P545">
        <v>0.5</v>
      </c>
      <c r="R545" t="s">
        <v>617</v>
      </c>
      <c r="S545">
        <v>121.4</v>
      </c>
      <c r="T545" t="s">
        <v>235</v>
      </c>
    </row>
    <row r="546" spans="11:20" x14ac:dyDescent="0.3">
      <c r="K546" t="s">
        <v>615</v>
      </c>
      <c r="L546">
        <v>57.51</v>
      </c>
      <c r="M546">
        <v>1420.25</v>
      </c>
      <c r="N546" t="s">
        <v>619</v>
      </c>
      <c r="O546">
        <v>60.3</v>
      </c>
      <c r="P546">
        <v>0.5</v>
      </c>
      <c r="R546" t="s">
        <v>617</v>
      </c>
      <c r="S546">
        <v>72.5</v>
      </c>
      <c r="T546" t="s">
        <v>235</v>
      </c>
    </row>
    <row r="547" spans="11:20" x14ac:dyDescent="0.3">
      <c r="K547" t="s">
        <v>615</v>
      </c>
      <c r="L547">
        <v>57.51</v>
      </c>
      <c r="M547">
        <v>1420.25</v>
      </c>
      <c r="N547" t="s">
        <v>619</v>
      </c>
      <c r="O547">
        <v>60.3</v>
      </c>
      <c r="P547">
        <v>0.5</v>
      </c>
      <c r="R547" t="s">
        <v>617</v>
      </c>
      <c r="S547">
        <v>72.5</v>
      </c>
      <c r="T547" t="s">
        <v>235</v>
      </c>
    </row>
    <row r="548" spans="11:20" x14ac:dyDescent="0.3">
      <c r="K548" t="s">
        <v>615</v>
      </c>
      <c r="L548">
        <v>54.64</v>
      </c>
      <c r="M548">
        <v>1275.67</v>
      </c>
      <c r="N548" t="s">
        <v>619</v>
      </c>
      <c r="O548">
        <v>56.5</v>
      </c>
      <c r="P548">
        <v>0.5</v>
      </c>
      <c r="R548" t="s">
        <v>617</v>
      </c>
      <c r="S548">
        <v>104.3</v>
      </c>
      <c r="T548" t="s">
        <v>235</v>
      </c>
    </row>
    <row r="549" spans="11:20" x14ac:dyDescent="0.3">
      <c r="K549" t="s">
        <v>615</v>
      </c>
      <c r="L549">
        <v>18.510000000000002</v>
      </c>
      <c r="M549">
        <v>146.35</v>
      </c>
      <c r="N549" t="s">
        <v>616</v>
      </c>
      <c r="O549">
        <v>17.2</v>
      </c>
      <c r="P549">
        <v>0.5</v>
      </c>
      <c r="R549" t="s">
        <v>617</v>
      </c>
      <c r="S549">
        <v>29.5</v>
      </c>
      <c r="T549" t="s">
        <v>235</v>
      </c>
    </row>
    <row r="550" spans="11:20" x14ac:dyDescent="0.3">
      <c r="K550" t="s">
        <v>615</v>
      </c>
      <c r="L550">
        <v>24.04</v>
      </c>
      <c r="M550">
        <v>247.38</v>
      </c>
      <c r="N550" t="s">
        <v>616</v>
      </c>
      <c r="O550">
        <v>21.2</v>
      </c>
      <c r="P550">
        <v>0.5</v>
      </c>
      <c r="R550" t="s">
        <v>617</v>
      </c>
      <c r="S550">
        <v>38.6</v>
      </c>
      <c r="T550" t="s">
        <v>235</v>
      </c>
    </row>
    <row r="551" spans="11:20" x14ac:dyDescent="0.3">
      <c r="K551" t="s">
        <v>615</v>
      </c>
      <c r="L551">
        <v>24.04</v>
      </c>
      <c r="M551">
        <v>247.4</v>
      </c>
      <c r="N551" t="s">
        <v>616</v>
      </c>
      <c r="O551">
        <v>21.2</v>
      </c>
      <c r="P551">
        <v>0.5</v>
      </c>
      <c r="R551" t="s">
        <v>617</v>
      </c>
      <c r="S551">
        <v>40.4</v>
      </c>
      <c r="T551" t="s">
        <v>235</v>
      </c>
    </row>
    <row r="552" spans="11:20" x14ac:dyDescent="0.3">
      <c r="K552" t="s">
        <v>615</v>
      </c>
      <c r="L552">
        <v>23.55</v>
      </c>
      <c r="M552">
        <v>236.92</v>
      </c>
      <c r="N552" t="s">
        <v>616</v>
      </c>
      <c r="O552">
        <v>20.8</v>
      </c>
      <c r="P552">
        <v>0.5</v>
      </c>
      <c r="R552" t="s">
        <v>617</v>
      </c>
      <c r="S552">
        <v>37.9</v>
      </c>
      <c r="T552" t="s">
        <v>235</v>
      </c>
    </row>
    <row r="553" spans="11:20" x14ac:dyDescent="0.3">
      <c r="K553" t="s">
        <v>615</v>
      </c>
      <c r="L553">
        <v>27.5</v>
      </c>
      <c r="M553">
        <v>324.89999999999998</v>
      </c>
      <c r="N553" t="s">
        <v>616</v>
      </c>
      <c r="O553">
        <v>24.2</v>
      </c>
      <c r="P553">
        <v>0.5</v>
      </c>
      <c r="R553" t="s">
        <v>617</v>
      </c>
      <c r="S553">
        <v>45.9</v>
      </c>
      <c r="T553" t="s">
        <v>235</v>
      </c>
    </row>
    <row r="554" spans="11:20" x14ac:dyDescent="0.3">
      <c r="K554" t="s">
        <v>615</v>
      </c>
      <c r="L554">
        <v>27.5</v>
      </c>
      <c r="M554">
        <v>324.89999999999998</v>
      </c>
      <c r="N554" t="s">
        <v>616</v>
      </c>
      <c r="O554">
        <v>24.2</v>
      </c>
      <c r="P554">
        <v>0.5</v>
      </c>
      <c r="R554" t="s">
        <v>617</v>
      </c>
      <c r="S554">
        <v>42.2</v>
      </c>
      <c r="T554" t="s">
        <v>235</v>
      </c>
    </row>
    <row r="555" spans="11:20" x14ac:dyDescent="0.3">
      <c r="K555" t="s">
        <v>615</v>
      </c>
      <c r="L555">
        <v>31.5</v>
      </c>
      <c r="M555">
        <v>424.2</v>
      </c>
      <c r="N555" t="s">
        <v>616</v>
      </c>
      <c r="O555">
        <v>28</v>
      </c>
      <c r="P555">
        <v>0.5</v>
      </c>
      <c r="R555" t="s">
        <v>617</v>
      </c>
      <c r="S555">
        <v>52.5</v>
      </c>
      <c r="T555" t="s">
        <v>235</v>
      </c>
    </row>
    <row r="556" spans="11:20" x14ac:dyDescent="0.3">
      <c r="K556" t="s">
        <v>615</v>
      </c>
      <c r="L556">
        <v>31.5</v>
      </c>
      <c r="M556">
        <v>424.2</v>
      </c>
      <c r="N556" t="s">
        <v>616</v>
      </c>
      <c r="O556">
        <v>28</v>
      </c>
      <c r="P556">
        <v>0.5</v>
      </c>
      <c r="R556" t="s">
        <v>617</v>
      </c>
      <c r="S556">
        <v>46.6</v>
      </c>
      <c r="T556" t="s">
        <v>235</v>
      </c>
    </row>
    <row r="557" spans="11:20" x14ac:dyDescent="0.3">
      <c r="K557" t="s">
        <v>615</v>
      </c>
      <c r="L557">
        <v>31.5</v>
      </c>
      <c r="M557">
        <v>424.14</v>
      </c>
      <c r="N557" t="s">
        <v>616</v>
      </c>
      <c r="O557">
        <v>27.9</v>
      </c>
      <c r="P557">
        <v>0.5</v>
      </c>
      <c r="R557" t="s">
        <v>617</v>
      </c>
      <c r="S557">
        <v>52.5</v>
      </c>
      <c r="T557" t="s">
        <v>235</v>
      </c>
    </row>
    <row r="558" spans="11:20" x14ac:dyDescent="0.3">
      <c r="K558" t="s">
        <v>615</v>
      </c>
      <c r="L558">
        <v>31.51</v>
      </c>
      <c r="M558">
        <v>424.2</v>
      </c>
      <c r="N558" t="s">
        <v>616</v>
      </c>
      <c r="O558">
        <v>28</v>
      </c>
      <c r="P558">
        <v>0.5</v>
      </c>
      <c r="R558" t="s">
        <v>617</v>
      </c>
      <c r="S558">
        <v>49.5</v>
      </c>
      <c r="T558" t="s">
        <v>235</v>
      </c>
    </row>
    <row r="559" spans="11:20" x14ac:dyDescent="0.3">
      <c r="K559" t="s">
        <v>615</v>
      </c>
      <c r="L559">
        <v>31.5</v>
      </c>
      <c r="M559">
        <v>424.2</v>
      </c>
      <c r="N559" t="s">
        <v>616</v>
      </c>
      <c r="O559">
        <v>28</v>
      </c>
      <c r="P559">
        <v>0.5</v>
      </c>
      <c r="R559" t="s">
        <v>617</v>
      </c>
      <c r="S559">
        <v>49.5</v>
      </c>
      <c r="T559" t="s">
        <v>235</v>
      </c>
    </row>
    <row r="560" spans="11:20" x14ac:dyDescent="0.3">
      <c r="K560" t="s">
        <v>615</v>
      </c>
      <c r="L560">
        <v>31.5</v>
      </c>
      <c r="M560">
        <v>424.2</v>
      </c>
      <c r="N560" t="s">
        <v>619</v>
      </c>
      <c r="O560">
        <v>28</v>
      </c>
      <c r="P560">
        <v>0.5</v>
      </c>
      <c r="R560" t="s">
        <v>617</v>
      </c>
      <c r="S560">
        <v>48.6</v>
      </c>
      <c r="T560" t="s">
        <v>235</v>
      </c>
    </row>
    <row r="561" spans="11:20" x14ac:dyDescent="0.3">
      <c r="K561" t="s">
        <v>615</v>
      </c>
      <c r="L561">
        <v>31.5</v>
      </c>
      <c r="M561">
        <v>424.2</v>
      </c>
      <c r="N561" t="s">
        <v>619</v>
      </c>
      <c r="O561">
        <v>28</v>
      </c>
      <c r="P561">
        <v>0.5</v>
      </c>
      <c r="R561" t="s">
        <v>617</v>
      </c>
      <c r="S561">
        <v>45.6</v>
      </c>
      <c r="T561" t="s">
        <v>235</v>
      </c>
    </row>
    <row r="562" spans="11:20" x14ac:dyDescent="0.3">
      <c r="K562" t="s">
        <v>615</v>
      </c>
      <c r="L562">
        <v>31.5</v>
      </c>
      <c r="M562">
        <v>424.2</v>
      </c>
      <c r="N562" t="s">
        <v>619</v>
      </c>
      <c r="O562">
        <v>28</v>
      </c>
      <c r="P562">
        <v>0.5</v>
      </c>
      <c r="R562" t="s">
        <v>617</v>
      </c>
      <c r="S562">
        <v>45.6</v>
      </c>
      <c r="T562" t="s">
        <v>235</v>
      </c>
    </row>
    <row r="563" spans="11:20" x14ac:dyDescent="0.3">
      <c r="K563" t="s">
        <v>615</v>
      </c>
      <c r="L563">
        <v>31.5</v>
      </c>
      <c r="M563">
        <v>424.2</v>
      </c>
      <c r="N563" t="s">
        <v>619</v>
      </c>
      <c r="O563">
        <v>28</v>
      </c>
      <c r="P563">
        <v>0.5</v>
      </c>
      <c r="R563" t="s">
        <v>617</v>
      </c>
      <c r="S563">
        <v>49.5</v>
      </c>
      <c r="T563" t="s">
        <v>235</v>
      </c>
    </row>
    <row r="564" spans="11:20" x14ac:dyDescent="0.3">
      <c r="K564" t="s">
        <v>615</v>
      </c>
      <c r="L564">
        <v>31.55</v>
      </c>
      <c r="M564">
        <v>425.43</v>
      </c>
      <c r="N564" t="s">
        <v>619</v>
      </c>
      <c r="O564">
        <v>28</v>
      </c>
      <c r="P564">
        <v>0.5</v>
      </c>
      <c r="R564" t="s">
        <v>617</v>
      </c>
      <c r="S564">
        <v>36.700000000000003</v>
      </c>
      <c r="T564" t="s">
        <v>235</v>
      </c>
    </row>
    <row r="565" spans="11:20" x14ac:dyDescent="0.3">
      <c r="K565" t="s">
        <v>615</v>
      </c>
      <c r="L565">
        <v>40</v>
      </c>
      <c r="M565">
        <v>683.8</v>
      </c>
      <c r="N565" t="s">
        <v>619</v>
      </c>
      <c r="O565">
        <v>37.6</v>
      </c>
      <c r="P565">
        <v>0.5</v>
      </c>
      <c r="R565" t="s">
        <v>617</v>
      </c>
      <c r="S565">
        <v>56.8</v>
      </c>
      <c r="T565" t="s">
        <v>235</v>
      </c>
    </row>
    <row r="566" spans="11:20" x14ac:dyDescent="0.3">
      <c r="K566" t="s">
        <v>615</v>
      </c>
      <c r="L566">
        <v>40</v>
      </c>
      <c r="M566">
        <v>683.8</v>
      </c>
      <c r="N566" t="s">
        <v>619</v>
      </c>
      <c r="O566">
        <v>37.6</v>
      </c>
      <c r="P566">
        <v>0.5</v>
      </c>
      <c r="R566" t="s">
        <v>617</v>
      </c>
      <c r="S566">
        <v>69.599999999999994</v>
      </c>
      <c r="T566" t="s">
        <v>235</v>
      </c>
    </row>
    <row r="567" spans="11:20" x14ac:dyDescent="0.3">
      <c r="K567" t="s">
        <v>615</v>
      </c>
      <c r="L567">
        <v>40</v>
      </c>
      <c r="M567">
        <v>683.8</v>
      </c>
      <c r="N567" t="s">
        <v>619</v>
      </c>
      <c r="O567">
        <v>37.6</v>
      </c>
      <c r="P567">
        <v>0.5</v>
      </c>
      <c r="R567" t="s">
        <v>617</v>
      </c>
      <c r="S567">
        <v>69.599999999999994</v>
      </c>
      <c r="T567" t="s">
        <v>235</v>
      </c>
    </row>
    <row r="568" spans="11:20" x14ac:dyDescent="0.3">
      <c r="K568" t="s">
        <v>615</v>
      </c>
      <c r="L568">
        <v>40</v>
      </c>
      <c r="M568">
        <v>683.8</v>
      </c>
      <c r="N568" t="s">
        <v>619</v>
      </c>
      <c r="O568">
        <v>37.6</v>
      </c>
      <c r="P568">
        <v>0.5</v>
      </c>
      <c r="R568" t="s">
        <v>617</v>
      </c>
      <c r="S568">
        <v>66</v>
      </c>
      <c r="T568" t="s">
        <v>235</v>
      </c>
    </row>
    <row r="569" spans="11:20" x14ac:dyDescent="0.3">
      <c r="K569" t="s">
        <v>615</v>
      </c>
      <c r="L569">
        <v>40</v>
      </c>
      <c r="M569">
        <v>683.8</v>
      </c>
      <c r="N569" t="s">
        <v>619</v>
      </c>
      <c r="O569">
        <v>37.6</v>
      </c>
      <c r="P569">
        <v>0.5</v>
      </c>
      <c r="R569" t="s">
        <v>617</v>
      </c>
      <c r="S569">
        <v>66</v>
      </c>
      <c r="T569" t="s">
        <v>235</v>
      </c>
    </row>
    <row r="570" spans="11:20" x14ac:dyDescent="0.3">
      <c r="K570" t="s">
        <v>615</v>
      </c>
      <c r="L570">
        <v>40</v>
      </c>
      <c r="M570">
        <v>683.8</v>
      </c>
      <c r="N570" t="s">
        <v>619</v>
      </c>
      <c r="O570">
        <v>37.6</v>
      </c>
      <c r="P570">
        <v>0.5</v>
      </c>
      <c r="R570" t="s">
        <v>617</v>
      </c>
      <c r="S570">
        <v>66</v>
      </c>
      <c r="T570" t="s">
        <v>235</v>
      </c>
    </row>
    <row r="571" spans="11:20" x14ac:dyDescent="0.3">
      <c r="K571" t="s">
        <v>615</v>
      </c>
      <c r="L571">
        <v>40</v>
      </c>
      <c r="M571">
        <v>683.8</v>
      </c>
      <c r="N571" t="s">
        <v>619</v>
      </c>
      <c r="O571">
        <v>37.6</v>
      </c>
      <c r="P571">
        <v>0.5</v>
      </c>
      <c r="R571" t="s">
        <v>617</v>
      </c>
      <c r="S571">
        <v>66</v>
      </c>
      <c r="T571" t="s">
        <v>235</v>
      </c>
    </row>
    <row r="572" spans="11:20" x14ac:dyDescent="0.3">
      <c r="K572" t="s">
        <v>615</v>
      </c>
      <c r="L572">
        <v>40</v>
      </c>
      <c r="M572">
        <v>683.8</v>
      </c>
      <c r="N572" t="s">
        <v>621</v>
      </c>
      <c r="O572">
        <v>56.4</v>
      </c>
      <c r="P572">
        <v>0.5</v>
      </c>
      <c r="R572" t="s">
        <v>617</v>
      </c>
      <c r="S572">
        <v>84.2</v>
      </c>
      <c r="T572" t="s">
        <v>235</v>
      </c>
    </row>
    <row r="573" spans="11:20" x14ac:dyDescent="0.3">
      <c r="K573" t="s">
        <v>615</v>
      </c>
      <c r="L573">
        <v>40</v>
      </c>
      <c r="M573">
        <v>683.8</v>
      </c>
      <c r="N573" t="s">
        <v>621</v>
      </c>
      <c r="O573">
        <v>56.4</v>
      </c>
      <c r="P573">
        <v>0.5</v>
      </c>
      <c r="R573" t="s">
        <v>617</v>
      </c>
      <c r="S573">
        <v>93.3</v>
      </c>
      <c r="T573" t="s">
        <v>235</v>
      </c>
    </row>
    <row r="574" spans="11:20" x14ac:dyDescent="0.3">
      <c r="K574" t="s">
        <v>615</v>
      </c>
      <c r="L574">
        <v>40</v>
      </c>
      <c r="M574">
        <v>683.8</v>
      </c>
      <c r="N574" t="s">
        <v>621</v>
      </c>
      <c r="O574">
        <v>56.3</v>
      </c>
      <c r="P574">
        <v>0.5</v>
      </c>
      <c r="R574" t="s">
        <v>617</v>
      </c>
      <c r="S574">
        <v>79.3</v>
      </c>
      <c r="T574" t="s">
        <v>235</v>
      </c>
    </row>
    <row r="575" spans="11:20" x14ac:dyDescent="0.3">
      <c r="K575" t="s">
        <v>615</v>
      </c>
      <c r="L575">
        <v>40</v>
      </c>
      <c r="M575">
        <v>683.8</v>
      </c>
      <c r="N575" t="s">
        <v>621</v>
      </c>
      <c r="O575">
        <v>56.3</v>
      </c>
      <c r="P575">
        <v>0.5</v>
      </c>
      <c r="R575" t="s">
        <v>617</v>
      </c>
      <c r="S575">
        <v>78</v>
      </c>
      <c r="T575" t="s">
        <v>235</v>
      </c>
    </row>
    <row r="576" spans="11:20" x14ac:dyDescent="0.3">
      <c r="K576" t="s">
        <v>615</v>
      </c>
      <c r="L576">
        <v>40</v>
      </c>
      <c r="M576">
        <v>683.8</v>
      </c>
      <c r="N576" t="s">
        <v>621</v>
      </c>
      <c r="O576">
        <v>56.4</v>
      </c>
      <c r="P576">
        <v>0.5</v>
      </c>
      <c r="R576" t="s">
        <v>617</v>
      </c>
      <c r="S576">
        <v>84.2</v>
      </c>
      <c r="T576" t="s">
        <v>235</v>
      </c>
    </row>
    <row r="577" spans="11:20" x14ac:dyDescent="0.3">
      <c r="K577" t="s">
        <v>615</v>
      </c>
      <c r="L577">
        <v>40</v>
      </c>
      <c r="M577">
        <v>683.8</v>
      </c>
      <c r="N577" t="s">
        <v>621</v>
      </c>
      <c r="O577">
        <v>56.3</v>
      </c>
      <c r="P577">
        <v>0.5</v>
      </c>
      <c r="R577" t="s">
        <v>617</v>
      </c>
      <c r="S577">
        <v>94</v>
      </c>
      <c r="T577" t="s">
        <v>235</v>
      </c>
    </row>
    <row r="578" spans="11:20" x14ac:dyDescent="0.3">
      <c r="K578" t="s">
        <v>615</v>
      </c>
      <c r="L578">
        <v>40</v>
      </c>
      <c r="M578">
        <v>683.8</v>
      </c>
      <c r="N578" t="s">
        <v>621</v>
      </c>
      <c r="O578">
        <v>56.3</v>
      </c>
      <c r="P578">
        <v>0.5</v>
      </c>
      <c r="R578" t="s">
        <v>617</v>
      </c>
      <c r="S578">
        <v>94.2</v>
      </c>
      <c r="T578" t="s">
        <v>235</v>
      </c>
    </row>
    <row r="579" spans="11:20" x14ac:dyDescent="0.3">
      <c r="K579" t="s">
        <v>615</v>
      </c>
      <c r="L579">
        <v>39.5</v>
      </c>
      <c r="M579">
        <v>660.63</v>
      </c>
      <c r="N579" t="s">
        <v>619</v>
      </c>
      <c r="O579">
        <v>36.700000000000003</v>
      </c>
      <c r="P579">
        <v>0.5</v>
      </c>
      <c r="R579" t="s">
        <v>617</v>
      </c>
      <c r="S579">
        <v>38.5</v>
      </c>
      <c r="T579" t="s">
        <v>235</v>
      </c>
    </row>
    <row r="580" spans="11:20" x14ac:dyDescent="0.3">
      <c r="K580" t="s">
        <v>615</v>
      </c>
      <c r="L580">
        <v>40</v>
      </c>
      <c r="M580">
        <v>683.8</v>
      </c>
      <c r="N580" t="s">
        <v>619</v>
      </c>
      <c r="O580">
        <v>37.6</v>
      </c>
      <c r="P580">
        <v>0.5</v>
      </c>
      <c r="R580" t="s">
        <v>617</v>
      </c>
      <c r="S580">
        <v>66</v>
      </c>
      <c r="T580" t="s">
        <v>235</v>
      </c>
    </row>
    <row r="581" spans="11:20" x14ac:dyDescent="0.3">
      <c r="K581" t="s">
        <v>615</v>
      </c>
      <c r="L581">
        <v>40</v>
      </c>
      <c r="M581">
        <v>683.8</v>
      </c>
      <c r="N581" t="s">
        <v>621</v>
      </c>
      <c r="O581">
        <v>56.4</v>
      </c>
      <c r="P581">
        <v>0.5</v>
      </c>
      <c r="R581" t="s">
        <v>617</v>
      </c>
      <c r="S581">
        <v>84.2</v>
      </c>
      <c r="T581" t="s">
        <v>235</v>
      </c>
    </row>
    <row r="582" spans="11:20" x14ac:dyDescent="0.3">
      <c r="K582" t="s">
        <v>615</v>
      </c>
      <c r="L582">
        <v>40</v>
      </c>
      <c r="M582">
        <v>683.8</v>
      </c>
      <c r="N582" t="s">
        <v>621</v>
      </c>
      <c r="O582">
        <v>56.4</v>
      </c>
      <c r="P582">
        <v>0.5</v>
      </c>
      <c r="R582" t="s">
        <v>617</v>
      </c>
      <c r="S582">
        <v>84.2</v>
      </c>
      <c r="T582" t="s">
        <v>235</v>
      </c>
    </row>
    <row r="583" spans="11:20" x14ac:dyDescent="0.3">
      <c r="K583" t="s">
        <v>615</v>
      </c>
      <c r="L583">
        <v>40</v>
      </c>
      <c r="M583">
        <v>683.8</v>
      </c>
      <c r="N583" t="s">
        <v>621</v>
      </c>
      <c r="O583">
        <v>56.4</v>
      </c>
      <c r="P583">
        <v>0.5</v>
      </c>
      <c r="R583" t="s">
        <v>617</v>
      </c>
      <c r="S583">
        <v>84.2</v>
      </c>
      <c r="T583" t="s">
        <v>235</v>
      </c>
    </row>
    <row r="584" spans="11:20" x14ac:dyDescent="0.3">
      <c r="K584" t="s">
        <v>615</v>
      </c>
      <c r="L584">
        <v>40</v>
      </c>
      <c r="M584">
        <v>683.8</v>
      </c>
      <c r="N584" t="s">
        <v>621</v>
      </c>
      <c r="O584">
        <v>56.4</v>
      </c>
      <c r="P584">
        <v>0.5</v>
      </c>
      <c r="R584" t="s">
        <v>617</v>
      </c>
      <c r="S584">
        <v>95.2</v>
      </c>
      <c r="T584" t="s">
        <v>235</v>
      </c>
    </row>
    <row r="585" spans="11:20" x14ac:dyDescent="0.3">
      <c r="K585" t="s">
        <v>615</v>
      </c>
      <c r="L585">
        <v>39.5</v>
      </c>
      <c r="M585">
        <v>660.63</v>
      </c>
      <c r="N585" t="s">
        <v>619</v>
      </c>
      <c r="O585">
        <v>36.700000000000003</v>
      </c>
      <c r="P585">
        <v>0.5</v>
      </c>
      <c r="R585" t="s">
        <v>617</v>
      </c>
      <c r="S585">
        <v>54.8</v>
      </c>
      <c r="T585" t="s">
        <v>235</v>
      </c>
    </row>
    <row r="586" spans="11:20" x14ac:dyDescent="0.3">
      <c r="K586" t="s">
        <v>615</v>
      </c>
      <c r="L586">
        <v>40</v>
      </c>
      <c r="M586">
        <v>683.8</v>
      </c>
      <c r="N586" t="s">
        <v>621</v>
      </c>
      <c r="O586">
        <v>56.4</v>
      </c>
      <c r="P586">
        <v>0.5</v>
      </c>
      <c r="R586" t="s">
        <v>617</v>
      </c>
      <c r="S586">
        <v>84.2</v>
      </c>
      <c r="T586" t="s">
        <v>235</v>
      </c>
    </row>
    <row r="587" spans="11:20" x14ac:dyDescent="0.3">
      <c r="K587" t="s">
        <v>615</v>
      </c>
      <c r="L587">
        <v>40</v>
      </c>
      <c r="M587">
        <v>683.8</v>
      </c>
      <c r="N587" t="s">
        <v>621</v>
      </c>
      <c r="O587">
        <v>56.4</v>
      </c>
      <c r="P587">
        <v>0.5</v>
      </c>
      <c r="R587" t="s">
        <v>617</v>
      </c>
      <c r="S587">
        <v>75.099999999999994</v>
      </c>
      <c r="T587" t="s">
        <v>235</v>
      </c>
    </row>
    <row r="588" spans="11:20" x14ac:dyDescent="0.3">
      <c r="K588" t="s">
        <v>615</v>
      </c>
      <c r="L588">
        <v>42.5</v>
      </c>
      <c r="M588">
        <v>771.85</v>
      </c>
      <c r="N588" t="s">
        <v>619</v>
      </c>
      <c r="O588">
        <v>40.700000000000003</v>
      </c>
      <c r="P588">
        <v>0.5</v>
      </c>
      <c r="R588" t="s">
        <v>617</v>
      </c>
      <c r="S588">
        <v>71.400000000000006</v>
      </c>
      <c r="T588" t="s">
        <v>235</v>
      </c>
    </row>
    <row r="589" spans="11:20" x14ac:dyDescent="0.3">
      <c r="K589" t="s">
        <v>615</v>
      </c>
      <c r="L589">
        <v>42.5</v>
      </c>
      <c r="M589">
        <v>771.85</v>
      </c>
      <c r="N589" t="s">
        <v>619</v>
      </c>
      <c r="O589">
        <v>40.700000000000003</v>
      </c>
      <c r="P589">
        <v>0.5</v>
      </c>
      <c r="R589" t="s">
        <v>617</v>
      </c>
      <c r="S589">
        <v>71.400000000000006</v>
      </c>
      <c r="T589" t="s">
        <v>235</v>
      </c>
    </row>
    <row r="590" spans="11:20" x14ac:dyDescent="0.3">
      <c r="K590" t="s">
        <v>615</v>
      </c>
      <c r="L590">
        <v>42.5</v>
      </c>
      <c r="M590">
        <v>771.85</v>
      </c>
      <c r="N590" t="s">
        <v>621</v>
      </c>
      <c r="O590">
        <v>61</v>
      </c>
      <c r="P590">
        <v>0.5</v>
      </c>
      <c r="R590" t="s">
        <v>617</v>
      </c>
      <c r="S590">
        <v>111.6</v>
      </c>
      <c r="T590" t="s">
        <v>235</v>
      </c>
    </row>
    <row r="591" spans="11:20" x14ac:dyDescent="0.3">
      <c r="K591" t="s">
        <v>615</v>
      </c>
      <c r="L591">
        <v>42.5</v>
      </c>
      <c r="M591">
        <v>771.85</v>
      </c>
      <c r="N591" t="s">
        <v>621</v>
      </c>
      <c r="O591">
        <v>61</v>
      </c>
      <c r="P591">
        <v>0.5</v>
      </c>
      <c r="R591" t="s">
        <v>617</v>
      </c>
      <c r="S591">
        <v>111.6</v>
      </c>
      <c r="T591" t="s">
        <v>235</v>
      </c>
    </row>
    <row r="592" spans="11:20" x14ac:dyDescent="0.3">
      <c r="K592" t="s">
        <v>615</v>
      </c>
      <c r="L592">
        <v>42.5</v>
      </c>
      <c r="M592">
        <v>771.85</v>
      </c>
      <c r="N592" t="s">
        <v>621</v>
      </c>
      <c r="O592">
        <v>61</v>
      </c>
      <c r="P592">
        <v>0.5</v>
      </c>
      <c r="R592" t="s">
        <v>617</v>
      </c>
      <c r="S592">
        <v>93.3</v>
      </c>
      <c r="T592" t="s">
        <v>235</v>
      </c>
    </row>
    <row r="593" spans="11:20" x14ac:dyDescent="0.3">
      <c r="K593" t="s">
        <v>615</v>
      </c>
      <c r="L593">
        <v>42.5</v>
      </c>
      <c r="M593">
        <v>771.85</v>
      </c>
      <c r="N593" t="s">
        <v>621</v>
      </c>
      <c r="O593">
        <v>61</v>
      </c>
      <c r="P593">
        <v>0.5</v>
      </c>
      <c r="R593" t="s">
        <v>617</v>
      </c>
      <c r="S593">
        <v>93.3</v>
      </c>
      <c r="T593" t="s">
        <v>235</v>
      </c>
    </row>
    <row r="594" spans="11:20" x14ac:dyDescent="0.3">
      <c r="K594" t="s">
        <v>615</v>
      </c>
      <c r="L594">
        <v>42.5</v>
      </c>
      <c r="M594">
        <v>771.85</v>
      </c>
      <c r="N594" t="s">
        <v>621</v>
      </c>
      <c r="O594">
        <v>61</v>
      </c>
      <c r="P594">
        <v>0.5</v>
      </c>
      <c r="R594" t="s">
        <v>617</v>
      </c>
      <c r="S594">
        <v>93.3</v>
      </c>
      <c r="T594" t="s">
        <v>235</v>
      </c>
    </row>
    <row r="595" spans="11:20" x14ac:dyDescent="0.3">
      <c r="K595" t="s">
        <v>615</v>
      </c>
      <c r="L595">
        <v>42.5</v>
      </c>
      <c r="M595">
        <v>771.91</v>
      </c>
      <c r="N595" t="s">
        <v>619</v>
      </c>
      <c r="O595">
        <v>40.700000000000003</v>
      </c>
      <c r="P595">
        <v>0.5</v>
      </c>
      <c r="R595" t="s">
        <v>617</v>
      </c>
      <c r="S595">
        <v>49</v>
      </c>
      <c r="T595" t="s">
        <v>235</v>
      </c>
    </row>
    <row r="596" spans="11:20" x14ac:dyDescent="0.3">
      <c r="K596" t="s">
        <v>615</v>
      </c>
      <c r="L596">
        <v>42.5</v>
      </c>
      <c r="M596">
        <v>771.85</v>
      </c>
      <c r="N596" t="s">
        <v>621</v>
      </c>
      <c r="O596">
        <v>61</v>
      </c>
      <c r="P596">
        <v>0.5</v>
      </c>
      <c r="R596" t="s">
        <v>617</v>
      </c>
      <c r="S596">
        <v>89.7</v>
      </c>
      <c r="T596" t="s">
        <v>235</v>
      </c>
    </row>
    <row r="597" spans="11:20" x14ac:dyDescent="0.3">
      <c r="K597" t="s">
        <v>615</v>
      </c>
      <c r="L597">
        <v>47.61</v>
      </c>
      <c r="M597">
        <v>968.73</v>
      </c>
      <c r="N597" t="s">
        <v>619</v>
      </c>
      <c r="O597">
        <v>47.3</v>
      </c>
      <c r="P597">
        <v>0.5</v>
      </c>
      <c r="R597" t="s">
        <v>617</v>
      </c>
      <c r="S597">
        <v>53.1</v>
      </c>
      <c r="T597" t="s">
        <v>235</v>
      </c>
    </row>
    <row r="598" spans="11:20" x14ac:dyDescent="0.3">
      <c r="K598" t="s">
        <v>615</v>
      </c>
      <c r="L598">
        <v>47.61</v>
      </c>
      <c r="M598">
        <v>968.73</v>
      </c>
      <c r="N598" t="s">
        <v>619</v>
      </c>
      <c r="O598">
        <v>47.3</v>
      </c>
      <c r="P598">
        <v>0.5</v>
      </c>
      <c r="R598" t="s">
        <v>617</v>
      </c>
      <c r="S598">
        <v>76.900000000000006</v>
      </c>
      <c r="T598" t="s">
        <v>235</v>
      </c>
    </row>
    <row r="599" spans="11:20" x14ac:dyDescent="0.3">
      <c r="K599" t="s">
        <v>615</v>
      </c>
      <c r="L599">
        <v>47.61</v>
      </c>
      <c r="M599">
        <v>968.73</v>
      </c>
      <c r="N599" t="s">
        <v>619</v>
      </c>
      <c r="O599">
        <v>47.3</v>
      </c>
      <c r="P599">
        <v>0.5</v>
      </c>
      <c r="R599" t="s">
        <v>617</v>
      </c>
      <c r="S599">
        <v>76.900000000000006</v>
      </c>
      <c r="T599" t="s">
        <v>235</v>
      </c>
    </row>
    <row r="600" spans="11:20" x14ac:dyDescent="0.3">
      <c r="K600" t="s">
        <v>615</v>
      </c>
      <c r="L600">
        <v>47.61</v>
      </c>
      <c r="M600">
        <v>968.73</v>
      </c>
      <c r="N600" t="s">
        <v>619</v>
      </c>
      <c r="O600">
        <v>47.3</v>
      </c>
      <c r="P600">
        <v>0.5</v>
      </c>
      <c r="R600" t="s">
        <v>617</v>
      </c>
      <c r="S600">
        <v>76.900000000000006</v>
      </c>
      <c r="T600" t="s">
        <v>235</v>
      </c>
    </row>
    <row r="601" spans="11:20" x14ac:dyDescent="0.3">
      <c r="K601" t="s">
        <v>615</v>
      </c>
      <c r="L601">
        <v>47.61</v>
      </c>
      <c r="M601">
        <v>968.73</v>
      </c>
      <c r="N601" t="s">
        <v>619</v>
      </c>
      <c r="O601">
        <v>47.3</v>
      </c>
      <c r="P601">
        <v>0.5</v>
      </c>
      <c r="R601" t="s">
        <v>617</v>
      </c>
      <c r="S601">
        <v>64.5</v>
      </c>
      <c r="T601" t="s">
        <v>235</v>
      </c>
    </row>
    <row r="602" spans="11:20" x14ac:dyDescent="0.3">
      <c r="K602" t="s">
        <v>615</v>
      </c>
      <c r="L602">
        <v>47.61</v>
      </c>
      <c r="M602">
        <v>968.73</v>
      </c>
      <c r="N602" t="s">
        <v>619</v>
      </c>
      <c r="O602">
        <v>47.3</v>
      </c>
      <c r="P602">
        <v>0.5</v>
      </c>
      <c r="R602" t="s">
        <v>617</v>
      </c>
      <c r="S602">
        <v>71</v>
      </c>
      <c r="T602" t="s">
        <v>235</v>
      </c>
    </row>
    <row r="603" spans="11:20" x14ac:dyDescent="0.3">
      <c r="K603" t="s">
        <v>615</v>
      </c>
      <c r="L603">
        <v>47.61</v>
      </c>
      <c r="M603">
        <v>968.73</v>
      </c>
      <c r="N603" t="s">
        <v>619</v>
      </c>
      <c r="O603">
        <v>47.3</v>
      </c>
      <c r="P603">
        <v>0.5</v>
      </c>
      <c r="R603" t="s">
        <v>617</v>
      </c>
      <c r="S603">
        <v>81.400000000000006</v>
      </c>
      <c r="T603" t="s">
        <v>235</v>
      </c>
    </row>
    <row r="604" spans="11:20" x14ac:dyDescent="0.3">
      <c r="K604" t="s">
        <v>615</v>
      </c>
      <c r="L604">
        <v>47.61</v>
      </c>
      <c r="M604">
        <v>968.73</v>
      </c>
      <c r="N604" t="s">
        <v>619</v>
      </c>
      <c r="O604">
        <v>47.3</v>
      </c>
      <c r="P604">
        <v>0.5</v>
      </c>
      <c r="R604" t="s">
        <v>617</v>
      </c>
      <c r="S604">
        <v>68</v>
      </c>
      <c r="T604" t="s">
        <v>235</v>
      </c>
    </row>
    <row r="605" spans="11:20" x14ac:dyDescent="0.3">
      <c r="K605" t="s">
        <v>615</v>
      </c>
      <c r="L605">
        <v>47.61</v>
      </c>
      <c r="M605">
        <v>968.73</v>
      </c>
      <c r="N605" t="s">
        <v>621</v>
      </c>
      <c r="O605">
        <v>70.900000000000006</v>
      </c>
      <c r="P605">
        <v>0.5</v>
      </c>
      <c r="R605" t="s">
        <v>617</v>
      </c>
      <c r="S605">
        <v>109.5</v>
      </c>
      <c r="T605" t="s">
        <v>235</v>
      </c>
    </row>
    <row r="606" spans="11:20" x14ac:dyDescent="0.3">
      <c r="K606" t="s">
        <v>615</v>
      </c>
      <c r="L606">
        <v>47.61</v>
      </c>
      <c r="M606">
        <v>968.73</v>
      </c>
      <c r="N606" t="s">
        <v>621</v>
      </c>
      <c r="O606">
        <v>70.900000000000006</v>
      </c>
      <c r="P606">
        <v>0.5</v>
      </c>
      <c r="R606" t="s">
        <v>617</v>
      </c>
      <c r="S606">
        <v>93.3</v>
      </c>
      <c r="T606" t="s">
        <v>235</v>
      </c>
    </row>
    <row r="607" spans="11:20" x14ac:dyDescent="0.3">
      <c r="K607" t="s">
        <v>615</v>
      </c>
      <c r="L607">
        <v>47.61</v>
      </c>
      <c r="M607">
        <v>968.73</v>
      </c>
      <c r="N607" t="s">
        <v>621</v>
      </c>
      <c r="O607">
        <v>70.900000000000006</v>
      </c>
      <c r="P607">
        <v>0.5</v>
      </c>
      <c r="R607" t="s">
        <v>617</v>
      </c>
      <c r="S607">
        <v>90.7</v>
      </c>
      <c r="T607" t="s">
        <v>235</v>
      </c>
    </row>
    <row r="608" spans="11:20" x14ac:dyDescent="0.3">
      <c r="K608" t="s">
        <v>615</v>
      </c>
      <c r="L608">
        <v>47.61</v>
      </c>
      <c r="M608">
        <v>968.73</v>
      </c>
      <c r="N608" t="s">
        <v>621</v>
      </c>
      <c r="O608">
        <v>70.900000000000006</v>
      </c>
      <c r="P608">
        <v>0.5</v>
      </c>
      <c r="R608" t="s">
        <v>617</v>
      </c>
      <c r="S608">
        <v>102.5</v>
      </c>
      <c r="T608" t="s">
        <v>235</v>
      </c>
    </row>
    <row r="609" spans="11:20" x14ac:dyDescent="0.3">
      <c r="K609" t="s">
        <v>615</v>
      </c>
      <c r="L609">
        <v>47.61</v>
      </c>
      <c r="M609">
        <v>968.73</v>
      </c>
      <c r="N609" t="s">
        <v>621</v>
      </c>
      <c r="O609">
        <v>70.900000000000006</v>
      </c>
      <c r="P609">
        <v>0.5</v>
      </c>
      <c r="R609" t="s">
        <v>617</v>
      </c>
      <c r="S609">
        <v>93.9</v>
      </c>
      <c r="T609" t="s">
        <v>235</v>
      </c>
    </row>
    <row r="610" spans="11:20" x14ac:dyDescent="0.3">
      <c r="K610" t="s">
        <v>615</v>
      </c>
      <c r="L610">
        <v>47.61</v>
      </c>
      <c r="M610">
        <v>968.73</v>
      </c>
      <c r="N610" t="s">
        <v>621</v>
      </c>
      <c r="O610">
        <v>70.900000000000006</v>
      </c>
      <c r="P610">
        <v>0.5</v>
      </c>
      <c r="R610" t="s">
        <v>617</v>
      </c>
      <c r="S610">
        <v>89.9</v>
      </c>
      <c r="T610" t="s">
        <v>235</v>
      </c>
    </row>
    <row r="611" spans="11:20" x14ac:dyDescent="0.3">
      <c r="K611" t="s">
        <v>615</v>
      </c>
      <c r="L611">
        <v>47.61</v>
      </c>
      <c r="M611">
        <v>968.73</v>
      </c>
      <c r="N611" t="s">
        <v>621</v>
      </c>
      <c r="O611">
        <v>70.900000000000006</v>
      </c>
      <c r="P611">
        <v>0.5</v>
      </c>
      <c r="R611" t="s">
        <v>617</v>
      </c>
      <c r="S611">
        <v>98.8</v>
      </c>
      <c r="T611" t="s">
        <v>235</v>
      </c>
    </row>
    <row r="612" spans="11:20" x14ac:dyDescent="0.3">
      <c r="K612" t="s">
        <v>615</v>
      </c>
      <c r="L612">
        <v>47.61</v>
      </c>
      <c r="M612">
        <v>968.73</v>
      </c>
      <c r="N612" t="s">
        <v>621</v>
      </c>
      <c r="O612">
        <v>70.900000000000006</v>
      </c>
      <c r="P612">
        <v>0.5</v>
      </c>
      <c r="R612" t="s">
        <v>617</v>
      </c>
      <c r="S612">
        <v>109.8</v>
      </c>
      <c r="T612" t="s">
        <v>235</v>
      </c>
    </row>
    <row r="613" spans="11:20" x14ac:dyDescent="0.3">
      <c r="K613" t="s">
        <v>615</v>
      </c>
      <c r="L613">
        <v>48.5</v>
      </c>
      <c r="M613">
        <v>1005.18</v>
      </c>
      <c r="N613" t="s">
        <v>619</v>
      </c>
      <c r="O613">
        <v>48.4</v>
      </c>
      <c r="P613">
        <v>0.5</v>
      </c>
      <c r="R613" t="s">
        <v>617</v>
      </c>
      <c r="S613">
        <v>45.7</v>
      </c>
      <c r="T613" t="s">
        <v>235</v>
      </c>
    </row>
    <row r="614" spans="11:20" x14ac:dyDescent="0.3">
      <c r="K614" t="s">
        <v>615</v>
      </c>
      <c r="L614">
        <v>48.5</v>
      </c>
      <c r="M614">
        <v>1005.28</v>
      </c>
      <c r="N614" t="s">
        <v>619</v>
      </c>
      <c r="O614">
        <v>48.4</v>
      </c>
      <c r="P614">
        <v>0.5</v>
      </c>
      <c r="R614" t="s">
        <v>617</v>
      </c>
      <c r="S614">
        <v>75.099999999999994</v>
      </c>
      <c r="T614" t="s">
        <v>235</v>
      </c>
    </row>
    <row r="615" spans="11:20" x14ac:dyDescent="0.3">
      <c r="K615" t="s">
        <v>615</v>
      </c>
      <c r="L615">
        <v>48.5</v>
      </c>
      <c r="M615">
        <v>1005.28</v>
      </c>
      <c r="N615" t="s">
        <v>621</v>
      </c>
      <c r="O615">
        <v>72.7</v>
      </c>
      <c r="P615">
        <v>0.5</v>
      </c>
      <c r="R615" t="s">
        <v>617</v>
      </c>
      <c r="S615">
        <v>102.5</v>
      </c>
      <c r="T615" t="s">
        <v>235</v>
      </c>
    </row>
    <row r="616" spans="11:20" x14ac:dyDescent="0.3">
      <c r="K616" t="s">
        <v>615</v>
      </c>
      <c r="L616">
        <v>48.5</v>
      </c>
      <c r="M616">
        <v>1005.28</v>
      </c>
      <c r="N616" t="s">
        <v>621</v>
      </c>
      <c r="O616">
        <v>72.7</v>
      </c>
      <c r="P616">
        <v>0.5</v>
      </c>
      <c r="R616" t="s">
        <v>617</v>
      </c>
      <c r="S616">
        <v>102.5</v>
      </c>
      <c r="T616" t="s">
        <v>235</v>
      </c>
    </row>
    <row r="617" spans="11:20" x14ac:dyDescent="0.3">
      <c r="K617" t="s">
        <v>615</v>
      </c>
      <c r="L617">
        <v>48.5</v>
      </c>
      <c r="M617">
        <v>1005.28</v>
      </c>
      <c r="N617" t="s">
        <v>621</v>
      </c>
      <c r="O617">
        <v>72.7</v>
      </c>
      <c r="P617">
        <v>0.5</v>
      </c>
      <c r="R617" t="s">
        <v>617</v>
      </c>
      <c r="S617">
        <v>107.9</v>
      </c>
      <c r="T617" t="s">
        <v>235</v>
      </c>
    </row>
    <row r="618" spans="11:20" x14ac:dyDescent="0.3">
      <c r="K618" t="s">
        <v>615</v>
      </c>
      <c r="L618">
        <v>48.5</v>
      </c>
      <c r="M618">
        <v>1005.28</v>
      </c>
      <c r="N618" t="s">
        <v>621</v>
      </c>
      <c r="O618">
        <v>72.7</v>
      </c>
      <c r="P618">
        <v>0.5</v>
      </c>
      <c r="R618" t="s">
        <v>617</v>
      </c>
      <c r="S618">
        <v>107.9</v>
      </c>
      <c r="T618" t="s">
        <v>235</v>
      </c>
    </row>
    <row r="619" spans="11:20" x14ac:dyDescent="0.3">
      <c r="K619" t="s">
        <v>615</v>
      </c>
      <c r="L619">
        <v>48.5</v>
      </c>
      <c r="M619">
        <v>1005.28</v>
      </c>
      <c r="N619" t="s">
        <v>621</v>
      </c>
      <c r="O619">
        <v>72.7</v>
      </c>
      <c r="P619">
        <v>0.5</v>
      </c>
      <c r="R619" t="s">
        <v>617</v>
      </c>
      <c r="S619">
        <v>107.9</v>
      </c>
      <c r="T619" t="s">
        <v>235</v>
      </c>
    </row>
    <row r="620" spans="11:20" x14ac:dyDescent="0.3">
      <c r="K620" t="s">
        <v>615</v>
      </c>
      <c r="L620">
        <v>48.5</v>
      </c>
      <c r="M620">
        <v>1005.18</v>
      </c>
      <c r="N620" t="s">
        <v>619</v>
      </c>
      <c r="O620">
        <v>48.4</v>
      </c>
      <c r="P620">
        <v>0.5</v>
      </c>
      <c r="R620" t="s">
        <v>617</v>
      </c>
      <c r="S620">
        <v>55</v>
      </c>
      <c r="T620" t="s">
        <v>235</v>
      </c>
    </row>
    <row r="621" spans="11:20" x14ac:dyDescent="0.3">
      <c r="K621" t="s">
        <v>615</v>
      </c>
      <c r="L621">
        <v>48.5</v>
      </c>
      <c r="M621">
        <v>1005.28</v>
      </c>
      <c r="N621" t="s">
        <v>621</v>
      </c>
      <c r="O621">
        <v>72.7</v>
      </c>
      <c r="P621">
        <v>0.5</v>
      </c>
      <c r="R621" t="s">
        <v>617</v>
      </c>
      <c r="S621">
        <v>102.5</v>
      </c>
      <c r="T621" t="s">
        <v>235</v>
      </c>
    </row>
    <row r="622" spans="11:20" x14ac:dyDescent="0.3">
      <c r="K622" t="s">
        <v>615</v>
      </c>
      <c r="L622">
        <v>48.5</v>
      </c>
      <c r="M622">
        <v>1005.28</v>
      </c>
      <c r="N622" t="s">
        <v>621</v>
      </c>
      <c r="O622">
        <v>72.7</v>
      </c>
      <c r="P622">
        <v>0.5</v>
      </c>
      <c r="R622" t="s">
        <v>617</v>
      </c>
      <c r="S622">
        <v>120.7</v>
      </c>
      <c r="T622" t="s">
        <v>235</v>
      </c>
    </row>
    <row r="623" spans="11:20" x14ac:dyDescent="0.3">
      <c r="K623" t="s">
        <v>615</v>
      </c>
      <c r="L623">
        <v>48.5</v>
      </c>
      <c r="M623">
        <v>1005.27</v>
      </c>
      <c r="N623" t="s">
        <v>621</v>
      </c>
      <c r="O623">
        <v>72.7</v>
      </c>
      <c r="P623">
        <v>0.5</v>
      </c>
      <c r="R623" t="s">
        <v>617</v>
      </c>
      <c r="S623">
        <v>97</v>
      </c>
      <c r="T623" t="s">
        <v>235</v>
      </c>
    </row>
    <row r="624" spans="11:20" x14ac:dyDescent="0.3">
      <c r="K624" t="s">
        <v>615</v>
      </c>
      <c r="L624">
        <v>48.5</v>
      </c>
      <c r="M624">
        <v>1005.28</v>
      </c>
      <c r="N624" t="s">
        <v>621</v>
      </c>
      <c r="O624">
        <v>72.7</v>
      </c>
      <c r="P624">
        <v>0.5</v>
      </c>
      <c r="R624" t="s">
        <v>617</v>
      </c>
      <c r="S624">
        <v>97</v>
      </c>
      <c r="T624" t="s">
        <v>235</v>
      </c>
    </row>
    <row r="625" spans="11:20" x14ac:dyDescent="0.3">
      <c r="K625" t="s">
        <v>615</v>
      </c>
      <c r="L625">
        <v>48.5</v>
      </c>
      <c r="M625">
        <v>1005.28</v>
      </c>
      <c r="N625" t="s">
        <v>621</v>
      </c>
      <c r="O625">
        <v>72.7</v>
      </c>
      <c r="P625">
        <v>0.5</v>
      </c>
      <c r="R625" t="s">
        <v>617</v>
      </c>
      <c r="S625">
        <v>103.1</v>
      </c>
      <c r="T625" t="s">
        <v>235</v>
      </c>
    </row>
    <row r="626" spans="11:20" x14ac:dyDescent="0.3">
      <c r="K626" t="s">
        <v>615</v>
      </c>
      <c r="L626">
        <v>49.5</v>
      </c>
      <c r="M626">
        <v>1047.01</v>
      </c>
      <c r="N626" t="s">
        <v>619</v>
      </c>
      <c r="O626">
        <v>49.7</v>
      </c>
      <c r="P626">
        <v>0.5</v>
      </c>
      <c r="R626" t="s">
        <v>617</v>
      </c>
      <c r="S626">
        <v>82.4</v>
      </c>
      <c r="T626" t="s">
        <v>235</v>
      </c>
    </row>
    <row r="627" spans="11:20" x14ac:dyDescent="0.3">
      <c r="K627" t="s">
        <v>615</v>
      </c>
      <c r="L627">
        <v>49.5</v>
      </c>
      <c r="M627">
        <v>1047.01</v>
      </c>
      <c r="N627" t="s">
        <v>619</v>
      </c>
      <c r="O627">
        <v>49.7</v>
      </c>
      <c r="P627">
        <v>0.5</v>
      </c>
      <c r="R627" t="s">
        <v>617</v>
      </c>
      <c r="S627">
        <v>82.4</v>
      </c>
      <c r="T627" t="s">
        <v>235</v>
      </c>
    </row>
    <row r="628" spans="11:20" x14ac:dyDescent="0.3">
      <c r="K628" t="s">
        <v>615</v>
      </c>
      <c r="L628">
        <v>49.5</v>
      </c>
      <c r="M628">
        <v>1047.01</v>
      </c>
      <c r="N628" t="s">
        <v>619</v>
      </c>
      <c r="O628">
        <v>49.8</v>
      </c>
      <c r="P628">
        <v>0.5</v>
      </c>
      <c r="R628" t="s">
        <v>617</v>
      </c>
      <c r="S628">
        <v>66.3</v>
      </c>
      <c r="T628" t="s">
        <v>235</v>
      </c>
    </row>
    <row r="629" spans="11:20" x14ac:dyDescent="0.3">
      <c r="K629" t="s">
        <v>615</v>
      </c>
      <c r="L629">
        <v>49.5</v>
      </c>
      <c r="M629">
        <v>1047.01</v>
      </c>
      <c r="N629" t="s">
        <v>619</v>
      </c>
      <c r="O629">
        <v>49.8</v>
      </c>
      <c r="P629">
        <v>0.5</v>
      </c>
      <c r="R629" t="s">
        <v>617</v>
      </c>
      <c r="S629">
        <v>86.1</v>
      </c>
      <c r="T629" t="s">
        <v>235</v>
      </c>
    </row>
    <row r="630" spans="11:20" x14ac:dyDescent="0.3">
      <c r="K630" t="s">
        <v>615</v>
      </c>
      <c r="L630">
        <v>49.5</v>
      </c>
      <c r="M630">
        <v>1047.01</v>
      </c>
      <c r="N630" t="s">
        <v>619</v>
      </c>
      <c r="O630">
        <v>49.8</v>
      </c>
      <c r="P630">
        <v>0.5</v>
      </c>
      <c r="R630" t="s">
        <v>617</v>
      </c>
      <c r="S630">
        <v>77.2</v>
      </c>
      <c r="T630" t="s">
        <v>235</v>
      </c>
    </row>
    <row r="631" spans="11:20" x14ac:dyDescent="0.3">
      <c r="K631" t="s">
        <v>615</v>
      </c>
      <c r="L631">
        <v>49.5</v>
      </c>
      <c r="M631">
        <v>1047.01</v>
      </c>
      <c r="N631" t="s">
        <v>621</v>
      </c>
      <c r="O631">
        <v>74.599999999999994</v>
      </c>
      <c r="P631">
        <v>0.5</v>
      </c>
      <c r="R631" t="s">
        <v>617</v>
      </c>
      <c r="S631">
        <v>106.1</v>
      </c>
      <c r="T631" t="s">
        <v>235</v>
      </c>
    </row>
    <row r="632" spans="11:20" x14ac:dyDescent="0.3">
      <c r="K632" t="s">
        <v>615</v>
      </c>
      <c r="L632">
        <v>49.5</v>
      </c>
      <c r="M632">
        <v>1047.01</v>
      </c>
      <c r="N632" t="s">
        <v>621</v>
      </c>
      <c r="O632">
        <v>74.599999999999994</v>
      </c>
      <c r="P632">
        <v>0.5</v>
      </c>
      <c r="R632" t="s">
        <v>617</v>
      </c>
      <c r="S632">
        <v>106.1</v>
      </c>
      <c r="T632" t="s">
        <v>235</v>
      </c>
    </row>
    <row r="633" spans="11:20" x14ac:dyDescent="0.3">
      <c r="K633" t="s">
        <v>615</v>
      </c>
      <c r="L633">
        <v>49.5</v>
      </c>
      <c r="M633">
        <v>1047.01</v>
      </c>
      <c r="N633" t="s">
        <v>621</v>
      </c>
      <c r="O633">
        <v>74.599999999999994</v>
      </c>
      <c r="P633">
        <v>0.5</v>
      </c>
      <c r="R633" t="s">
        <v>617</v>
      </c>
      <c r="S633">
        <v>93.3</v>
      </c>
      <c r="T633" t="s">
        <v>235</v>
      </c>
    </row>
    <row r="634" spans="11:20" x14ac:dyDescent="0.3">
      <c r="K634" t="s">
        <v>615</v>
      </c>
      <c r="L634">
        <v>49.5</v>
      </c>
      <c r="M634">
        <v>1047.01</v>
      </c>
      <c r="N634" t="s">
        <v>621</v>
      </c>
      <c r="O634">
        <v>74.599999999999994</v>
      </c>
      <c r="P634">
        <v>0.5</v>
      </c>
      <c r="R634" t="s">
        <v>617</v>
      </c>
      <c r="S634">
        <v>115.2</v>
      </c>
      <c r="T634" t="s">
        <v>235</v>
      </c>
    </row>
    <row r="635" spans="11:20" x14ac:dyDescent="0.3">
      <c r="K635" t="s">
        <v>615</v>
      </c>
      <c r="L635">
        <v>49.5</v>
      </c>
      <c r="M635">
        <v>1047.01</v>
      </c>
      <c r="N635" t="s">
        <v>621</v>
      </c>
      <c r="O635">
        <v>74.599999999999994</v>
      </c>
      <c r="P635">
        <v>0.5</v>
      </c>
      <c r="R635" t="s">
        <v>617</v>
      </c>
      <c r="S635">
        <v>122.5</v>
      </c>
      <c r="T635" t="s">
        <v>235</v>
      </c>
    </row>
    <row r="636" spans="11:20" x14ac:dyDescent="0.3">
      <c r="K636" t="s">
        <v>615</v>
      </c>
      <c r="L636">
        <v>49.5</v>
      </c>
      <c r="M636">
        <v>1047.01</v>
      </c>
      <c r="N636" t="s">
        <v>621</v>
      </c>
      <c r="O636">
        <v>74.599999999999994</v>
      </c>
      <c r="P636">
        <v>0.5</v>
      </c>
      <c r="R636" t="s">
        <v>617</v>
      </c>
      <c r="S636">
        <v>122.5</v>
      </c>
      <c r="T636" t="s">
        <v>235</v>
      </c>
    </row>
    <row r="637" spans="11:20" x14ac:dyDescent="0.3">
      <c r="K637" t="s">
        <v>615</v>
      </c>
      <c r="L637">
        <v>49.5</v>
      </c>
      <c r="M637">
        <v>1047.01</v>
      </c>
      <c r="N637" t="s">
        <v>621</v>
      </c>
      <c r="O637">
        <v>74.599999999999994</v>
      </c>
      <c r="P637">
        <v>0.5</v>
      </c>
      <c r="R637" t="s">
        <v>617</v>
      </c>
      <c r="S637">
        <v>107.9</v>
      </c>
      <c r="T637" t="s">
        <v>235</v>
      </c>
    </row>
    <row r="638" spans="11:20" x14ac:dyDescent="0.3">
      <c r="K638" t="s">
        <v>615</v>
      </c>
      <c r="L638">
        <v>49.5</v>
      </c>
      <c r="M638">
        <v>1047</v>
      </c>
      <c r="N638" t="s">
        <v>621</v>
      </c>
      <c r="O638">
        <v>74.599999999999994</v>
      </c>
      <c r="P638">
        <v>0.5</v>
      </c>
      <c r="R638" t="s">
        <v>617</v>
      </c>
      <c r="S638">
        <v>107.9</v>
      </c>
      <c r="T638" t="s">
        <v>235</v>
      </c>
    </row>
    <row r="639" spans="11:20" x14ac:dyDescent="0.3">
      <c r="K639" t="s">
        <v>615</v>
      </c>
      <c r="L639">
        <v>49.5</v>
      </c>
      <c r="M639">
        <v>1047.01</v>
      </c>
      <c r="N639" t="s">
        <v>619</v>
      </c>
      <c r="O639">
        <v>49.7</v>
      </c>
      <c r="P639">
        <v>0.5</v>
      </c>
      <c r="R639" t="s">
        <v>617</v>
      </c>
      <c r="S639">
        <v>54.3</v>
      </c>
      <c r="T639" t="s">
        <v>235</v>
      </c>
    </row>
    <row r="640" spans="11:20" x14ac:dyDescent="0.3">
      <c r="K640" t="s">
        <v>615</v>
      </c>
      <c r="L640">
        <v>49.5</v>
      </c>
      <c r="M640">
        <v>1047</v>
      </c>
      <c r="N640" t="s">
        <v>621</v>
      </c>
      <c r="O640">
        <v>74.599999999999994</v>
      </c>
      <c r="P640">
        <v>0.5</v>
      </c>
      <c r="R640" t="s">
        <v>617</v>
      </c>
      <c r="S640">
        <v>111.6</v>
      </c>
      <c r="T640" t="s">
        <v>235</v>
      </c>
    </row>
    <row r="641" spans="11:20" x14ac:dyDescent="0.3">
      <c r="K641" t="s">
        <v>615</v>
      </c>
      <c r="L641">
        <v>64.53</v>
      </c>
      <c r="M641">
        <v>1779.11</v>
      </c>
      <c r="N641" t="s">
        <v>621</v>
      </c>
      <c r="O641">
        <v>102.8</v>
      </c>
      <c r="P641">
        <v>0.5</v>
      </c>
      <c r="R641" t="s">
        <v>617</v>
      </c>
      <c r="S641">
        <v>103.8</v>
      </c>
      <c r="T641" t="s">
        <v>235</v>
      </c>
    </row>
    <row r="642" spans="11:20" x14ac:dyDescent="0.3">
      <c r="K642" t="s">
        <v>615</v>
      </c>
      <c r="L642">
        <v>64.53</v>
      </c>
      <c r="M642">
        <v>1779.11</v>
      </c>
      <c r="N642" t="s">
        <v>621</v>
      </c>
      <c r="O642">
        <v>102.8</v>
      </c>
      <c r="P642">
        <v>0.5</v>
      </c>
      <c r="R642" t="s">
        <v>617</v>
      </c>
      <c r="S642">
        <v>133.5</v>
      </c>
      <c r="T642" t="s">
        <v>235</v>
      </c>
    </row>
    <row r="643" spans="11:20" x14ac:dyDescent="0.3">
      <c r="K643" t="s">
        <v>615</v>
      </c>
      <c r="L643">
        <v>64.53</v>
      </c>
      <c r="M643">
        <v>1779.11</v>
      </c>
      <c r="N643" t="s">
        <v>621</v>
      </c>
      <c r="O643">
        <v>102.8</v>
      </c>
      <c r="P643">
        <v>0.5</v>
      </c>
      <c r="R643" t="s">
        <v>617</v>
      </c>
      <c r="S643">
        <v>133.5</v>
      </c>
      <c r="T643" t="s">
        <v>235</v>
      </c>
    </row>
    <row r="644" spans="11:20" x14ac:dyDescent="0.3">
      <c r="K644" t="s">
        <v>615</v>
      </c>
      <c r="L644">
        <v>64.53</v>
      </c>
      <c r="M644">
        <v>1779.11</v>
      </c>
      <c r="N644" t="s">
        <v>621</v>
      </c>
      <c r="O644">
        <v>102.8</v>
      </c>
      <c r="P644">
        <v>0.5</v>
      </c>
      <c r="R644" t="s">
        <v>617</v>
      </c>
      <c r="S644">
        <v>133.5</v>
      </c>
      <c r="T644" t="s">
        <v>235</v>
      </c>
    </row>
    <row r="645" spans="11:20" x14ac:dyDescent="0.3">
      <c r="K645" t="s">
        <v>615</v>
      </c>
      <c r="L645">
        <v>64.53</v>
      </c>
      <c r="M645">
        <v>1779.11</v>
      </c>
      <c r="N645" t="s">
        <v>621</v>
      </c>
      <c r="O645">
        <v>102.8</v>
      </c>
      <c r="P645">
        <v>0.5</v>
      </c>
      <c r="R645" t="s">
        <v>617</v>
      </c>
      <c r="S645">
        <v>133.5</v>
      </c>
      <c r="T645" t="s">
        <v>235</v>
      </c>
    </row>
    <row r="646" spans="11:20" x14ac:dyDescent="0.3">
      <c r="K646" t="s">
        <v>615</v>
      </c>
      <c r="L646">
        <v>64.53</v>
      </c>
      <c r="M646">
        <v>1779.11</v>
      </c>
      <c r="N646" t="s">
        <v>621</v>
      </c>
      <c r="O646">
        <v>102.8</v>
      </c>
      <c r="P646">
        <v>0.5</v>
      </c>
      <c r="R646" t="s">
        <v>617</v>
      </c>
      <c r="S646">
        <v>133.5</v>
      </c>
      <c r="T646" t="s">
        <v>235</v>
      </c>
    </row>
    <row r="647" spans="11:20" x14ac:dyDescent="0.3">
      <c r="K647" t="s">
        <v>615</v>
      </c>
      <c r="L647">
        <v>64.53</v>
      </c>
      <c r="M647">
        <v>1779.11</v>
      </c>
      <c r="N647" t="s">
        <v>621</v>
      </c>
      <c r="O647">
        <v>102.8</v>
      </c>
      <c r="P647">
        <v>0.5</v>
      </c>
      <c r="R647" t="s">
        <v>617</v>
      </c>
      <c r="S647">
        <v>133.5</v>
      </c>
      <c r="T647" t="s">
        <v>235</v>
      </c>
    </row>
    <row r="648" spans="11:20" x14ac:dyDescent="0.3">
      <c r="K648" t="s">
        <v>615</v>
      </c>
      <c r="L648">
        <v>64.53</v>
      </c>
      <c r="M648">
        <v>1779.11</v>
      </c>
      <c r="N648" t="s">
        <v>621</v>
      </c>
      <c r="O648">
        <v>102.8</v>
      </c>
      <c r="P648">
        <v>0.5</v>
      </c>
      <c r="R648" t="s">
        <v>617</v>
      </c>
      <c r="S648">
        <v>155.4</v>
      </c>
      <c r="T648" t="s">
        <v>235</v>
      </c>
    </row>
    <row r="649" spans="11:20" x14ac:dyDescent="0.3">
      <c r="K649" t="s">
        <v>615</v>
      </c>
      <c r="L649">
        <v>64.53</v>
      </c>
      <c r="M649">
        <v>1779.11</v>
      </c>
      <c r="N649" t="s">
        <v>621</v>
      </c>
      <c r="O649">
        <v>102.8</v>
      </c>
      <c r="P649">
        <v>0.5</v>
      </c>
      <c r="R649" t="s">
        <v>617</v>
      </c>
      <c r="S649">
        <v>155.4</v>
      </c>
      <c r="T649" t="s">
        <v>235</v>
      </c>
    </row>
    <row r="650" spans="11:20" x14ac:dyDescent="0.3">
      <c r="K650" t="s">
        <v>615</v>
      </c>
      <c r="L650">
        <v>64.53</v>
      </c>
      <c r="M650">
        <v>1779.11</v>
      </c>
      <c r="N650" t="s">
        <v>621</v>
      </c>
      <c r="O650">
        <v>102.8</v>
      </c>
      <c r="P650">
        <v>0.5</v>
      </c>
      <c r="R650" t="s">
        <v>617</v>
      </c>
      <c r="S650">
        <v>129.80000000000001</v>
      </c>
      <c r="T650" t="s">
        <v>235</v>
      </c>
    </row>
    <row r="651" spans="11:20" x14ac:dyDescent="0.3">
      <c r="K651" t="s">
        <v>615</v>
      </c>
      <c r="L651">
        <v>64.53</v>
      </c>
      <c r="M651">
        <v>1779.11</v>
      </c>
      <c r="N651" t="s">
        <v>621</v>
      </c>
      <c r="O651">
        <v>102.8</v>
      </c>
      <c r="P651">
        <v>0.5</v>
      </c>
      <c r="R651" t="s">
        <v>617</v>
      </c>
      <c r="S651">
        <v>129.80000000000001</v>
      </c>
      <c r="T651" t="s">
        <v>235</v>
      </c>
    </row>
    <row r="652" spans="11:20" x14ac:dyDescent="0.3">
      <c r="K652" t="s">
        <v>615</v>
      </c>
      <c r="L652">
        <v>64.53</v>
      </c>
      <c r="M652">
        <v>1779.11</v>
      </c>
      <c r="N652" t="s">
        <v>621</v>
      </c>
      <c r="O652">
        <v>102.8</v>
      </c>
      <c r="P652">
        <v>0.5</v>
      </c>
      <c r="R652" t="s">
        <v>617</v>
      </c>
      <c r="S652">
        <v>129.80000000000001</v>
      </c>
      <c r="T652" t="s">
        <v>235</v>
      </c>
    </row>
    <row r="653" spans="11:20" x14ac:dyDescent="0.3">
      <c r="K653" t="s">
        <v>615</v>
      </c>
      <c r="L653">
        <v>64.53</v>
      </c>
      <c r="M653">
        <v>1779.11</v>
      </c>
      <c r="N653" t="s">
        <v>621</v>
      </c>
      <c r="O653">
        <v>102.8</v>
      </c>
      <c r="P653">
        <v>0.5</v>
      </c>
      <c r="R653" t="s">
        <v>617</v>
      </c>
      <c r="S653">
        <v>129.80000000000001</v>
      </c>
      <c r="T653" t="s">
        <v>235</v>
      </c>
    </row>
    <row r="654" spans="11:20" x14ac:dyDescent="0.3">
      <c r="K654" t="s">
        <v>615</v>
      </c>
      <c r="L654">
        <v>64.53</v>
      </c>
      <c r="M654">
        <v>1779.11</v>
      </c>
      <c r="N654" t="s">
        <v>621</v>
      </c>
      <c r="O654">
        <v>102.8</v>
      </c>
      <c r="P654">
        <v>0.5</v>
      </c>
      <c r="R654" t="s">
        <v>617</v>
      </c>
      <c r="S654">
        <v>182.8</v>
      </c>
      <c r="T654" t="s">
        <v>235</v>
      </c>
    </row>
    <row r="655" spans="11:20" x14ac:dyDescent="0.3">
      <c r="K655" t="s">
        <v>615</v>
      </c>
      <c r="L655">
        <v>64.53</v>
      </c>
      <c r="M655">
        <v>1779.11</v>
      </c>
      <c r="N655" t="s">
        <v>621</v>
      </c>
      <c r="O655">
        <v>102.8</v>
      </c>
      <c r="P655">
        <v>0.5</v>
      </c>
      <c r="R655" t="s">
        <v>617</v>
      </c>
      <c r="S655">
        <v>139</v>
      </c>
      <c r="T655" t="s">
        <v>235</v>
      </c>
    </row>
    <row r="656" spans="11:20" x14ac:dyDescent="0.3">
      <c r="K656" t="s">
        <v>615</v>
      </c>
      <c r="L656">
        <v>64.53</v>
      </c>
      <c r="M656">
        <v>1779.11</v>
      </c>
      <c r="N656" t="s">
        <v>621</v>
      </c>
      <c r="O656">
        <v>102.8</v>
      </c>
      <c r="P656">
        <v>0.5</v>
      </c>
      <c r="R656" t="s">
        <v>617</v>
      </c>
      <c r="S656">
        <v>139</v>
      </c>
      <c r="T656" t="s">
        <v>235</v>
      </c>
    </row>
    <row r="657" spans="11:20" x14ac:dyDescent="0.3">
      <c r="K657" t="s">
        <v>615</v>
      </c>
      <c r="L657">
        <v>64.53</v>
      </c>
      <c r="M657">
        <v>1779.11</v>
      </c>
      <c r="N657" t="s">
        <v>621</v>
      </c>
      <c r="O657">
        <v>102.8</v>
      </c>
      <c r="P657">
        <v>0.5</v>
      </c>
      <c r="R657" t="s">
        <v>617</v>
      </c>
      <c r="S657">
        <v>129.80000000000001</v>
      </c>
      <c r="T657" t="s">
        <v>235</v>
      </c>
    </row>
    <row r="658" spans="11:20" x14ac:dyDescent="0.3">
      <c r="K658" t="s">
        <v>615</v>
      </c>
      <c r="L658">
        <v>64.53</v>
      </c>
      <c r="M658">
        <v>1779.11</v>
      </c>
      <c r="N658" t="s">
        <v>621</v>
      </c>
      <c r="O658">
        <v>102.8</v>
      </c>
      <c r="P658">
        <v>0.5</v>
      </c>
      <c r="R658" t="s">
        <v>617</v>
      </c>
      <c r="S658">
        <v>129.80000000000001</v>
      </c>
      <c r="T658" t="s">
        <v>235</v>
      </c>
    </row>
    <row r="659" spans="11:20" x14ac:dyDescent="0.3">
      <c r="K659" t="s">
        <v>615</v>
      </c>
      <c r="L659">
        <v>31.57</v>
      </c>
      <c r="M659">
        <v>425.73</v>
      </c>
      <c r="N659" t="s">
        <v>619</v>
      </c>
      <c r="O659">
        <v>28</v>
      </c>
      <c r="P659">
        <v>0.5</v>
      </c>
      <c r="R659" t="s">
        <v>666</v>
      </c>
      <c r="S659">
        <v>46.2</v>
      </c>
      <c r="T659" t="s">
        <v>235</v>
      </c>
    </row>
    <row r="660" spans="11:20" x14ac:dyDescent="0.3">
      <c r="K660" t="s">
        <v>615</v>
      </c>
      <c r="L660">
        <v>31.52</v>
      </c>
      <c r="M660">
        <v>425.59</v>
      </c>
      <c r="N660" t="s">
        <v>619</v>
      </c>
      <c r="O660">
        <v>28</v>
      </c>
      <c r="P660">
        <v>0.5</v>
      </c>
      <c r="R660" t="s">
        <v>617</v>
      </c>
      <c r="S660">
        <v>47.7</v>
      </c>
      <c r="T660" t="s">
        <v>235</v>
      </c>
    </row>
    <row r="661" spans="11:20" x14ac:dyDescent="0.3">
      <c r="K661" t="s">
        <v>615</v>
      </c>
      <c r="L661">
        <v>31.51</v>
      </c>
      <c r="M661">
        <v>424.14</v>
      </c>
      <c r="N661" t="s">
        <v>616</v>
      </c>
      <c r="O661">
        <v>28</v>
      </c>
      <c r="P661">
        <v>0.5</v>
      </c>
      <c r="R661" t="s">
        <v>617</v>
      </c>
      <c r="S661">
        <v>52.8</v>
      </c>
      <c r="T661" t="s">
        <v>235</v>
      </c>
    </row>
    <row r="662" spans="11:20" x14ac:dyDescent="0.3">
      <c r="K662" t="s">
        <v>615</v>
      </c>
      <c r="L662">
        <v>31.54</v>
      </c>
      <c r="M662">
        <v>425.12</v>
      </c>
      <c r="N662" t="s">
        <v>616</v>
      </c>
      <c r="O662">
        <v>28</v>
      </c>
      <c r="P662">
        <v>0.5</v>
      </c>
      <c r="R662" t="s">
        <v>666</v>
      </c>
      <c r="S662">
        <v>46.1</v>
      </c>
      <c r="T662" t="s">
        <v>235</v>
      </c>
    </row>
    <row r="663" spans="11:20" x14ac:dyDescent="0.3">
      <c r="K663" t="s">
        <v>615</v>
      </c>
      <c r="L663">
        <v>31.51</v>
      </c>
      <c r="M663">
        <v>424.14</v>
      </c>
      <c r="N663" t="s">
        <v>672</v>
      </c>
      <c r="O663">
        <v>28</v>
      </c>
      <c r="P663">
        <v>0.5</v>
      </c>
      <c r="R663" t="s">
        <v>617</v>
      </c>
      <c r="S663">
        <v>50.4</v>
      </c>
      <c r="T663" t="s">
        <v>235</v>
      </c>
    </row>
    <row r="664" spans="11:20" x14ac:dyDescent="0.3">
      <c r="K664" t="s">
        <v>639</v>
      </c>
      <c r="L664">
        <v>38.549999999999997</v>
      </c>
      <c r="M664">
        <v>638.05999999999995</v>
      </c>
      <c r="N664" t="s">
        <v>616</v>
      </c>
      <c r="O664">
        <v>35.799999999999997</v>
      </c>
      <c r="P664">
        <v>0.5</v>
      </c>
      <c r="R664" t="s">
        <v>617</v>
      </c>
      <c r="S664">
        <v>62.8</v>
      </c>
      <c r="T664" t="s">
        <v>235</v>
      </c>
    </row>
    <row r="665" spans="11:20" x14ac:dyDescent="0.3">
      <c r="K665" t="s">
        <v>615</v>
      </c>
      <c r="L665">
        <v>39.479999999999997</v>
      </c>
      <c r="M665">
        <v>660.56</v>
      </c>
      <c r="N665" t="s">
        <v>619</v>
      </c>
      <c r="O665">
        <v>36.700000000000003</v>
      </c>
      <c r="P665">
        <v>0.5</v>
      </c>
      <c r="R665" t="s">
        <v>617</v>
      </c>
      <c r="S665">
        <v>67.2</v>
      </c>
      <c r="T665" t="s">
        <v>235</v>
      </c>
    </row>
    <row r="666" spans="11:20" x14ac:dyDescent="0.3">
      <c r="K666" t="s">
        <v>615</v>
      </c>
      <c r="L666">
        <v>39.47</v>
      </c>
      <c r="M666">
        <v>658.9</v>
      </c>
      <c r="N666" t="s">
        <v>619</v>
      </c>
      <c r="O666">
        <v>36.6</v>
      </c>
      <c r="P666">
        <v>0.5</v>
      </c>
      <c r="R666" t="s">
        <v>617</v>
      </c>
      <c r="S666">
        <v>57.6</v>
      </c>
      <c r="T666" t="s">
        <v>235</v>
      </c>
    </row>
    <row r="667" spans="11:20" x14ac:dyDescent="0.3">
      <c r="K667" t="s">
        <v>615</v>
      </c>
      <c r="L667">
        <v>39.96</v>
      </c>
      <c r="M667">
        <v>683.82</v>
      </c>
      <c r="N667" t="s">
        <v>619</v>
      </c>
      <c r="O667">
        <v>37.6</v>
      </c>
      <c r="P667">
        <v>0.5</v>
      </c>
      <c r="R667" t="s">
        <v>617</v>
      </c>
      <c r="S667">
        <v>61.2</v>
      </c>
      <c r="T667" t="s">
        <v>235</v>
      </c>
    </row>
    <row r="668" spans="11:20" x14ac:dyDescent="0.3">
      <c r="K668" t="s">
        <v>615</v>
      </c>
      <c r="L668">
        <v>39.89</v>
      </c>
      <c r="M668">
        <v>684.68</v>
      </c>
      <c r="N668" t="s">
        <v>673</v>
      </c>
      <c r="O668">
        <v>37.6</v>
      </c>
      <c r="P668">
        <v>0.5</v>
      </c>
      <c r="R668" t="s">
        <v>674</v>
      </c>
      <c r="S668">
        <v>53.8</v>
      </c>
      <c r="T668" t="s">
        <v>235</v>
      </c>
    </row>
    <row r="669" spans="11:20" x14ac:dyDescent="0.3">
      <c r="K669" t="s">
        <v>615</v>
      </c>
      <c r="L669">
        <v>41.52</v>
      </c>
      <c r="M669">
        <v>736.83</v>
      </c>
      <c r="N669" t="s">
        <v>619</v>
      </c>
      <c r="O669">
        <v>39.5</v>
      </c>
      <c r="P669">
        <v>0.5</v>
      </c>
      <c r="R669" t="s">
        <v>663</v>
      </c>
      <c r="S669">
        <v>66.400000000000006</v>
      </c>
      <c r="T669" t="s">
        <v>235</v>
      </c>
    </row>
    <row r="670" spans="11:20" x14ac:dyDescent="0.3">
      <c r="K670" t="s">
        <v>615</v>
      </c>
      <c r="L670">
        <v>41.43</v>
      </c>
      <c r="M670">
        <v>735.26</v>
      </c>
      <c r="N670" t="s">
        <v>619</v>
      </c>
      <c r="O670">
        <v>39.4</v>
      </c>
      <c r="P670">
        <v>0.5</v>
      </c>
      <c r="R670" t="s">
        <v>674</v>
      </c>
      <c r="S670">
        <v>67.8</v>
      </c>
      <c r="T670" t="s">
        <v>235</v>
      </c>
    </row>
    <row r="671" spans="11:20" x14ac:dyDescent="0.3">
      <c r="K671" t="s">
        <v>615</v>
      </c>
      <c r="L671">
        <v>42.58</v>
      </c>
      <c r="M671">
        <v>775.55</v>
      </c>
      <c r="N671" t="s">
        <v>619</v>
      </c>
      <c r="O671">
        <v>40.799999999999997</v>
      </c>
      <c r="P671">
        <v>0.5</v>
      </c>
      <c r="R671" t="s">
        <v>617</v>
      </c>
      <c r="S671">
        <v>69.400000000000006</v>
      </c>
      <c r="T671" t="s">
        <v>235</v>
      </c>
    </row>
    <row r="672" spans="11:20" x14ac:dyDescent="0.3">
      <c r="K672" t="s">
        <v>615</v>
      </c>
      <c r="L672">
        <v>47.48</v>
      </c>
      <c r="M672">
        <v>969.61</v>
      </c>
      <c r="N672" t="s">
        <v>619</v>
      </c>
      <c r="O672">
        <v>47.3</v>
      </c>
      <c r="P672">
        <v>0.5</v>
      </c>
      <c r="R672" t="s">
        <v>664</v>
      </c>
      <c r="S672">
        <v>73.8</v>
      </c>
      <c r="T672" t="s">
        <v>235</v>
      </c>
    </row>
    <row r="673" spans="11:20" x14ac:dyDescent="0.3">
      <c r="K673" t="s">
        <v>615</v>
      </c>
      <c r="L673">
        <v>49.46</v>
      </c>
      <c r="M673">
        <v>1045.42</v>
      </c>
      <c r="N673" t="s">
        <v>619</v>
      </c>
      <c r="O673">
        <v>49.7</v>
      </c>
      <c r="P673">
        <v>0.5</v>
      </c>
      <c r="R673" t="s">
        <v>617</v>
      </c>
      <c r="S673">
        <v>84.8</v>
      </c>
      <c r="T673" t="s">
        <v>235</v>
      </c>
    </row>
    <row r="674" spans="11:20" x14ac:dyDescent="0.3">
      <c r="K674" t="s">
        <v>615</v>
      </c>
      <c r="L674">
        <v>49.45</v>
      </c>
      <c r="M674">
        <v>1048.6400000000001</v>
      </c>
      <c r="N674" t="s">
        <v>619</v>
      </c>
      <c r="O674">
        <v>49.8</v>
      </c>
      <c r="P674">
        <v>0.5</v>
      </c>
      <c r="R674" t="s">
        <v>617</v>
      </c>
      <c r="S674">
        <v>75.5</v>
      </c>
      <c r="T674" t="s">
        <v>235</v>
      </c>
    </row>
    <row r="675" spans="11:20" x14ac:dyDescent="0.3">
      <c r="K675" t="s">
        <v>615</v>
      </c>
      <c r="L675">
        <v>49.5</v>
      </c>
      <c r="M675">
        <v>1046.3900000000001</v>
      </c>
      <c r="N675" t="s">
        <v>619</v>
      </c>
      <c r="O675">
        <v>49.7</v>
      </c>
      <c r="P675">
        <v>0.5</v>
      </c>
      <c r="R675" t="s">
        <v>666</v>
      </c>
      <c r="S675">
        <v>87.9</v>
      </c>
      <c r="T675" t="s">
        <v>235</v>
      </c>
    </row>
    <row r="676" spans="11:20" x14ac:dyDescent="0.3">
      <c r="K676" t="s">
        <v>615</v>
      </c>
      <c r="L676">
        <v>40.01</v>
      </c>
      <c r="M676">
        <v>683.8</v>
      </c>
      <c r="N676" t="s">
        <v>619</v>
      </c>
      <c r="O676">
        <v>37.6</v>
      </c>
      <c r="P676">
        <v>0.5</v>
      </c>
      <c r="R676" t="s">
        <v>617</v>
      </c>
      <c r="S676">
        <v>62.1</v>
      </c>
      <c r="T676" t="s">
        <v>235</v>
      </c>
    </row>
    <row r="677" spans="11:20" x14ac:dyDescent="0.3">
      <c r="K677" t="s">
        <v>615</v>
      </c>
      <c r="L677">
        <v>31.51</v>
      </c>
      <c r="M677">
        <v>424.14</v>
      </c>
      <c r="N677" t="s">
        <v>616</v>
      </c>
      <c r="O677">
        <v>28</v>
      </c>
      <c r="P677">
        <v>0.5</v>
      </c>
      <c r="R677" t="s">
        <v>617</v>
      </c>
      <c r="S677">
        <v>44.3</v>
      </c>
      <c r="T677" t="s">
        <v>235</v>
      </c>
    </row>
    <row r="678" spans="11:20" x14ac:dyDescent="0.3">
      <c r="K678" t="s">
        <v>615</v>
      </c>
      <c r="L678">
        <v>40</v>
      </c>
      <c r="M678">
        <v>660.54</v>
      </c>
      <c r="N678" t="s">
        <v>619</v>
      </c>
      <c r="O678">
        <v>36.74</v>
      </c>
      <c r="P678">
        <v>0.5</v>
      </c>
      <c r="R678" t="s">
        <v>663</v>
      </c>
      <c r="S678">
        <v>54.3</v>
      </c>
      <c r="T678" t="s">
        <v>235</v>
      </c>
    </row>
    <row r="679" spans="11:20" x14ac:dyDescent="0.3">
      <c r="K679" t="s">
        <v>615</v>
      </c>
      <c r="L679">
        <v>40</v>
      </c>
      <c r="M679">
        <v>660.54</v>
      </c>
      <c r="N679" t="s">
        <v>619</v>
      </c>
      <c r="O679">
        <v>36.74</v>
      </c>
      <c r="P679">
        <v>0.5</v>
      </c>
      <c r="R679" t="s">
        <v>663</v>
      </c>
      <c r="S679">
        <v>54.3</v>
      </c>
      <c r="T679" t="s">
        <v>235</v>
      </c>
    </row>
    <row r="680" spans="11:20" x14ac:dyDescent="0.3">
      <c r="K680" t="s">
        <v>615</v>
      </c>
      <c r="L680">
        <v>43</v>
      </c>
      <c r="M680">
        <v>788.95</v>
      </c>
      <c r="N680" t="s">
        <v>619</v>
      </c>
      <c r="O680">
        <v>40.659999999999997</v>
      </c>
      <c r="P680">
        <v>0.5</v>
      </c>
      <c r="R680" t="s">
        <v>663</v>
      </c>
      <c r="S680">
        <v>51.9</v>
      </c>
      <c r="T680" t="s">
        <v>235</v>
      </c>
    </row>
    <row r="681" spans="11:20" x14ac:dyDescent="0.3">
      <c r="K681" t="s">
        <v>615</v>
      </c>
      <c r="L681">
        <v>43</v>
      </c>
      <c r="M681">
        <v>788.95</v>
      </c>
      <c r="N681" t="s">
        <v>619</v>
      </c>
      <c r="O681">
        <v>40.659999999999997</v>
      </c>
      <c r="P681">
        <v>0.5</v>
      </c>
      <c r="R681" t="s">
        <v>663</v>
      </c>
      <c r="S681">
        <v>51.9</v>
      </c>
      <c r="T681" t="s">
        <v>235</v>
      </c>
    </row>
    <row r="682" spans="11:20" x14ac:dyDescent="0.3">
      <c r="K682" t="s">
        <v>615</v>
      </c>
      <c r="L682">
        <v>43</v>
      </c>
      <c r="M682">
        <v>790.08</v>
      </c>
      <c r="N682" t="s">
        <v>619</v>
      </c>
      <c r="O682">
        <v>40.659999999999997</v>
      </c>
      <c r="P682">
        <v>0.5</v>
      </c>
      <c r="R682" t="s">
        <v>663</v>
      </c>
      <c r="S682">
        <v>46</v>
      </c>
      <c r="T682" t="s">
        <v>235</v>
      </c>
    </row>
    <row r="683" spans="11:20" x14ac:dyDescent="0.3">
      <c r="K683" t="s">
        <v>615</v>
      </c>
      <c r="L683">
        <v>43</v>
      </c>
      <c r="M683">
        <v>790.08</v>
      </c>
      <c r="N683" t="s">
        <v>619</v>
      </c>
      <c r="O683">
        <v>40.659999999999997</v>
      </c>
      <c r="P683">
        <v>0.5</v>
      </c>
      <c r="R683" t="s">
        <v>663</v>
      </c>
      <c r="S683">
        <v>46</v>
      </c>
      <c r="T683" t="s">
        <v>235</v>
      </c>
    </row>
    <row r="684" spans="11:20" x14ac:dyDescent="0.3">
      <c r="K684" t="s">
        <v>615</v>
      </c>
      <c r="L684">
        <v>42.51</v>
      </c>
      <c r="M684">
        <v>772.33</v>
      </c>
      <c r="N684" t="s">
        <v>621</v>
      </c>
      <c r="O684">
        <v>61</v>
      </c>
      <c r="P684">
        <v>0.5</v>
      </c>
      <c r="R684" t="s">
        <v>663</v>
      </c>
      <c r="S684">
        <v>101.1</v>
      </c>
      <c r="T684" t="s">
        <v>235</v>
      </c>
    </row>
    <row r="685" spans="11:20" x14ac:dyDescent="0.3">
      <c r="K685" t="s">
        <v>615</v>
      </c>
      <c r="L685">
        <v>48</v>
      </c>
      <c r="M685">
        <v>984.5</v>
      </c>
      <c r="N685" t="s">
        <v>619</v>
      </c>
      <c r="O685">
        <v>47.27</v>
      </c>
      <c r="P685">
        <v>0.5</v>
      </c>
      <c r="R685" t="s">
        <v>663</v>
      </c>
      <c r="S685">
        <v>58.4</v>
      </c>
      <c r="T685" t="s">
        <v>235</v>
      </c>
    </row>
    <row r="686" spans="11:20" x14ac:dyDescent="0.3">
      <c r="K686" t="s">
        <v>615</v>
      </c>
      <c r="L686">
        <v>48</v>
      </c>
      <c r="M686">
        <v>984.5</v>
      </c>
      <c r="N686" t="s">
        <v>619</v>
      </c>
      <c r="O686">
        <v>47.27</v>
      </c>
      <c r="P686">
        <v>0.5</v>
      </c>
      <c r="R686" t="s">
        <v>663</v>
      </c>
      <c r="S686">
        <v>58.4</v>
      </c>
      <c r="T686" t="s">
        <v>235</v>
      </c>
    </row>
    <row r="687" spans="11:20" x14ac:dyDescent="0.3">
      <c r="K687" t="s">
        <v>615</v>
      </c>
      <c r="L687">
        <v>55</v>
      </c>
      <c r="M687">
        <v>1275.7</v>
      </c>
      <c r="N687" t="s">
        <v>667</v>
      </c>
      <c r="O687">
        <v>84.7</v>
      </c>
      <c r="P687">
        <v>0.5</v>
      </c>
      <c r="R687" t="s">
        <v>663</v>
      </c>
      <c r="S687">
        <v>145.9</v>
      </c>
      <c r="T687" t="s">
        <v>235</v>
      </c>
    </row>
    <row r="688" spans="11:20" x14ac:dyDescent="0.3">
      <c r="K688" t="s">
        <v>615</v>
      </c>
      <c r="L688">
        <v>55</v>
      </c>
      <c r="M688">
        <v>1275.74</v>
      </c>
      <c r="N688" t="s">
        <v>619</v>
      </c>
      <c r="O688">
        <v>56.48</v>
      </c>
      <c r="P688">
        <v>0.5</v>
      </c>
      <c r="R688" t="s">
        <v>663</v>
      </c>
      <c r="S688">
        <v>168.8</v>
      </c>
      <c r="T688" t="s">
        <v>235</v>
      </c>
    </row>
    <row r="689" spans="11:20" x14ac:dyDescent="0.3">
      <c r="K689" t="s">
        <v>615</v>
      </c>
      <c r="L689">
        <v>55</v>
      </c>
      <c r="M689">
        <v>1275.74</v>
      </c>
      <c r="N689" t="s">
        <v>619</v>
      </c>
      <c r="O689">
        <v>56.48</v>
      </c>
      <c r="P689">
        <v>0.5</v>
      </c>
      <c r="R689" t="s">
        <v>663</v>
      </c>
      <c r="S689">
        <v>168.8</v>
      </c>
      <c r="T689" t="s">
        <v>235</v>
      </c>
    </row>
    <row r="690" spans="11:20" x14ac:dyDescent="0.3">
      <c r="K690" t="s">
        <v>615</v>
      </c>
      <c r="L690">
        <v>65</v>
      </c>
      <c r="M690">
        <v>1780.07</v>
      </c>
      <c r="N690" t="s">
        <v>619</v>
      </c>
      <c r="O690">
        <v>41.6</v>
      </c>
      <c r="P690">
        <v>0.5</v>
      </c>
      <c r="R690" t="s">
        <v>675</v>
      </c>
      <c r="S690">
        <v>77.900000000000006</v>
      </c>
      <c r="T690" t="s">
        <v>235</v>
      </c>
    </row>
    <row r="691" spans="11:20" x14ac:dyDescent="0.3">
      <c r="K691" t="s">
        <v>615</v>
      </c>
      <c r="L691">
        <v>65</v>
      </c>
      <c r="M691">
        <v>1788.87</v>
      </c>
      <c r="N691" t="s">
        <v>621</v>
      </c>
      <c r="O691">
        <v>102.82</v>
      </c>
      <c r="P691">
        <v>0.5</v>
      </c>
      <c r="R691" t="s">
        <v>675</v>
      </c>
      <c r="S691">
        <v>144</v>
      </c>
      <c r="T691" t="s">
        <v>235</v>
      </c>
    </row>
    <row r="692" spans="11:20" x14ac:dyDescent="0.3">
      <c r="K692" t="s">
        <v>615</v>
      </c>
      <c r="L692">
        <v>65</v>
      </c>
      <c r="M692">
        <v>1788.8</v>
      </c>
      <c r="N692" t="s">
        <v>621</v>
      </c>
      <c r="O692">
        <v>102.82</v>
      </c>
      <c r="P692">
        <v>0.5</v>
      </c>
      <c r="R692" t="s">
        <v>675</v>
      </c>
      <c r="S692">
        <v>144</v>
      </c>
      <c r="T692" t="s">
        <v>235</v>
      </c>
    </row>
    <row r="693" spans="11:20" x14ac:dyDescent="0.3">
      <c r="K693" t="s">
        <v>615</v>
      </c>
      <c r="L693">
        <v>23.6</v>
      </c>
      <c r="M693">
        <v>238</v>
      </c>
      <c r="N693" t="s">
        <v>619</v>
      </c>
      <c r="O693">
        <v>20.8</v>
      </c>
      <c r="P693">
        <v>0.5</v>
      </c>
      <c r="R693" t="s">
        <v>675</v>
      </c>
      <c r="S693">
        <v>39.4</v>
      </c>
      <c r="T693" t="s">
        <v>235</v>
      </c>
    </row>
    <row r="694" spans="11:20" x14ac:dyDescent="0.3">
      <c r="K694" t="s">
        <v>615</v>
      </c>
      <c r="L694">
        <v>23.8</v>
      </c>
      <c r="M694">
        <v>242.04</v>
      </c>
      <c r="N694" t="s">
        <v>619</v>
      </c>
      <c r="O694">
        <v>21</v>
      </c>
      <c r="P694">
        <v>0.5</v>
      </c>
      <c r="R694" t="s">
        <v>663</v>
      </c>
      <c r="S694">
        <v>41</v>
      </c>
      <c r="T694" t="s">
        <v>235</v>
      </c>
    </row>
    <row r="695" spans="11:20" x14ac:dyDescent="0.3">
      <c r="K695" t="s">
        <v>615</v>
      </c>
      <c r="L695">
        <v>23.6</v>
      </c>
      <c r="M695">
        <v>237.93</v>
      </c>
      <c r="N695" t="s">
        <v>616</v>
      </c>
      <c r="O695">
        <v>20.8</v>
      </c>
      <c r="P695">
        <v>0.5</v>
      </c>
      <c r="R695" t="s">
        <v>617</v>
      </c>
      <c r="S695">
        <v>34.700000000000003</v>
      </c>
      <c r="T695" t="s">
        <v>235</v>
      </c>
    </row>
    <row r="696" spans="11:20" x14ac:dyDescent="0.3">
      <c r="K696" t="s">
        <v>615</v>
      </c>
      <c r="L696">
        <v>23.6</v>
      </c>
      <c r="M696">
        <v>238</v>
      </c>
      <c r="N696" t="s">
        <v>616</v>
      </c>
      <c r="O696">
        <v>20.8</v>
      </c>
      <c r="P696">
        <v>0.5</v>
      </c>
      <c r="R696" t="s">
        <v>663</v>
      </c>
      <c r="S696">
        <v>36.1</v>
      </c>
      <c r="T696" t="s">
        <v>235</v>
      </c>
    </row>
    <row r="697" spans="11:20" x14ac:dyDescent="0.3">
      <c r="K697" t="s">
        <v>615</v>
      </c>
      <c r="L697">
        <v>64.53</v>
      </c>
      <c r="M697">
        <v>1779.11</v>
      </c>
      <c r="N697" t="s">
        <v>621</v>
      </c>
      <c r="O697">
        <v>102.8</v>
      </c>
      <c r="P697">
        <v>0.5</v>
      </c>
      <c r="R697" t="s">
        <v>617</v>
      </c>
      <c r="S697">
        <v>139.69999999999999</v>
      </c>
      <c r="T697" t="s">
        <v>235</v>
      </c>
    </row>
    <row r="698" spans="11:20" x14ac:dyDescent="0.3">
      <c r="K698" t="s">
        <v>615</v>
      </c>
      <c r="L698">
        <v>64.53</v>
      </c>
      <c r="M698">
        <v>1779.11</v>
      </c>
      <c r="N698" t="s">
        <v>621</v>
      </c>
      <c r="O698">
        <v>102.8</v>
      </c>
      <c r="P698">
        <v>0.5</v>
      </c>
      <c r="R698" t="s">
        <v>617</v>
      </c>
      <c r="S698">
        <v>157.19999999999999</v>
      </c>
      <c r="T698" t="s">
        <v>235</v>
      </c>
    </row>
    <row r="699" spans="11:20" x14ac:dyDescent="0.3">
      <c r="K699" t="s">
        <v>615</v>
      </c>
      <c r="L699">
        <v>64.53</v>
      </c>
      <c r="M699">
        <v>1779.11</v>
      </c>
      <c r="N699" t="s">
        <v>621</v>
      </c>
      <c r="O699">
        <v>102.8</v>
      </c>
      <c r="P699">
        <v>0.5</v>
      </c>
      <c r="R699" t="s">
        <v>617</v>
      </c>
      <c r="S699">
        <v>157.19999999999999</v>
      </c>
      <c r="T699" t="s">
        <v>235</v>
      </c>
    </row>
    <row r="700" spans="11:20" x14ac:dyDescent="0.3">
      <c r="K700" t="s">
        <v>615</v>
      </c>
      <c r="L700">
        <v>64.53</v>
      </c>
      <c r="M700">
        <v>1779.11</v>
      </c>
      <c r="N700" t="s">
        <v>621</v>
      </c>
      <c r="O700">
        <v>102.8</v>
      </c>
      <c r="P700">
        <v>0.5</v>
      </c>
      <c r="R700" t="s">
        <v>617</v>
      </c>
      <c r="S700">
        <v>124.4</v>
      </c>
      <c r="T700" t="s">
        <v>235</v>
      </c>
    </row>
    <row r="701" spans="11:20" x14ac:dyDescent="0.3">
      <c r="K701" t="s">
        <v>615</v>
      </c>
      <c r="L701">
        <v>64.53</v>
      </c>
      <c r="M701">
        <v>1779.11</v>
      </c>
      <c r="N701" t="s">
        <v>621</v>
      </c>
      <c r="O701">
        <v>102.8</v>
      </c>
      <c r="P701">
        <v>0.5</v>
      </c>
      <c r="R701" t="s">
        <v>617</v>
      </c>
      <c r="S701">
        <v>124.4</v>
      </c>
      <c r="T701" t="s">
        <v>235</v>
      </c>
    </row>
    <row r="702" spans="11:20" x14ac:dyDescent="0.3">
      <c r="K702" t="s">
        <v>615</v>
      </c>
      <c r="L702">
        <v>64.53</v>
      </c>
      <c r="M702">
        <v>1779.11</v>
      </c>
      <c r="N702" t="s">
        <v>621</v>
      </c>
      <c r="O702">
        <v>102.8</v>
      </c>
      <c r="P702">
        <v>0.5</v>
      </c>
      <c r="R702" t="s">
        <v>617</v>
      </c>
      <c r="S702">
        <v>130.5</v>
      </c>
      <c r="T702" t="s">
        <v>235</v>
      </c>
    </row>
    <row r="703" spans="11:20" x14ac:dyDescent="0.3">
      <c r="K703" t="s">
        <v>615</v>
      </c>
      <c r="L703">
        <v>64.53</v>
      </c>
      <c r="M703">
        <v>1779.11</v>
      </c>
      <c r="N703" t="s">
        <v>621</v>
      </c>
      <c r="O703">
        <v>102.8</v>
      </c>
      <c r="P703">
        <v>0.5</v>
      </c>
      <c r="R703" t="s">
        <v>617</v>
      </c>
      <c r="S703">
        <v>130.5</v>
      </c>
      <c r="T703" t="s">
        <v>235</v>
      </c>
    </row>
    <row r="704" spans="11:20" x14ac:dyDescent="0.3">
      <c r="K704" t="s">
        <v>615</v>
      </c>
      <c r="L704">
        <v>64.53</v>
      </c>
      <c r="M704">
        <v>1779.11</v>
      </c>
      <c r="N704" t="s">
        <v>621</v>
      </c>
      <c r="O704">
        <v>102.8</v>
      </c>
      <c r="P704">
        <v>0.5</v>
      </c>
      <c r="R704" t="s">
        <v>617</v>
      </c>
      <c r="S704">
        <v>130.5</v>
      </c>
      <c r="T704" t="s">
        <v>235</v>
      </c>
    </row>
    <row r="705" spans="11:20" x14ac:dyDescent="0.3">
      <c r="K705" t="s">
        <v>615</v>
      </c>
      <c r="L705">
        <v>69.510000000000005</v>
      </c>
      <c r="M705">
        <v>2064.7399999999998</v>
      </c>
      <c r="N705" t="s">
        <v>621</v>
      </c>
      <c r="O705">
        <v>110.7</v>
      </c>
      <c r="P705">
        <v>0.5</v>
      </c>
      <c r="R705" t="s">
        <v>617</v>
      </c>
      <c r="S705">
        <v>175.5</v>
      </c>
      <c r="T705" t="s">
        <v>235</v>
      </c>
    </row>
    <row r="706" spans="11:20" x14ac:dyDescent="0.3">
      <c r="K706" t="s">
        <v>615</v>
      </c>
      <c r="L706">
        <v>74.64</v>
      </c>
      <c r="M706">
        <v>2381.36</v>
      </c>
      <c r="N706" t="s">
        <v>619</v>
      </c>
      <c r="O706">
        <v>78.400000000000006</v>
      </c>
      <c r="P706">
        <v>0.5</v>
      </c>
      <c r="R706" t="s">
        <v>617</v>
      </c>
      <c r="S706">
        <v>139</v>
      </c>
      <c r="T706" t="s">
        <v>235</v>
      </c>
    </row>
    <row r="707" spans="11:20" x14ac:dyDescent="0.3">
      <c r="K707" t="s">
        <v>615</v>
      </c>
      <c r="L707">
        <v>74.64</v>
      </c>
      <c r="M707">
        <v>2381.36</v>
      </c>
      <c r="N707" t="s">
        <v>621</v>
      </c>
      <c r="O707">
        <v>117.6</v>
      </c>
      <c r="P707">
        <v>0.5</v>
      </c>
      <c r="R707" t="s">
        <v>617</v>
      </c>
      <c r="S707">
        <v>202.8</v>
      </c>
      <c r="T707" t="s">
        <v>235</v>
      </c>
    </row>
    <row r="708" spans="11:20" x14ac:dyDescent="0.3">
      <c r="K708" t="s">
        <v>639</v>
      </c>
      <c r="L708">
        <v>31.76</v>
      </c>
      <c r="M708">
        <v>434.9</v>
      </c>
      <c r="N708" t="s">
        <v>619</v>
      </c>
      <c r="O708">
        <v>28.5</v>
      </c>
      <c r="P708">
        <v>0.5</v>
      </c>
      <c r="R708" t="s">
        <v>617</v>
      </c>
      <c r="S708">
        <v>54.1</v>
      </c>
      <c r="T708" t="s">
        <v>235</v>
      </c>
    </row>
    <row r="709" spans="11:20" x14ac:dyDescent="0.3">
      <c r="K709" t="s">
        <v>615</v>
      </c>
      <c r="L709">
        <v>74.64</v>
      </c>
      <c r="M709">
        <v>2381.36</v>
      </c>
      <c r="N709" t="s">
        <v>621</v>
      </c>
      <c r="O709">
        <v>117.6</v>
      </c>
      <c r="P709">
        <v>0.5</v>
      </c>
      <c r="R709" t="s">
        <v>617</v>
      </c>
      <c r="S709">
        <v>212</v>
      </c>
      <c r="T709" t="s">
        <v>235</v>
      </c>
    </row>
    <row r="710" spans="11:20" x14ac:dyDescent="0.3">
      <c r="K710" t="s">
        <v>615</v>
      </c>
      <c r="L710">
        <v>74.64</v>
      </c>
      <c r="M710">
        <v>2381.36</v>
      </c>
      <c r="N710" t="s">
        <v>621</v>
      </c>
      <c r="O710">
        <v>117.6</v>
      </c>
      <c r="P710">
        <v>0.5</v>
      </c>
      <c r="R710" t="s">
        <v>617</v>
      </c>
      <c r="S710">
        <v>212.6</v>
      </c>
      <c r="T710" t="s">
        <v>235</v>
      </c>
    </row>
    <row r="711" spans="11:20" x14ac:dyDescent="0.3">
      <c r="K711" t="s">
        <v>615</v>
      </c>
      <c r="L711">
        <v>74.64</v>
      </c>
      <c r="M711">
        <v>2381.36</v>
      </c>
      <c r="N711" t="s">
        <v>621</v>
      </c>
      <c r="O711">
        <v>117.6</v>
      </c>
      <c r="P711">
        <v>0.5</v>
      </c>
      <c r="R711" t="s">
        <v>617</v>
      </c>
      <c r="S711">
        <v>212.6</v>
      </c>
      <c r="T711" t="s">
        <v>235</v>
      </c>
    </row>
    <row r="712" spans="11:20" x14ac:dyDescent="0.3">
      <c r="K712" t="s">
        <v>615</v>
      </c>
      <c r="L712">
        <v>78.06</v>
      </c>
      <c r="M712">
        <v>2603.41</v>
      </c>
      <c r="N712" t="s">
        <v>621</v>
      </c>
      <c r="O712">
        <v>121.5</v>
      </c>
      <c r="P712">
        <v>0.5</v>
      </c>
      <c r="R712" t="s">
        <v>617</v>
      </c>
      <c r="S712">
        <v>212</v>
      </c>
      <c r="T712" t="s">
        <v>235</v>
      </c>
    </row>
    <row r="713" spans="11:20" x14ac:dyDescent="0.3">
      <c r="K713" t="s">
        <v>615</v>
      </c>
      <c r="L713">
        <v>81.69</v>
      </c>
      <c r="M713">
        <v>2851.24</v>
      </c>
      <c r="N713" t="s">
        <v>621</v>
      </c>
      <c r="O713">
        <v>125</v>
      </c>
      <c r="P713">
        <v>0.5</v>
      </c>
      <c r="R713" t="s">
        <v>617</v>
      </c>
      <c r="S713">
        <v>212.6</v>
      </c>
      <c r="T713" t="s">
        <v>235</v>
      </c>
    </row>
    <row r="714" spans="11:20" x14ac:dyDescent="0.3">
      <c r="K714" t="s">
        <v>615</v>
      </c>
      <c r="L714">
        <v>21.54</v>
      </c>
      <c r="M714">
        <v>198.21</v>
      </c>
      <c r="N714" t="s">
        <v>619</v>
      </c>
      <c r="O714">
        <v>19.3</v>
      </c>
      <c r="P714">
        <v>0.5</v>
      </c>
      <c r="R714" t="s">
        <v>617</v>
      </c>
      <c r="S714">
        <v>34.700000000000003</v>
      </c>
      <c r="T714" t="s">
        <v>235</v>
      </c>
    </row>
    <row r="715" spans="11:20" x14ac:dyDescent="0.3">
      <c r="K715" t="s">
        <v>615</v>
      </c>
      <c r="L715">
        <v>31.51</v>
      </c>
      <c r="M715">
        <v>424.14</v>
      </c>
      <c r="N715" t="s">
        <v>616</v>
      </c>
      <c r="O715">
        <v>28</v>
      </c>
      <c r="P715">
        <v>0.5</v>
      </c>
      <c r="R715" t="s">
        <v>617</v>
      </c>
      <c r="S715">
        <v>46.8</v>
      </c>
      <c r="T715" t="s">
        <v>235</v>
      </c>
    </row>
    <row r="716" spans="11:20" x14ac:dyDescent="0.3">
      <c r="K716" t="s">
        <v>615</v>
      </c>
      <c r="L716">
        <v>41.78</v>
      </c>
      <c r="M716">
        <v>745.53</v>
      </c>
      <c r="N716" t="s">
        <v>619</v>
      </c>
      <c r="O716">
        <v>39.76</v>
      </c>
      <c r="P716">
        <v>0.5</v>
      </c>
      <c r="R716" t="s">
        <v>617</v>
      </c>
      <c r="S716">
        <v>60.7</v>
      </c>
      <c r="T716" t="s">
        <v>235</v>
      </c>
    </row>
    <row r="717" spans="11:20" x14ac:dyDescent="0.3">
      <c r="K717" t="s">
        <v>615</v>
      </c>
      <c r="L717">
        <v>42.5</v>
      </c>
      <c r="M717">
        <v>771.91</v>
      </c>
      <c r="N717" t="s">
        <v>619</v>
      </c>
      <c r="O717">
        <v>40.700000000000003</v>
      </c>
      <c r="P717">
        <v>0.5</v>
      </c>
      <c r="R717" t="s">
        <v>617</v>
      </c>
      <c r="S717">
        <v>71.099999999999994</v>
      </c>
      <c r="T717" t="s">
        <v>235</v>
      </c>
    </row>
    <row r="718" spans="11:20" x14ac:dyDescent="0.3">
      <c r="K718" t="s">
        <v>615</v>
      </c>
      <c r="L718">
        <v>54.64</v>
      </c>
      <c r="M718">
        <v>1275.74</v>
      </c>
      <c r="N718" t="s">
        <v>619</v>
      </c>
      <c r="O718">
        <v>56.5</v>
      </c>
      <c r="P718">
        <v>0.5</v>
      </c>
      <c r="R718" t="s">
        <v>617</v>
      </c>
      <c r="S718">
        <v>99.7</v>
      </c>
      <c r="T718" t="s">
        <v>235</v>
      </c>
    </row>
    <row r="719" spans="11:20" x14ac:dyDescent="0.3">
      <c r="K719" t="s">
        <v>615</v>
      </c>
      <c r="L719">
        <v>54.65</v>
      </c>
      <c r="M719">
        <v>1275.3599999999999</v>
      </c>
      <c r="N719" t="s">
        <v>676</v>
      </c>
      <c r="O719">
        <v>56.5</v>
      </c>
      <c r="P719">
        <v>0.5</v>
      </c>
      <c r="R719" t="s">
        <v>617</v>
      </c>
      <c r="S719">
        <v>97.2</v>
      </c>
      <c r="T719" t="s">
        <v>235</v>
      </c>
    </row>
    <row r="720" spans="11:20" x14ac:dyDescent="0.3">
      <c r="K720" t="s">
        <v>615</v>
      </c>
      <c r="L720">
        <v>54.77</v>
      </c>
      <c r="M720">
        <v>1283.08</v>
      </c>
      <c r="N720" t="s">
        <v>621</v>
      </c>
      <c r="O720">
        <v>85.03</v>
      </c>
      <c r="P720">
        <v>0.5</v>
      </c>
      <c r="R720" t="s">
        <v>617</v>
      </c>
      <c r="S720">
        <v>117.1</v>
      </c>
      <c r="T720" t="s">
        <v>235</v>
      </c>
    </row>
    <row r="721" spans="11:20" x14ac:dyDescent="0.3">
      <c r="K721" t="s">
        <v>615</v>
      </c>
      <c r="L721">
        <v>64.52</v>
      </c>
      <c r="M721">
        <v>1778.87</v>
      </c>
      <c r="N721" t="s">
        <v>619</v>
      </c>
      <c r="O721">
        <v>68.599999999999994</v>
      </c>
      <c r="P721">
        <v>0.5</v>
      </c>
      <c r="R721" t="s">
        <v>617</v>
      </c>
      <c r="S721">
        <v>118.3</v>
      </c>
      <c r="T721" t="s">
        <v>235</v>
      </c>
    </row>
    <row r="722" spans="11:20" x14ac:dyDescent="0.3">
      <c r="K722" t="s">
        <v>615</v>
      </c>
      <c r="L722">
        <v>64.53</v>
      </c>
      <c r="M722">
        <v>1779.43</v>
      </c>
      <c r="N722" t="s">
        <v>621</v>
      </c>
      <c r="O722">
        <v>102.8</v>
      </c>
      <c r="P722">
        <v>0.5</v>
      </c>
      <c r="R722" t="s">
        <v>617</v>
      </c>
      <c r="S722">
        <v>178.6</v>
      </c>
      <c r="T722" t="s">
        <v>235</v>
      </c>
    </row>
    <row r="723" spans="11:20" x14ac:dyDescent="0.3">
      <c r="K723" t="s">
        <v>615</v>
      </c>
      <c r="L723">
        <v>64.55</v>
      </c>
      <c r="M723">
        <v>1777.64</v>
      </c>
      <c r="N723" t="s">
        <v>621</v>
      </c>
      <c r="O723">
        <v>102.79</v>
      </c>
      <c r="P723">
        <v>0.5</v>
      </c>
      <c r="R723" t="s">
        <v>617</v>
      </c>
      <c r="S723">
        <v>183.1</v>
      </c>
      <c r="T723" t="s">
        <v>235</v>
      </c>
    </row>
    <row r="724" spans="11:20" x14ac:dyDescent="0.3">
      <c r="K724" t="s">
        <v>615</v>
      </c>
      <c r="L724">
        <v>18.510000000000002</v>
      </c>
      <c r="M724">
        <v>146.30000000000001</v>
      </c>
      <c r="N724" t="s">
        <v>616</v>
      </c>
      <c r="O724">
        <v>17.3</v>
      </c>
      <c r="P724">
        <v>0.5</v>
      </c>
      <c r="R724" t="s">
        <v>617</v>
      </c>
      <c r="S724">
        <v>34.5</v>
      </c>
      <c r="T724" t="s">
        <v>235</v>
      </c>
    </row>
    <row r="725" spans="11:20" x14ac:dyDescent="0.3">
      <c r="K725" t="s">
        <v>615</v>
      </c>
      <c r="L725">
        <v>19.510000000000002</v>
      </c>
      <c r="M725">
        <v>159.74</v>
      </c>
      <c r="N725" t="s">
        <v>616</v>
      </c>
      <c r="O725">
        <v>17.7</v>
      </c>
      <c r="P725">
        <v>0.5</v>
      </c>
      <c r="R725" t="s">
        <v>617</v>
      </c>
      <c r="S725">
        <v>33.1</v>
      </c>
      <c r="T725" t="s">
        <v>235</v>
      </c>
    </row>
    <row r="726" spans="11:20" x14ac:dyDescent="0.3">
      <c r="K726" t="s">
        <v>615</v>
      </c>
      <c r="L726">
        <v>19.510000000000002</v>
      </c>
      <c r="M726">
        <v>159.74</v>
      </c>
      <c r="N726" t="s">
        <v>616</v>
      </c>
      <c r="O726">
        <v>17.8</v>
      </c>
      <c r="P726">
        <v>0.5</v>
      </c>
      <c r="R726" t="s">
        <v>617</v>
      </c>
      <c r="S726">
        <v>29.3</v>
      </c>
      <c r="T726" t="s">
        <v>235</v>
      </c>
    </row>
    <row r="727" spans="11:20" x14ac:dyDescent="0.3">
      <c r="K727" t="s">
        <v>615</v>
      </c>
      <c r="L727">
        <v>23.56</v>
      </c>
      <c r="M727">
        <v>236.92</v>
      </c>
      <c r="N727" t="s">
        <v>616</v>
      </c>
      <c r="O727">
        <v>20.8</v>
      </c>
      <c r="P727">
        <v>0.5</v>
      </c>
      <c r="R727" t="s">
        <v>617</v>
      </c>
      <c r="S727">
        <v>40.9</v>
      </c>
      <c r="T727" t="s">
        <v>235</v>
      </c>
    </row>
    <row r="728" spans="11:20" x14ac:dyDescent="0.3">
      <c r="K728" t="s">
        <v>615</v>
      </c>
      <c r="L728">
        <v>23.65</v>
      </c>
      <c r="M728">
        <v>239.49</v>
      </c>
      <c r="N728" t="s">
        <v>619</v>
      </c>
      <c r="O728">
        <v>20.9</v>
      </c>
      <c r="P728">
        <v>0.5</v>
      </c>
      <c r="R728" t="s">
        <v>617</v>
      </c>
      <c r="S728">
        <v>37.299999999999997</v>
      </c>
      <c r="T728" t="s">
        <v>235</v>
      </c>
    </row>
    <row r="729" spans="11:20" x14ac:dyDescent="0.3">
      <c r="K729" t="s">
        <v>615</v>
      </c>
      <c r="L729">
        <v>23.65</v>
      </c>
      <c r="M729">
        <v>239.17</v>
      </c>
      <c r="N729" t="s">
        <v>619</v>
      </c>
      <c r="O729">
        <v>20.9</v>
      </c>
      <c r="P729">
        <v>0.5</v>
      </c>
      <c r="R729" t="s">
        <v>617</v>
      </c>
      <c r="S729">
        <v>37.700000000000003</v>
      </c>
      <c r="T729" t="s">
        <v>235</v>
      </c>
    </row>
    <row r="730" spans="11:20" x14ac:dyDescent="0.3">
      <c r="K730" t="s">
        <v>615</v>
      </c>
      <c r="L730">
        <v>31.51</v>
      </c>
      <c r="M730">
        <v>424.14</v>
      </c>
      <c r="N730" t="s">
        <v>616</v>
      </c>
      <c r="O730">
        <v>28</v>
      </c>
      <c r="P730">
        <v>0.5</v>
      </c>
      <c r="R730" t="s">
        <v>617</v>
      </c>
      <c r="S730">
        <v>47.4</v>
      </c>
      <c r="T730" t="s">
        <v>235</v>
      </c>
    </row>
    <row r="731" spans="11:20" x14ac:dyDescent="0.3">
      <c r="K731" t="s">
        <v>639</v>
      </c>
      <c r="L731">
        <v>31.57</v>
      </c>
      <c r="M731">
        <v>430.49</v>
      </c>
      <c r="N731" t="s">
        <v>619</v>
      </c>
      <c r="O731">
        <v>28.5</v>
      </c>
      <c r="P731">
        <v>0.5</v>
      </c>
      <c r="R731" t="s">
        <v>617</v>
      </c>
      <c r="S731">
        <v>50.7</v>
      </c>
      <c r="T731" t="s">
        <v>235</v>
      </c>
    </row>
    <row r="732" spans="11:20" x14ac:dyDescent="0.3">
      <c r="K732" t="s">
        <v>639</v>
      </c>
      <c r="L732">
        <v>31.61</v>
      </c>
      <c r="M732">
        <v>429.65</v>
      </c>
      <c r="N732" t="s">
        <v>619</v>
      </c>
      <c r="O732">
        <v>28.5</v>
      </c>
      <c r="P732">
        <v>0.5</v>
      </c>
      <c r="R732" t="s">
        <v>617</v>
      </c>
      <c r="S732">
        <v>61.8</v>
      </c>
      <c r="T732" t="s">
        <v>235</v>
      </c>
    </row>
    <row r="733" spans="11:20" x14ac:dyDescent="0.3">
      <c r="K733" t="s">
        <v>615</v>
      </c>
      <c r="L733">
        <v>54.64</v>
      </c>
      <c r="M733">
        <v>1275.74</v>
      </c>
      <c r="N733" t="s">
        <v>619</v>
      </c>
      <c r="O733">
        <v>56.5</v>
      </c>
      <c r="P733">
        <v>0.5</v>
      </c>
      <c r="R733" t="s">
        <v>617</v>
      </c>
      <c r="S733">
        <v>102.1</v>
      </c>
      <c r="T733" t="s">
        <v>235</v>
      </c>
    </row>
    <row r="734" spans="11:20" x14ac:dyDescent="0.3">
      <c r="K734" t="s">
        <v>615</v>
      </c>
      <c r="L734">
        <v>54.64</v>
      </c>
      <c r="M734">
        <v>1275.74</v>
      </c>
      <c r="N734" t="s">
        <v>619</v>
      </c>
      <c r="O734">
        <v>56.5</v>
      </c>
      <c r="P734">
        <v>0.5</v>
      </c>
      <c r="R734" t="s">
        <v>617</v>
      </c>
      <c r="S734">
        <v>95.9</v>
      </c>
      <c r="T734" t="s">
        <v>235</v>
      </c>
    </row>
    <row r="735" spans="11:20" x14ac:dyDescent="0.3">
      <c r="K735" t="s">
        <v>615</v>
      </c>
      <c r="L735">
        <v>31.51</v>
      </c>
      <c r="M735">
        <v>424.14</v>
      </c>
      <c r="N735" t="s">
        <v>616</v>
      </c>
      <c r="O735">
        <v>28</v>
      </c>
      <c r="P735">
        <v>0.5</v>
      </c>
      <c r="R735" t="s">
        <v>617</v>
      </c>
      <c r="S735">
        <v>49.5</v>
      </c>
      <c r="T735" t="s">
        <v>235</v>
      </c>
    </row>
    <row r="736" spans="11:20" x14ac:dyDescent="0.3">
      <c r="K736" t="s">
        <v>639</v>
      </c>
      <c r="L736">
        <v>31.85</v>
      </c>
      <c r="M736">
        <v>328.24</v>
      </c>
      <c r="N736" t="s">
        <v>619</v>
      </c>
      <c r="O736">
        <v>28.5</v>
      </c>
      <c r="P736">
        <v>0.5</v>
      </c>
      <c r="R736" t="s">
        <v>617</v>
      </c>
      <c r="S736">
        <v>62.4</v>
      </c>
      <c r="T736" t="s">
        <v>235</v>
      </c>
    </row>
    <row r="737" spans="11:20" x14ac:dyDescent="0.3">
      <c r="K737" t="s">
        <v>615</v>
      </c>
      <c r="L737">
        <v>31.51</v>
      </c>
      <c r="M737">
        <v>424.14</v>
      </c>
      <c r="N737" t="s">
        <v>616</v>
      </c>
      <c r="O737">
        <v>28</v>
      </c>
      <c r="P737">
        <v>0.5</v>
      </c>
      <c r="R737" t="s">
        <v>617</v>
      </c>
      <c r="S737">
        <v>50.1</v>
      </c>
      <c r="T737" t="s">
        <v>235</v>
      </c>
    </row>
    <row r="738" spans="11:20" x14ac:dyDescent="0.3">
      <c r="K738" t="s">
        <v>615</v>
      </c>
      <c r="L738">
        <v>31.55</v>
      </c>
      <c r="M738">
        <v>423.05</v>
      </c>
      <c r="N738" t="s">
        <v>616</v>
      </c>
      <c r="O738">
        <v>27.9</v>
      </c>
      <c r="P738">
        <v>0.5</v>
      </c>
      <c r="R738" t="s">
        <v>617</v>
      </c>
      <c r="S738">
        <v>51.5</v>
      </c>
      <c r="T738" t="s">
        <v>235</v>
      </c>
    </row>
    <row r="739" spans="11:20" x14ac:dyDescent="0.3">
      <c r="K739" t="s">
        <v>615</v>
      </c>
      <c r="L739">
        <v>31.51</v>
      </c>
      <c r="M739">
        <v>424.14</v>
      </c>
      <c r="N739" t="s">
        <v>619</v>
      </c>
      <c r="O739">
        <v>28</v>
      </c>
      <c r="P739">
        <v>0.5</v>
      </c>
      <c r="R739" t="s">
        <v>617</v>
      </c>
      <c r="S739">
        <v>52.1</v>
      </c>
      <c r="T739" t="s">
        <v>235</v>
      </c>
    </row>
    <row r="740" spans="11:20" x14ac:dyDescent="0.3">
      <c r="K740" t="s">
        <v>615</v>
      </c>
      <c r="L740">
        <v>39.5</v>
      </c>
      <c r="M740">
        <v>660.29</v>
      </c>
      <c r="N740" t="s">
        <v>619</v>
      </c>
      <c r="O740">
        <v>36.700000000000003</v>
      </c>
      <c r="P740">
        <v>0.5</v>
      </c>
      <c r="R740" t="s">
        <v>617</v>
      </c>
      <c r="S740">
        <v>67.5</v>
      </c>
      <c r="T740" t="s">
        <v>235</v>
      </c>
    </row>
    <row r="741" spans="11:20" x14ac:dyDescent="0.3">
      <c r="K741" t="s">
        <v>615</v>
      </c>
      <c r="L741">
        <v>49.5</v>
      </c>
      <c r="M741">
        <v>1047</v>
      </c>
      <c r="N741" t="s">
        <v>619</v>
      </c>
      <c r="O741">
        <v>49.7</v>
      </c>
      <c r="P741">
        <v>0.5</v>
      </c>
      <c r="R741" t="s">
        <v>617</v>
      </c>
      <c r="S741">
        <v>88.8</v>
      </c>
      <c r="T741" t="s">
        <v>235</v>
      </c>
    </row>
    <row r="742" spans="11:20" x14ac:dyDescent="0.3">
      <c r="K742" t="s">
        <v>615</v>
      </c>
      <c r="L742">
        <v>31.5</v>
      </c>
      <c r="M742">
        <v>424.14</v>
      </c>
      <c r="N742" t="s">
        <v>672</v>
      </c>
      <c r="O742">
        <v>27.9</v>
      </c>
      <c r="P742">
        <v>0.5</v>
      </c>
      <c r="R742" t="s">
        <v>617</v>
      </c>
      <c r="S742">
        <v>49.5</v>
      </c>
      <c r="T742" t="s">
        <v>235</v>
      </c>
    </row>
    <row r="743" spans="11:20" x14ac:dyDescent="0.3">
      <c r="K743" t="s">
        <v>615</v>
      </c>
      <c r="L743">
        <v>38.5</v>
      </c>
      <c r="M743">
        <v>626.85</v>
      </c>
      <c r="N743" t="s">
        <v>616</v>
      </c>
      <c r="O743">
        <v>35.5</v>
      </c>
      <c r="P743">
        <v>0.5</v>
      </c>
      <c r="R743" t="s">
        <v>617</v>
      </c>
      <c r="S743">
        <v>60.3</v>
      </c>
      <c r="T743" t="s">
        <v>235</v>
      </c>
    </row>
    <row r="744" spans="11:20" x14ac:dyDescent="0.3">
      <c r="K744" t="s">
        <v>615</v>
      </c>
      <c r="L744">
        <v>42.02</v>
      </c>
      <c r="M744">
        <v>754.37</v>
      </c>
      <c r="N744" t="s">
        <v>619</v>
      </c>
      <c r="O744">
        <v>40.1</v>
      </c>
      <c r="P744">
        <v>0.5</v>
      </c>
      <c r="R744" t="s">
        <v>617</v>
      </c>
      <c r="S744">
        <v>75.2</v>
      </c>
      <c r="T744" t="s">
        <v>235</v>
      </c>
    </row>
    <row r="745" spans="11:20" x14ac:dyDescent="0.3">
      <c r="K745" t="s">
        <v>615</v>
      </c>
      <c r="L745">
        <v>49</v>
      </c>
      <c r="M745">
        <v>1005.18</v>
      </c>
      <c r="N745" t="s">
        <v>621</v>
      </c>
      <c r="O745">
        <v>72.599999999999994</v>
      </c>
      <c r="P745">
        <v>0.5</v>
      </c>
      <c r="R745" t="s">
        <v>617</v>
      </c>
      <c r="S745">
        <v>133.30000000000001</v>
      </c>
      <c r="T745" t="s">
        <v>235</v>
      </c>
    </row>
    <row r="746" spans="11:20" x14ac:dyDescent="0.3">
      <c r="K746" t="s">
        <v>615</v>
      </c>
      <c r="L746">
        <v>54.64</v>
      </c>
      <c r="M746">
        <v>1275.74</v>
      </c>
      <c r="N746" t="s">
        <v>667</v>
      </c>
      <c r="O746">
        <v>84.7</v>
      </c>
      <c r="P746">
        <v>0.5</v>
      </c>
      <c r="R746" t="s">
        <v>617</v>
      </c>
      <c r="S746">
        <v>134.4</v>
      </c>
      <c r="T746" t="s">
        <v>235</v>
      </c>
    </row>
    <row r="747" spans="11:20" x14ac:dyDescent="0.3">
      <c r="K747" t="s">
        <v>615</v>
      </c>
      <c r="L747">
        <v>40</v>
      </c>
      <c r="M747">
        <v>716.55</v>
      </c>
      <c r="N747" t="s">
        <v>619</v>
      </c>
      <c r="O747">
        <v>37.6</v>
      </c>
      <c r="P747">
        <v>0.5</v>
      </c>
      <c r="R747" t="s">
        <v>617</v>
      </c>
      <c r="S747">
        <v>68</v>
      </c>
      <c r="T747" t="s">
        <v>235</v>
      </c>
    </row>
    <row r="748" spans="11:20" x14ac:dyDescent="0.3">
      <c r="K748" t="s">
        <v>615</v>
      </c>
      <c r="L748">
        <v>48</v>
      </c>
      <c r="M748">
        <v>968.61</v>
      </c>
      <c r="N748" t="s">
        <v>619</v>
      </c>
      <c r="O748">
        <v>47.3</v>
      </c>
      <c r="P748">
        <v>0.5</v>
      </c>
      <c r="Q748">
        <v>0.3</v>
      </c>
      <c r="R748" t="s">
        <v>663</v>
      </c>
      <c r="S748">
        <v>79.3</v>
      </c>
      <c r="T748" t="s">
        <v>235</v>
      </c>
    </row>
    <row r="749" spans="11:20" x14ac:dyDescent="0.3">
      <c r="K749" t="s">
        <v>615</v>
      </c>
      <c r="L749">
        <v>18.47</v>
      </c>
      <c r="M749">
        <v>145.87</v>
      </c>
      <c r="N749" t="s">
        <v>672</v>
      </c>
      <c r="O749">
        <v>17.2</v>
      </c>
      <c r="P749">
        <v>0.5</v>
      </c>
      <c r="R749" t="s">
        <v>617</v>
      </c>
      <c r="S749">
        <v>32.4</v>
      </c>
      <c r="T749" t="s">
        <v>235</v>
      </c>
    </row>
    <row r="750" spans="11:20" x14ac:dyDescent="0.3">
      <c r="K750" t="s">
        <v>615</v>
      </c>
      <c r="L750">
        <v>19.510000000000002</v>
      </c>
      <c r="M750">
        <v>159.99</v>
      </c>
      <c r="N750" t="s">
        <v>677</v>
      </c>
      <c r="O750">
        <v>26.6</v>
      </c>
      <c r="P750">
        <v>0.5</v>
      </c>
      <c r="R750" t="s">
        <v>617</v>
      </c>
      <c r="S750">
        <v>28.4</v>
      </c>
      <c r="T750" t="s">
        <v>235</v>
      </c>
    </row>
    <row r="751" spans="11:20" x14ac:dyDescent="0.3">
      <c r="K751" t="s">
        <v>615</v>
      </c>
      <c r="L751">
        <v>21.5</v>
      </c>
      <c r="M751">
        <v>198.22</v>
      </c>
      <c r="N751" t="s">
        <v>619</v>
      </c>
      <c r="O751">
        <v>19.3</v>
      </c>
      <c r="P751">
        <v>0.5</v>
      </c>
      <c r="R751" t="s">
        <v>617</v>
      </c>
      <c r="S751">
        <v>34.4</v>
      </c>
      <c r="T751" t="s">
        <v>235</v>
      </c>
    </row>
    <row r="752" spans="11:20" x14ac:dyDescent="0.3">
      <c r="K752" t="s">
        <v>615</v>
      </c>
      <c r="L752">
        <v>47.55</v>
      </c>
      <c r="M752">
        <v>967.16</v>
      </c>
      <c r="N752" t="s">
        <v>621</v>
      </c>
      <c r="O752">
        <v>70.8</v>
      </c>
      <c r="P752">
        <v>0.5</v>
      </c>
      <c r="R752" t="s">
        <v>617</v>
      </c>
      <c r="S752">
        <v>125.3</v>
      </c>
      <c r="T752" t="s">
        <v>235</v>
      </c>
    </row>
    <row r="753" spans="11:20" x14ac:dyDescent="0.3">
      <c r="K753" t="s">
        <v>615</v>
      </c>
      <c r="L753">
        <v>48.5</v>
      </c>
      <c r="M753">
        <v>1009.86</v>
      </c>
      <c r="N753" t="s">
        <v>619</v>
      </c>
      <c r="O753">
        <v>48.6</v>
      </c>
      <c r="P753">
        <v>0.5</v>
      </c>
      <c r="R753" t="s">
        <v>617</v>
      </c>
      <c r="S753">
        <v>78.400000000000006</v>
      </c>
      <c r="T753" t="s">
        <v>235</v>
      </c>
    </row>
    <row r="754" spans="11:20" x14ac:dyDescent="0.3">
      <c r="K754" t="s">
        <v>615</v>
      </c>
      <c r="L754">
        <v>31.51</v>
      </c>
      <c r="M754">
        <v>424.14</v>
      </c>
      <c r="N754" t="s">
        <v>616</v>
      </c>
      <c r="O754">
        <v>28</v>
      </c>
      <c r="P754">
        <v>0.5</v>
      </c>
      <c r="R754" t="s">
        <v>617</v>
      </c>
      <c r="S754">
        <v>45.2</v>
      </c>
      <c r="T754" t="s">
        <v>235</v>
      </c>
    </row>
    <row r="755" spans="11:20" x14ac:dyDescent="0.3">
      <c r="K755" t="s">
        <v>615</v>
      </c>
      <c r="L755">
        <v>18.5</v>
      </c>
      <c r="M755">
        <v>146.33000000000001</v>
      </c>
      <c r="N755" t="s">
        <v>616</v>
      </c>
      <c r="O755">
        <v>17.2</v>
      </c>
      <c r="P755">
        <v>0.5</v>
      </c>
      <c r="R755" t="s">
        <v>617</v>
      </c>
      <c r="S755">
        <v>34.9</v>
      </c>
      <c r="T755" t="s">
        <v>235</v>
      </c>
    </row>
    <row r="756" spans="11:20" x14ac:dyDescent="0.3">
      <c r="K756" t="s">
        <v>615</v>
      </c>
      <c r="L756">
        <v>19.45</v>
      </c>
      <c r="M756">
        <v>158.77000000000001</v>
      </c>
      <c r="N756" t="s">
        <v>616</v>
      </c>
      <c r="O756">
        <v>17.7</v>
      </c>
      <c r="P756">
        <v>0.5</v>
      </c>
      <c r="R756" t="s">
        <v>617</v>
      </c>
      <c r="S756">
        <v>31.6</v>
      </c>
      <c r="T756" t="s">
        <v>235</v>
      </c>
    </row>
    <row r="757" spans="11:20" x14ac:dyDescent="0.3">
      <c r="K757" t="s">
        <v>615</v>
      </c>
      <c r="L757">
        <v>22.87</v>
      </c>
      <c r="M757">
        <v>224.64</v>
      </c>
      <c r="N757" t="s">
        <v>616</v>
      </c>
      <c r="O757">
        <v>20.3</v>
      </c>
      <c r="P757">
        <v>0.5</v>
      </c>
      <c r="R757" t="s">
        <v>617</v>
      </c>
      <c r="S757">
        <v>30.7</v>
      </c>
      <c r="T757" t="s">
        <v>235</v>
      </c>
    </row>
    <row r="758" spans="11:20" x14ac:dyDescent="0.3">
      <c r="K758" t="s">
        <v>615</v>
      </c>
      <c r="L758">
        <v>23.8</v>
      </c>
      <c r="M758">
        <v>242.15</v>
      </c>
      <c r="N758" t="s">
        <v>619</v>
      </c>
      <c r="O758">
        <v>21</v>
      </c>
      <c r="P758">
        <v>0.5</v>
      </c>
      <c r="R758" t="s">
        <v>617</v>
      </c>
      <c r="S758">
        <v>36.4</v>
      </c>
      <c r="T758" t="s">
        <v>235</v>
      </c>
    </row>
    <row r="759" spans="11:20" x14ac:dyDescent="0.3">
      <c r="K759" t="s">
        <v>615</v>
      </c>
      <c r="L759">
        <v>23.48</v>
      </c>
      <c r="M759">
        <v>236.38</v>
      </c>
      <c r="N759" t="s">
        <v>672</v>
      </c>
      <c r="O759">
        <v>20.7</v>
      </c>
      <c r="P759">
        <v>0.5</v>
      </c>
      <c r="R759" t="s">
        <v>617</v>
      </c>
      <c r="S759">
        <v>28.9</v>
      </c>
      <c r="T759" t="s">
        <v>235</v>
      </c>
    </row>
    <row r="760" spans="11:20" x14ac:dyDescent="0.3">
      <c r="K760" t="s">
        <v>615</v>
      </c>
      <c r="L760">
        <v>23.53</v>
      </c>
      <c r="M760">
        <v>236.69</v>
      </c>
      <c r="N760" t="s">
        <v>616</v>
      </c>
      <c r="O760">
        <v>20.8</v>
      </c>
      <c r="P760">
        <v>0.5</v>
      </c>
      <c r="R760" t="s">
        <v>617</v>
      </c>
      <c r="S760">
        <v>31.8</v>
      </c>
      <c r="T760" t="s">
        <v>235</v>
      </c>
    </row>
    <row r="761" spans="11:20" x14ac:dyDescent="0.3">
      <c r="K761" t="s">
        <v>615</v>
      </c>
      <c r="L761">
        <v>23.55</v>
      </c>
      <c r="M761">
        <v>236.92</v>
      </c>
      <c r="N761" t="s">
        <v>616</v>
      </c>
      <c r="O761">
        <v>20.8</v>
      </c>
      <c r="P761">
        <v>0.5</v>
      </c>
      <c r="R761" t="s">
        <v>617</v>
      </c>
      <c r="S761">
        <v>38.4</v>
      </c>
      <c r="T761" t="s">
        <v>235</v>
      </c>
    </row>
    <row r="762" spans="11:20" x14ac:dyDescent="0.3">
      <c r="K762" t="s">
        <v>615</v>
      </c>
      <c r="L762">
        <v>23.48</v>
      </c>
      <c r="M762">
        <v>236.38</v>
      </c>
      <c r="N762" t="s">
        <v>616</v>
      </c>
      <c r="O762">
        <v>20.7</v>
      </c>
      <c r="P762">
        <v>0.5</v>
      </c>
      <c r="R762" t="s">
        <v>617</v>
      </c>
      <c r="S762">
        <v>33.700000000000003</v>
      </c>
      <c r="T762" t="s">
        <v>235</v>
      </c>
    </row>
    <row r="763" spans="11:20" x14ac:dyDescent="0.3">
      <c r="K763" t="s">
        <v>615</v>
      </c>
      <c r="L763">
        <v>27.49</v>
      </c>
      <c r="M763">
        <v>324.56</v>
      </c>
      <c r="N763" t="s">
        <v>616</v>
      </c>
      <c r="O763">
        <v>24.2</v>
      </c>
      <c r="P763">
        <v>0.5</v>
      </c>
      <c r="R763" t="s">
        <v>617</v>
      </c>
      <c r="S763">
        <v>41.5</v>
      </c>
      <c r="T763" t="s">
        <v>235</v>
      </c>
    </row>
    <row r="764" spans="11:20" x14ac:dyDescent="0.3">
      <c r="K764" t="s">
        <v>615</v>
      </c>
      <c r="L764">
        <v>31.54</v>
      </c>
      <c r="M764">
        <v>425.12</v>
      </c>
      <c r="N764" t="s">
        <v>619</v>
      </c>
      <c r="O764">
        <v>28</v>
      </c>
      <c r="P764">
        <v>0.5</v>
      </c>
      <c r="R764" t="s">
        <v>666</v>
      </c>
      <c r="S764">
        <v>47.4</v>
      </c>
      <c r="T764" t="s">
        <v>235</v>
      </c>
    </row>
    <row r="765" spans="11:20" x14ac:dyDescent="0.3">
      <c r="K765" t="s">
        <v>615</v>
      </c>
      <c r="L765">
        <v>57.51</v>
      </c>
      <c r="M765">
        <v>1420.25</v>
      </c>
      <c r="N765" t="s">
        <v>619</v>
      </c>
      <c r="O765">
        <v>60.3</v>
      </c>
      <c r="P765">
        <v>0.5</v>
      </c>
      <c r="R765" t="s">
        <v>617</v>
      </c>
      <c r="S765">
        <v>93.3</v>
      </c>
      <c r="T765" t="s">
        <v>235</v>
      </c>
    </row>
    <row r="766" spans="11:20" x14ac:dyDescent="0.3">
      <c r="K766" t="s">
        <v>615</v>
      </c>
      <c r="L766">
        <v>57.5</v>
      </c>
      <c r="M766">
        <v>1420.25</v>
      </c>
      <c r="N766" t="s">
        <v>621</v>
      </c>
      <c r="O766">
        <v>90.5</v>
      </c>
      <c r="P766">
        <v>0.5</v>
      </c>
      <c r="R766" t="s">
        <v>617</v>
      </c>
      <c r="S766">
        <v>133.5</v>
      </c>
      <c r="T766" t="s">
        <v>235</v>
      </c>
    </row>
    <row r="767" spans="11:20" x14ac:dyDescent="0.3">
      <c r="K767" t="s">
        <v>615</v>
      </c>
      <c r="L767">
        <v>60.03</v>
      </c>
      <c r="M767">
        <v>1540.22</v>
      </c>
      <c r="N767" t="s">
        <v>619</v>
      </c>
      <c r="O767">
        <v>63.3</v>
      </c>
      <c r="P767">
        <v>0.5</v>
      </c>
      <c r="R767" t="s">
        <v>617</v>
      </c>
      <c r="S767">
        <v>88.9</v>
      </c>
      <c r="T767" t="s">
        <v>235</v>
      </c>
    </row>
    <row r="768" spans="11:20" x14ac:dyDescent="0.3">
      <c r="K768" t="s">
        <v>615</v>
      </c>
      <c r="L768">
        <v>60.03</v>
      </c>
      <c r="M768">
        <v>1540.22</v>
      </c>
      <c r="N768" t="s">
        <v>619</v>
      </c>
      <c r="O768">
        <v>63.3</v>
      </c>
      <c r="P768">
        <v>0.5</v>
      </c>
      <c r="R768" t="s">
        <v>617</v>
      </c>
      <c r="S768">
        <v>96.4</v>
      </c>
      <c r="T768" t="s">
        <v>235</v>
      </c>
    </row>
    <row r="769" spans="11:20" x14ac:dyDescent="0.3">
      <c r="K769" t="s">
        <v>615</v>
      </c>
      <c r="L769">
        <v>60.03</v>
      </c>
      <c r="M769">
        <v>1540.23</v>
      </c>
      <c r="N769" t="s">
        <v>621</v>
      </c>
      <c r="O769">
        <v>84.7</v>
      </c>
      <c r="P769">
        <v>0.5</v>
      </c>
      <c r="R769" t="s">
        <v>617</v>
      </c>
      <c r="S769">
        <v>117.6</v>
      </c>
      <c r="T769" t="s">
        <v>235</v>
      </c>
    </row>
    <row r="770" spans="11:20" x14ac:dyDescent="0.3">
      <c r="K770" t="s">
        <v>615</v>
      </c>
      <c r="L770">
        <v>60.03</v>
      </c>
      <c r="M770">
        <v>1540.23</v>
      </c>
      <c r="N770" t="s">
        <v>621</v>
      </c>
      <c r="O770">
        <v>84.7</v>
      </c>
      <c r="P770">
        <v>0.5</v>
      </c>
      <c r="R770" t="s">
        <v>617</v>
      </c>
      <c r="S770">
        <v>117.6</v>
      </c>
      <c r="T770" t="s">
        <v>235</v>
      </c>
    </row>
    <row r="771" spans="11:20" x14ac:dyDescent="0.3">
      <c r="K771" t="s">
        <v>615</v>
      </c>
      <c r="L771">
        <v>60.03</v>
      </c>
      <c r="M771">
        <v>1540.23</v>
      </c>
      <c r="N771" t="s">
        <v>621</v>
      </c>
      <c r="O771">
        <v>94.9</v>
      </c>
      <c r="P771">
        <v>0.5</v>
      </c>
      <c r="R771" t="s">
        <v>617</v>
      </c>
      <c r="S771">
        <v>142.6</v>
      </c>
      <c r="T771" t="s">
        <v>235</v>
      </c>
    </row>
    <row r="772" spans="11:20" x14ac:dyDescent="0.3">
      <c r="K772" t="s">
        <v>615</v>
      </c>
      <c r="L772">
        <v>60.04</v>
      </c>
      <c r="M772">
        <v>1540.22</v>
      </c>
      <c r="N772" t="s">
        <v>621</v>
      </c>
      <c r="O772">
        <v>94.9</v>
      </c>
      <c r="P772">
        <v>0.5</v>
      </c>
      <c r="R772" t="s">
        <v>617</v>
      </c>
      <c r="S772">
        <v>139</v>
      </c>
      <c r="T772" t="s">
        <v>235</v>
      </c>
    </row>
    <row r="773" spans="11:20" x14ac:dyDescent="0.3">
      <c r="K773" t="s">
        <v>615</v>
      </c>
      <c r="L773">
        <v>60.03</v>
      </c>
      <c r="M773">
        <v>1540.23</v>
      </c>
      <c r="N773" t="s">
        <v>621</v>
      </c>
      <c r="O773">
        <v>84.7</v>
      </c>
      <c r="P773">
        <v>0.5</v>
      </c>
      <c r="R773" t="s">
        <v>617</v>
      </c>
      <c r="S773">
        <v>139</v>
      </c>
      <c r="T773" t="s">
        <v>235</v>
      </c>
    </row>
    <row r="774" spans="11:20" x14ac:dyDescent="0.3">
      <c r="K774" t="s">
        <v>615</v>
      </c>
      <c r="L774">
        <v>60.03</v>
      </c>
      <c r="M774">
        <v>1540.22</v>
      </c>
      <c r="N774" t="s">
        <v>621</v>
      </c>
      <c r="O774">
        <v>94.9</v>
      </c>
      <c r="P774">
        <v>0.5</v>
      </c>
      <c r="R774" t="s">
        <v>617</v>
      </c>
      <c r="S774">
        <v>139</v>
      </c>
      <c r="T774" t="s">
        <v>235</v>
      </c>
    </row>
    <row r="775" spans="11:20" x14ac:dyDescent="0.3">
      <c r="K775" t="s">
        <v>615</v>
      </c>
      <c r="L775">
        <v>60.03</v>
      </c>
      <c r="M775">
        <v>1540.22</v>
      </c>
      <c r="N775" t="s">
        <v>621</v>
      </c>
      <c r="O775">
        <v>94.9</v>
      </c>
      <c r="P775">
        <v>0.5</v>
      </c>
      <c r="R775" t="s">
        <v>617</v>
      </c>
      <c r="S775">
        <v>160.9</v>
      </c>
      <c r="T775" t="s">
        <v>235</v>
      </c>
    </row>
    <row r="776" spans="11:20" x14ac:dyDescent="0.3">
      <c r="K776" t="s">
        <v>615</v>
      </c>
      <c r="L776">
        <v>60.04</v>
      </c>
      <c r="M776">
        <v>1540.22</v>
      </c>
      <c r="N776" t="s">
        <v>621</v>
      </c>
      <c r="O776">
        <v>94.9</v>
      </c>
      <c r="P776">
        <v>0.5</v>
      </c>
      <c r="R776" t="s">
        <v>617</v>
      </c>
      <c r="S776">
        <v>120.7</v>
      </c>
      <c r="T776" t="s">
        <v>235</v>
      </c>
    </row>
    <row r="777" spans="11:20" x14ac:dyDescent="0.3">
      <c r="K777" t="s">
        <v>615</v>
      </c>
      <c r="L777">
        <v>60.04</v>
      </c>
      <c r="M777">
        <v>1540.22</v>
      </c>
      <c r="N777" t="s">
        <v>621</v>
      </c>
      <c r="O777">
        <v>94.9</v>
      </c>
      <c r="P777">
        <v>0.5</v>
      </c>
      <c r="R777" t="s">
        <v>617</v>
      </c>
      <c r="S777">
        <v>129.80000000000001</v>
      </c>
      <c r="T777" t="s">
        <v>235</v>
      </c>
    </row>
    <row r="778" spans="11:20" x14ac:dyDescent="0.3">
      <c r="K778" t="s">
        <v>615</v>
      </c>
      <c r="L778">
        <v>60.04</v>
      </c>
      <c r="M778">
        <v>1540.22</v>
      </c>
      <c r="N778" t="s">
        <v>621</v>
      </c>
      <c r="O778">
        <v>94.9</v>
      </c>
      <c r="P778">
        <v>0.5</v>
      </c>
      <c r="R778" t="s">
        <v>617</v>
      </c>
      <c r="S778">
        <v>129.80000000000001</v>
      </c>
      <c r="T778" t="s">
        <v>235</v>
      </c>
    </row>
    <row r="779" spans="11:20" x14ac:dyDescent="0.3">
      <c r="K779" t="s">
        <v>615</v>
      </c>
      <c r="L779">
        <v>64.53</v>
      </c>
      <c r="M779">
        <v>1779.11</v>
      </c>
      <c r="N779" t="s">
        <v>673</v>
      </c>
      <c r="O779">
        <v>68.599999999999994</v>
      </c>
      <c r="P779">
        <v>0.5</v>
      </c>
      <c r="R779" t="s">
        <v>617</v>
      </c>
      <c r="S779">
        <v>120.7</v>
      </c>
      <c r="T779" t="s">
        <v>235</v>
      </c>
    </row>
    <row r="780" spans="11:20" x14ac:dyDescent="0.3">
      <c r="K780" t="s">
        <v>615</v>
      </c>
      <c r="L780">
        <v>64.53</v>
      </c>
      <c r="M780">
        <v>1779.11</v>
      </c>
      <c r="N780" t="s">
        <v>673</v>
      </c>
      <c r="O780">
        <v>68.599999999999994</v>
      </c>
      <c r="P780">
        <v>0.5</v>
      </c>
      <c r="R780" t="s">
        <v>617</v>
      </c>
      <c r="S780">
        <v>120.7</v>
      </c>
      <c r="T780" t="s">
        <v>235</v>
      </c>
    </row>
    <row r="781" spans="11:20" x14ac:dyDescent="0.3">
      <c r="K781" t="s">
        <v>615</v>
      </c>
      <c r="L781">
        <v>64.53</v>
      </c>
      <c r="M781">
        <v>1779.11</v>
      </c>
      <c r="N781" t="s">
        <v>621</v>
      </c>
      <c r="O781">
        <v>102.8</v>
      </c>
      <c r="P781">
        <v>0.5</v>
      </c>
      <c r="R781" t="s">
        <v>617</v>
      </c>
      <c r="S781">
        <v>151.69999999999999</v>
      </c>
      <c r="T781" t="s">
        <v>235</v>
      </c>
    </row>
    <row r="782" spans="11:20" x14ac:dyDescent="0.3">
      <c r="K782" t="s">
        <v>615</v>
      </c>
      <c r="L782">
        <v>64.53</v>
      </c>
      <c r="M782">
        <v>1779.11</v>
      </c>
      <c r="N782" t="s">
        <v>621</v>
      </c>
      <c r="O782">
        <v>102.8</v>
      </c>
      <c r="P782">
        <v>0.5</v>
      </c>
      <c r="R782" t="s">
        <v>617</v>
      </c>
      <c r="S782">
        <v>180.9</v>
      </c>
      <c r="T782" t="s">
        <v>235</v>
      </c>
    </row>
    <row r="783" spans="11:20" x14ac:dyDescent="0.3">
      <c r="K783" t="s">
        <v>615</v>
      </c>
      <c r="L783">
        <v>64.53</v>
      </c>
      <c r="M783">
        <v>1779.11</v>
      </c>
      <c r="N783" t="s">
        <v>621</v>
      </c>
      <c r="O783">
        <v>102.8</v>
      </c>
      <c r="P783">
        <v>0.5</v>
      </c>
      <c r="R783" t="s">
        <v>617</v>
      </c>
      <c r="S783">
        <v>120.7</v>
      </c>
      <c r="T783" t="s">
        <v>235</v>
      </c>
    </row>
    <row r="784" spans="11:20" x14ac:dyDescent="0.3">
      <c r="K784" t="s">
        <v>615</v>
      </c>
      <c r="L784">
        <v>49.51</v>
      </c>
      <c r="M784">
        <v>1047.68</v>
      </c>
      <c r="N784" t="s">
        <v>667</v>
      </c>
      <c r="O784">
        <v>74.599999999999994</v>
      </c>
      <c r="P784">
        <v>0.5</v>
      </c>
      <c r="R784" t="s">
        <v>663</v>
      </c>
      <c r="S784">
        <v>131.9</v>
      </c>
      <c r="T784" t="s">
        <v>235</v>
      </c>
    </row>
    <row r="785" spans="11:20" x14ac:dyDescent="0.3">
      <c r="K785" t="s">
        <v>615</v>
      </c>
      <c r="L785">
        <v>54.64</v>
      </c>
      <c r="M785">
        <v>1275.74</v>
      </c>
      <c r="N785" t="s">
        <v>673</v>
      </c>
      <c r="O785">
        <v>56.5</v>
      </c>
      <c r="P785">
        <v>0.5</v>
      </c>
      <c r="R785" t="s">
        <v>617</v>
      </c>
      <c r="S785">
        <v>77.3</v>
      </c>
      <c r="T785" t="s">
        <v>235</v>
      </c>
    </row>
    <row r="786" spans="11:20" x14ac:dyDescent="0.3">
      <c r="K786" t="s">
        <v>615</v>
      </c>
      <c r="L786">
        <v>54.6</v>
      </c>
      <c r="M786">
        <v>1275.74</v>
      </c>
      <c r="N786" t="s">
        <v>619</v>
      </c>
      <c r="O786">
        <v>56.5</v>
      </c>
      <c r="P786">
        <v>0.5</v>
      </c>
      <c r="R786" t="s">
        <v>663</v>
      </c>
      <c r="S786">
        <v>78.2</v>
      </c>
      <c r="T786" t="s">
        <v>235</v>
      </c>
    </row>
    <row r="787" spans="11:20" x14ac:dyDescent="0.3">
      <c r="K787" t="s">
        <v>615</v>
      </c>
      <c r="L787">
        <v>54.64</v>
      </c>
      <c r="M787">
        <v>1275.74</v>
      </c>
      <c r="N787" t="s">
        <v>621</v>
      </c>
      <c r="O787">
        <v>84.7</v>
      </c>
      <c r="P787">
        <v>0.5</v>
      </c>
      <c r="R787" t="s">
        <v>663</v>
      </c>
      <c r="S787">
        <v>155</v>
      </c>
      <c r="T787" t="s">
        <v>235</v>
      </c>
    </row>
    <row r="788" spans="11:20" x14ac:dyDescent="0.3">
      <c r="K788" t="s">
        <v>615</v>
      </c>
      <c r="L788">
        <v>41.64</v>
      </c>
      <c r="M788">
        <v>742.24</v>
      </c>
      <c r="N788" t="s">
        <v>621</v>
      </c>
      <c r="O788">
        <v>59.4</v>
      </c>
      <c r="P788">
        <v>0.5</v>
      </c>
      <c r="R788" t="s">
        <v>639</v>
      </c>
      <c r="S788">
        <v>107.6</v>
      </c>
      <c r="T788" t="s">
        <v>235</v>
      </c>
    </row>
    <row r="789" spans="11:20" x14ac:dyDescent="0.3">
      <c r="K789" t="s">
        <v>615</v>
      </c>
      <c r="L789">
        <v>41.53</v>
      </c>
      <c r="M789">
        <v>737.71</v>
      </c>
      <c r="N789" t="s">
        <v>621</v>
      </c>
      <c r="O789">
        <v>59.2</v>
      </c>
      <c r="P789">
        <v>0.5</v>
      </c>
      <c r="R789" t="s">
        <v>617</v>
      </c>
      <c r="S789">
        <v>107.2</v>
      </c>
      <c r="T789" t="s">
        <v>235</v>
      </c>
    </row>
    <row r="790" spans="11:20" x14ac:dyDescent="0.3">
      <c r="K790" t="s">
        <v>615</v>
      </c>
      <c r="L790">
        <v>54.63</v>
      </c>
      <c r="M790">
        <v>1273.42</v>
      </c>
      <c r="N790" t="s">
        <v>621</v>
      </c>
      <c r="O790">
        <v>84.6</v>
      </c>
      <c r="P790">
        <v>0.5</v>
      </c>
      <c r="R790" t="s">
        <v>639</v>
      </c>
      <c r="S790">
        <v>150.80000000000001</v>
      </c>
      <c r="T790" t="s">
        <v>235</v>
      </c>
    </row>
    <row r="791" spans="11:20" x14ac:dyDescent="0.3">
      <c r="K791" t="s">
        <v>615</v>
      </c>
      <c r="L791">
        <v>23.6</v>
      </c>
      <c r="M791">
        <v>238</v>
      </c>
      <c r="N791" t="s">
        <v>616</v>
      </c>
      <c r="O791">
        <v>20.8</v>
      </c>
      <c r="P791">
        <v>0.5</v>
      </c>
      <c r="R791" t="s">
        <v>617</v>
      </c>
      <c r="S791">
        <v>35.799999999999997</v>
      </c>
      <c r="T791" t="s">
        <v>235</v>
      </c>
    </row>
    <row r="792" spans="11:20" x14ac:dyDescent="0.3">
      <c r="K792" t="s">
        <v>615</v>
      </c>
      <c r="L792">
        <v>23.55</v>
      </c>
      <c r="M792">
        <v>237</v>
      </c>
      <c r="N792" t="s">
        <v>616</v>
      </c>
      <c r="O792">
        <v>20.8</v>
      </c>
      <c r="P792">
        <v>0.5</v>
      </c>
      <c r="R792" t="s">
        <v>617</v>
      </c>
      <c r="S792">
        <v>37.1</v>
      </c>
      <c r="T792" t="s">
        <v>235</v>
      </c>
    </row>
    <row r="793" spans="11:20" x14ac:dyDescent="0.3">
      <c r="K793" t="s">
        <v>615</v>
      </c>
      <c r="L793">
        <v>27.5</v>
      </c>
      <c r="M793">
        <v>323.06</v>
      </c>
      <c r="N793" t="s">
        <v>616</v>
      </c>
      <c r="O793">
        <v>24.1</v>
      </c>
      <c r="P793">
        <v>0.5</v>
      </c>
      <c r="R793" t="s">
        <v>617</v>
      </c>
      <c r="S793">
        <v>36.5</v>
      </c>
      <c r="T793" t="s">
        <v>235</v>
      </c>
    </row>
    <row r="794" spans="11:20" x14ac:dyDescent="0.3">
      <c r="K794" t="s">
        <v>615</v>
      </c>
      <c r="L794">
        <v>27.5</v>
      </c>
      <c r="M794">
        <v>323</v>
      </c>
      <c r="N794" t="s">
        <v>616</v>
      </c>
      <c r="O794">
        <v>24.1</v>
      </c>
      <c r="P794">
        <v>0.5</v>
      </c>
      <c r="R794" t="s">
        <v>675</v>
      </c>
      <c r="S794">
        <v>37.799999999999997</v>
      </c>
      <c r="T794" t="s">
        <v>235</v>
      </c>
    </row>
    <row r="795" spans="11:20" x14ac:dyDescent="0.3">
      <c r="K795" t="s">
        <v>615</v>
      </c>
      <c r="L795">
        <v>27.5</v>
      </c>
      <c r="M795">
        <v>323.06</v>
      </c>
      <c r="N795" t="s">
        <v>616</v>
      </c>
      <c r="O795">
        <v>24.1</v>
      </c>
      <c r="P795">
        <v>0.5</v>
      </c>
      <c r="Q795">
        <v>0</v>
      </c>
      <c r="R795" t="s">
        <v>663</v>
      </c>
      <c r="S795">
        <v>38.5</v>
      </c>
      <c r="T795" t="s">
        <v>235</v>
      </c>
    </row>
    <row r="796" spans="11:20" x14ac:dyDescent="0.3">
      <c r="K796" t="s">
        <v>615</v>
      </c>
      <c r="L796">
        <v>31.5</v>
      </c>
      <c r="M796">
        <v>423.99</v>
      </c>
      <c r="N796" t="s">
        <v>619</v>
      </c>
      <c r="O796">
        <v>28</v>
      </c>
      <c r="P796">
        <v>0.5</v>
      </c>
      <c r="Q796">
        <v>0.7</v>
      </c>
      <c r="R796" t="s">
        <v>663</v>
      </c>
      <c r="S796">
        <v>48.7</v>
      </c>
      <c r="T796" t="s">
        <v>235</v>
      </c>
    </row>
    <row r="797" spans="11:20" x14ac:dyDescent="0.3">
      <c r="K797" t="s">
        <v>615</v>
      </c>
      <c r="L797">
        <v>31.5</v>
      </c>
      <c r="M797">
        <v>424</v>
      </c>
      <c r="N797" t="s">
        <v>619</v>
      </c>
      <c r="O797">
        <v>28</v>
      </c>
      <c r="P797">
        <v>0.5</v>
      </c>
      <c r="R797" t="s">
        <v>663</v>
      </c>
      <c r="S797">
        <v>49.4</v>
      </c>
      <c r="T797" t="s">
        <v>235</v>
      </c>
    </row>
    <row r="798" spans="11:20" x14ac:dyDescent="0.3">
      <c r="K798" t="s">
        <v>615</v>
      </c>
      <c r="L798">
        <v>31.51</v>
      </c>
      <c r="M798">
        <v>424.14</v>
      </c>
      <c r="N798" t="s">
        <v>616</v>
      </c>
      <c r="O798">
        <v>28</v>
      </c>
      <c r="P798">
        <v>0.5</v>
      </c>
      <c r="R798" t="s">
        <v>617</v>
      </c>
      <c r="S798">
        <v>45.6</v>
      </c>
      <c r="T798" t="s">
        <v>235</v>
      </c>
    </row>
    <row r="799" spans="11:20" x14ac:dyDescent="0.3">
      <c r="K799" t="s">
        <v>615</v>
      </c>
      <c r="L799">
        <v>31.5</v>
      </c>
      <c r="M799">
        <v>423.88</v>
      </c>
      <c r="N799" t="s">
        <v>616</v>
      </c>
      <c r="O799">
        <v>28</v>
      </c>
      <c r="P799">
        <v>0.5</v>
      </c>
      <c r="R799" t="s">
        <v>617</v>
      </c>
      <c r="S799">
        <v>52.9</v>
      </c>
      <c r="T799" t="s">
        <v>235</v>
      </c>
    </row>
    <row r="800" spans="11:20" x14ac:dyDescent="0.3">
      <c r="K800" t="s">
        <v>615</v>
      </c>
      <c r="L800">
        <v>31.5</v>
      </c>
      <c r="M800">
        <v>423.88</v>
      </c>
      <c r="N800" t="s">
        <v>616</v>
      </c>
      <c r="O800">
        <v>28</v>
      </c>
      <c r="P800">
        <v>0.5</v>
      </c>
      <c r="Q800">
        <v>0.7</v>
      </c>
      <c r="R800" t="s">
        <v>663</v>
      </c>
      <c r="S800">
        <v>49.5</v>
      </c>
      <c r="T800" t="s">
        <v>235</v>
      </c>
    </row>
    <row r="801" spans="11:20" x14ac:dyDescent="0.3">
      <c r="K801" t="s">
        <v>615</v>
      </c>
      <c r="L801">
        <v>31.51</v>
      </c>
      <c r="M801">
        <v>424.14</v>
      </c>
      <c r="N801" t="s">
        <v>616</v>
      </c>
      <c r="O801">
        <v>28</v>
      </c>
      <c r="P801">
        <v>0.5</v>
      </c>
      <c r="R801" t="s">
        <v>617</v>
      </c>
      <c r="S801">
        <v>41.4</v>
      </c>
      <c r="T801" t="s">
        <v>235</v>
      </c>
    </row>
    <row r="802" spans="11:20" x14ac:dyDescent="0.3">
      <c r="K802" t="s">
        <v>615</v>
      </c>
      <c r="L802">
        <v>31.5</v>
      </c>
      <c r="M802">
        <v>424</v>
      </c>
      <c r="N802" t="s">
        <v>616</v>
      </c>
      <c r="O802">
        <v>28</v>
      </c>
      <c r="P802">
        <v>0.5</v>
      </c>
      <c r="R802" t="s">
        <v>617</v>
      </c>
      <c r="S802">
        <v>50</v>
      </c>
      <c r="T802" t="s">
        <v>235</v>
      </c>
    </row>
    <row r="803" spans="11:20" x14ac:dyDescent="0.3">
      <c r="K803" t="s">
        <v>615</v>
      </c>
      <c r="L803">
        <v>31.5</v>
      </c>
      <c r="M803">
        <v>413.17</v>
      </c>
      <c r="N803" t="s">
        <v>616</v>
      </c>
      <c r="O803">
        <v>27.6</v>
      </c>
      <c r="P803">
        <v>0.5</v>
      </c>
      <c r="R803" t="s">
        <v>617</v>
      </c>
      <c r="S803">
        <v>43</v>
      </c>
      <c r="T803" t="s">
        <v>235</v>
      </c>
    </row>
    <row r="804" spans="11:20" x14ac:dyDescent="0.3">
      <c r="K804" t="s">
        <v>615</v>
      </c>
      <c r="L804">
        <v>31.5</v>
      </c>
      <c r="M804">
        <v>424</v>
      </c>
      <c r="N804" t="s">
        <v>616</v>
      </c>
      <c r="O804">
        <v>28</v>
      </c>
      <c r="P804">
        <v>0.5</v>
      </c>
      <c r="R804" t="s">
        <v>617</v>
      </c>
      <c r="S804">
        <v>49.6</v>
      </c>
      <c r="T804" t="s">
        <v>235</v>
      </c>
    </row>
    <row r="805" spans="11:20" x14ac:dyDescent="0.3">
      <c r="K805" t="s">
        <v>615</v>
      </c>
      <c r="L805">
        <v>31.5</v>
      </c>
      <c r="M805">
        <v>423.99</v>
      </c>
      <c r="N805" t="s">
        <v>619</v>
      </c>
      <c r="O805">
        <v>28</v>
      </c>
      <c r="P805">
        <v>0.5</v>
      </c>
      <c r="Q805">
        <v>0.8</v>
      </c>
      <c r="R805" t="s">
        <v>663</v>
      </c>
      <c r="S805">
        <v>51.7</v>
      </c>
      <c r="T805" t="s">
        <v>235</v>
      </c>
    </row>
    <row r="806" spans="11:20" x14ac:dyDescent="0.3">
      <c r="K806" t="s">
        <v>615</v>
      </c>
      <c r="L806">
        <v>38.5</v>
      </c>
      <c r="M806">
        <v>633.36</v>
      </c>
      <c r="N806" t="s">
        <v>619</v>
      </c>
      <c r="O806">
        <v>35.799999999999997</v>
      </c>
      <c r="P806">
        <v>0.5</v>
      </c>
      <c r="R806" t="s">
        <v>663</v>
      </c>
      <c r="S806">
        <v>67.3</v>
      </c>
      <c r="T806" t="s">
        <v>235</v>
      </c>
    </row>
    <row r="807" spans="11:20" x14ac:dyDescent="0.3">
      <c r="K807" t="s">
        <v>615</v>
      </c>
      <c r="L807">
        <v>38.5</v>
      </c>
      <c r="M807">
        <v>634.70000000000005</v>
      </c>
      <c r="N807" t="s">
        <v>616</v>
      </c>
      <c r="O807">
        <v>35.799999999999997</v>
      </c>
      <c r="P807">
        <v>0.5</v>
      </c>
      <c r="R807" t="s">
        <v>617</v>
      </c>
      <c r="S807">
        <v>57.8</v>
      </c>
      <c r="T807" t="s">
        <v>235</v>
      </c>
    </row>
    <row r="808" spans="11:20" x14ac:dyDescent="0.3">
      <c r="K808" t="s">
        <v>615</v>
      </c>
      <c r="L808">
        <v>39</v>
      </c>
      <c r="M808">
        <v>634.70000000000005</v>
      </c>
      <c r="N808" t="s">
        <v>616</v>
      </c>
      <c r="O808">
        <v>35.9</v>
      </c>
      <c r="P808">
        <v>0.5</v>
      </c>
      <c r="R808" t="s">
        <v>617</v>
      </c>
      <c r="S808">
        <v>48.2</v>
      </c>
      <c r="T808" t="s">
        <v>235</v>
      </c>
    </row>
    <row r="809" spans="11:20" x14ac:dyDescent="0.3">
      <c r="K809" t="s">
        <v>615</v>
      </c>
      <c r="L809">
        <v>38.5</v>
      </c>
      <c r="M809">
        <v>634.70000000000005</v>
      </c>
      <c r="N809" t="s">
        <v>616</v>
      </c>
      <c r="O809">
        <v>35.799999999999997</v>
      </c>
      <c r="P809">
        <v>0.5</v>
      </c>
      <c r="R809" t="s">
        <v>617</v>
      </c>
      <c r="S809">
        <v>54.1</v>
      </c>
      <c r="T809" t="s">
        <v>235</v>
      </c>
    </row>
    <row r="810" spans="11:20" x14ac:dyDescent="0.3">
      <c r="K810" t="s">
        <v>615</v>
      </c>
      <c r="L810">
        <v>38.5</v>
      </c>
      <c r="M810">
        <v>634.70000000000005</v>
      </c>
      <c r="N810" t="s">
        <v>616</v>
      </c>
      <c r="O810">
        <v>35.799999999999997</v>
      </c>
      <c r="P810">
        <v>0.5</v>
      </c>
      <c r="R810" t="s">
        <v>617</v>
      </c>
      <c r="S810">
        <v>52.1</v>
      </c>
      <c r="T810" t="s">
        <v>235</v>
      </c>
    </row>
    <row r="811" spans="11:20" x14ac:dyDescent="0.3">
      <c r="K811" t="s">
        <v>615</v>
      </c>
      <c r="L811">
        <v>39.5</v>
      </c>
      <c r="M811">
        <v>667</v>
      </c>
      <c r="N811" t="s">
        <v>619</v>
      </c>
      <c r="O811">
        <v>37</v>
      </c>
      <c r="P811">
        <v>0.5</v>
      </c>
      <c r="R811" t="s">
        <v>675</v>
      </c>
      <c r="S811">
        <v>69.099999999999994</v>
      </c>
      <c r="T811" t="s">
        <v>235</v>
      </c>
    </row>
    <row r="812" spans="11:20" x14ac:dyDescent="0.3">
      <c r="K812" t="s">
        <v>615</v>
      </c>
      <c r="L812">
        <v>40</v>
      </c>
      <c r="M812">
        <v>683.68</v>
      </c>
      <c r="N812" t="s">
        <v>619</v>
      </c>
      <c r="O812">
        <v>37.6</v>
      </c>
      <c r="P812">
        <v>0.5</v>
      </c>
      <c r="R812" t="s">
        <v>663</v>
      </c>
      <c r="S812">
        <v>70.099999999999994</v>
      </c>
      <c r="T812" t="s">
        <v>235</v>
      </c>
    </row>
    <row r="813" spans="11:20" x14ac:dyDescent="0.3">
      <c r="K813" t="s">
        <v>615</v>
      </c>
      <c r="L813">
        <v>40</v>
      </c>
      <c r="M813">
        <v>660.82</v>
      </c>
      <c r="N813" t="s">
        <v>619</v>
      </c>
      <c r="O813">
        <v>36.75</v>
      </c>
      <c r="P813">
        <v>0.5</v>
      </c>
      <c r="R813" t="s">
        <v>617</v>
      </c>
      <c r="S813">
        <v>48.9</v>
      </c>
      <c r="T813" t="s">
        <v>235</v>
      </c>
    </row>
    <row r="814" spans="11:20" x14ac:dyDescent="0.3">
      <c r="K814" t="s">
        <v>615</v>
      </c>
      <c r="L814">
        <v>40</v>
      </c>
      <c r="M814">
        <v>682.47</v>
      </c>
      <c r="N814" t="s">
        <v>621</v>
      </c>
      <c r="O814">
        <v>56.4</v>
      </c>
      <c r="P814">
        <v>0.5</v>
      </c>
      <c r="R814" t="s">
        <v>675</v>
      </c>
      <c r="S814">
        <v>99</v>
      </c>
      <c r="T814" t="s">
        <v>235</v>
      </c>
    </row>
    <row r="815" spans="11:20" x14ac:dyDescent="0.3">
      <c r="K815" t="s">
        <v>615</v>
      </c>
      <c r="L815">
        <v>42.5</v>
      </c>
      <c r="M815">
        <v>771.81</v>
      </c>
      <c r="N815" t="s">
        <v>619</v>
      </c>
      <c r="O815">
        <v>40.700000000000003</v>
      </c>
      <c r="P815">
        <v>0.5</v>
      </c>
      <c r="R815" t="s">
        <v>617</v>
      </c>
      <c r="S815">
        <v>64.900000000000006</v>
      </c>
      <c r="T815" t="s">
        <v>235</v>
      </c>
    </row>
    <row r="816" spans="11:20" x14ac:dyDescent="0.3">
      <c r="K816" t="s">
        <v>615</v>
      </c>
      <c r="L816">
        <v>42.5</v>
      </c>
      <c r="M816">
        <v>772</v>
      </c>
      <c r="N816" t="s">
        <v>619</v>
      </c>
      <c r="O816">
        <v>40.700000000000003</v>
      </c>
      <c r="P816">
        <v>0.5</v>
      </c>
      <c r="R816" t="s">
        <v>675</v>
      </c>
      <c r="S816">
        <v>76</v>
      </c>
      <c r="T816" t="s">
        <v>235</v>
      </c>
    </row>
    <row r="817" spans="11:20" x14ac:dyDescent="0.3">
      <c r="K817" t="s">
        <v>615</v>
      </c>
      <c r="L817">
        <v>42.5</v>
      </c>
      <c r="M817">
        <v>772</v>
      </c>
      <c r="N817" t="s">
        <v>619</v>
      </c>
      <c r="O817">
        <v>40.700000000000003</v>
      </c>
      <c r="P817">
        <v>0.5</v>
      </c>
      <c r="R817" t="s">
        <v>663</v>
      </c>
      <c r="S817">
        <v>76</v>
      </c>
      <c r="T817" t="s">
        <v>235</v>
      </c>
    </row>
    <row r="818" spans="11:20" x14ac:dyDescent="0.3">
      <c r="K818" t="s">
        <v>615</v>
      </c>
      <c r="L818">
        <v>42.5</v>
      </c>
      <c r="M818">
        <v>771.7</v>
      </c>
      <c r="N818" t="s">
        <v>619</v>
      </c>
      <c r="O818">
        <v>40.700000000000003</v>
      </c>
      <c r="P818">
        <v>0.5</v>
      </c>
      <c r="R818" t="s">
        <v>663</v>
      </c>
      <c r="S818">
        <v>65.599999999999994</v>
      </c>
      <c r="T818" t="s">
        <v>235</v>
      </c>
    </row>
    <row r="819" spans="11:20" x14ac:dyDescent="0.3">
      <c r="K819" t="s">
        <v>615</v>
      </c>
      <c r="L819">
        <v>43</v>
      </c>
      <c r="M819">
        <v>790</v>
      </c>
      <c r="N819" t="s">
        <v>619</v>
      </c>
      <c r="O819">
        <v>41.3</v>
      </c>
      <c r="P819">
        <v>0.5</v>
      </c>
      <c r="R819" t="s">
        <v>617</v>
      </c>
      <c r="S819">
        <v>74.400000000000006</v>
      </c>
      <c r="T819" t="s">
        <v>235</v>
      </c>
    </row>
    <row r="820" spans="11:20" x14ac:dyDescent="0.3">
      <c r="K820" t="s">
        <v>615</v>
      </c>
      <c r="L820">
        <v>48</v>
      </c>
      <c r="M820">
        <v>1007.94</v>
      </c>
      <c r="N820" t="s">
        <v>619</v>
      </c>
      <c r="O820">
        <v>48.5</v>
      </c>
      <c r="P820">
        <v>0.5</v>
      </c>
      <c r="R820" t="s">
        <v>663</v>
      </c>
      <c r="S820">
        <v>82.9</v>
      </c>
      <c r="T820" t="s">
        <v>235</v>
      </c>
    </row>
    <row r="821" spans="11:20" x14ac:dyDescent="0.3">
      <c r="K821" t="s">
        <v>615</v>
      </c>
      <c r="L821">
        <v>48</v>
      </c>
      <c r="M821">
        <v>967.37</v>
      </c>
      <c r="N821" t="s">
        <v>619</v>
      </c>
      <c r="O821">
        <v>47.2</v>
      </c>
      <c r="P821">
        <v>0.5</v>
      </c>
      <c r="R821" t="s">
        <v>663</v>
      </c>
      <c r="S821">
        <v>89.2</v>
      </c>
      <c r="T821" t="s">
        <v>235</v>
      </c>
    </row>
    <row r="822" spans="11:20" x14ac:dyDescent="0.3">
      <c r="K822" t="s">
        <v>615</v>
      </c>
      <c r="L822">
        <v>47.6</v>
      </c>
      <c r="M822">
        <v>967.37</v>
      </c>
      <c r="N822" t="s">
        <v>619</v>
      </c>
      <c r="O822">
        <v>47.2</v>
      </c>
      <c r="P822">
        <v>0.5</v>
      </c>
      <c r="R822" t="s">
        <v>617</v>
      </c>
      <c r="S822">
        <v>87.5</v>
      </c>
      <c r="T822" t="s">
        <v>235</v>
      </c>
    </row>
    <row r="823" spans="11:20" x14ac:dyDescent="0.3">
      <c r="K823" t="s">
        <v>615</v>
      </c>
      <c r="L823">
        <v>49.5</v>
      </c>
      <c r="M823">
        <v>1047</v>
      </c>
      <c r="N823" t="s">
        <v>619</v>
      </c>
      <c r="O823">
        <v>49.8</v>
      </c>
      <c r="P823">
        <v>0.5</v>
      </c>
      <c r="R823" t="s">
        <v>675</v>
      </c>
      <c r="S823">
        <v>89.3</v>
      </c>
      <c r="T823" t="s">
        <v>235</v>
      </c>
    </row>
    <row r="824" spans="11:20" x14ac:dyDescent="0.3">
      <c r="K824" t="s">
        <v>615</v>
      </c>
      <c r="L824">
        <v>49.5</v>
      </c>
      <c r="M824">
        <v>1047</v>
      </c>
      <c r="N824" t="s">
        <v>621</v>
      </c>
      <c r="O824">
        <v>74.599999999999994</v>
      </c>
      <c r="P824">
        <v>0.5</v>
      </c>
      <c r="R824" t="s">
        <v>663</v>
      </c>
      <c r="S824">
        <v>135.9</v>
      </c>
      <c r="T824" t="s">
        <v>235</v>
      </c>
    </row>
    <row r="825" spans="11:20" x14ac:dyDescent="0.3">
      <c r="K825" t="s">
        <v>615</v>
      </c>
      <c r="L825">
        <v>49.5</v>
      </c>
      <c r="M825">
        <v>1046.99</v>
      </c>
      <c r="N825" t="s">
        <v>619</v>
      </c>
      <c r="O825">
        <v>49.7</v>
      </c>
      <c r="P825">
        <v>0.5</v>
      </c>
      <c r="Q825">
        <v>0</v>
      </c>
      <c r="R825" t="s">
        <v>663</v>
      </c>
      <c r="S825">
        <v>87</v>
      </c>
      <c r="T825" t="s">
        <v>235</v>
      </c>
    </row>
    <row r="826" spans="11:20" x14ac:dyDescent="0.3">
      <c r="K826" t="s">
        <v>615</v>
      </c>
      <c r="L826">
        <v>49.5</v>
      </c>
      <c r="M826">
        <v>1047</v>
      </c>
      <c r="N826" t="s">
        <v>619</v>
      </c>
      <c r="O826">
        <v>49.7</v>
      </c>
      <c r="P826">
        <v>0.5</v>
      </c>
      <c r="R826" t="s">
        <v>617</v>
      </c>
      <c r="S826">
        <v>85.9</v>
      </c>
      <c r="T826" t="s">
        <v>235</v>
      </c>
    </row>
    <row r="827" spans="11:20" x14ac:dyDescent="0.3">
      <c r="K827" t="s">
        <v>615</v>
      </c>
      <c r="L827">
        <v>54.64</v>
      </c>
      <c r="M827">
        <v>1275.67</v>
      </c>
      <c r="N827" t="s">
        <v>619</v>
      </c>
      <c r="O827">
        <v>56.5</v>
      </c>
      <c r="P827">
        <v>0.5</v>
      </c>
      <c r="R827" t="s">
        <v>663</v>
      </c>
      <c r="S827">
        <v>99.6</v>
      </c>
      <c r="T827" t="s">
        <v>235</v>
      </c>
    </row>
    <row r="828" spans="11:20" x14ac:dyDescent="0.3">
      <c r="K828" t="s">
        <v>615</v>
      </c>
      <c r="L828">
        <v>54.64</v>
      </c>
      <c r="M828">
        <v>1275.74</v>
      </c>
      <c r="N828" t="s">
        <v>619</v>
      </c>
      <c r="O828">
        <v>56.5</v>
      </c>
      <c r="P828">
        <v>0.5</v>
      </c>
      <c r="R828" t="s">
        <v>617</v>
      </c>
      <c r="S828">
        <v>81.8</v>
      </c>
      <c r="T828" t="s">
        <v>235</v>
      </c>
    </row>
    <row r="829" spans="11:20" x14ac:dyDescent="0.3">
      <c r="K829" t="s">
        <v>615</v>
      </c>
      <c r="L829">
        <v>54.6</v>
      </c>
      <c r="M829">
        <v>1274</v>
      </c>
      <c r="N829" t="s">
        <v>621</v>
      </c>
      <c r="O829">
        <v>84.7</v>
      </c>
      <c r="P829">
        <v>0.5</v>
      </c>
      <c r="R829" t="s">
        <v>675</v>
      </c>
      <c r="S829">
        <v>153.69999999999999</v>
      </c>
      <c r="T829" t="s">
        <v>235</v>
      </c>
    </row>
    <row r="830" spans="11:20" x14ac:dyDescent="0.3">
      <c r="K830" t="s">
        <v>615</v>
      </c>
      <c r="L830">
        <v>60</v>
      </c>
      <c r="M830">
        <v>1543.11</v>
      </c>
      <c r="N830" t="s">
        <v>673</v>
      </c>
      <c r="O830">
        <v>94.9</v>
      </c>
      <c r="P830">
        <v>0.5</v>
      </c>
      <c r="R830" t="s">
        <v>663</v>
      </c>
      <c r="S830">
        <v>107.7</v>
      </c>
      <c r="T830" t="s">
        <v>235</v>
      </c>
    </row>
    <row r="831" spans="11:20" x14ac:dyDescent="0.3">
      <c r="K831" t="s">
        <v>615</v>
      </c>
      <c r="L831">
        <v>60</v>
      </c>
      <c r="M831">
        <v>1544.69</v>
      </c>
      <c r="N831" t="s">
        <v>619</v>
      </c>
      <c r="O831">
        <v>63.4</v>
      </c>
      <c r="P831">
        <v>0.5</v>
      </c>
      <c r="R831" t="s">
        <v>617</v>
      </c>
      <c r="S831">
        <v>83.9</v>
      </c>
      <c r="T831" t="s">
        <v>235</v>
      </c>
    </row>
    <row r="832" spans="11:20" x14ac:dyDescent="0.3">
      <c r="K832" t="s">
        <v>615</v>
      </c>
      <c r="L832">
        <v>70</v>
      </c>
      <c r="M832">
        <v>2063.96</v>
      </c>
      <c r="N832" t="s">
        <v>673</v>
      </c>
      <c r="O832">
        <v>111.5</v>
      </c>
      <c r="P832">
        <v>0.5</v>
      </c>
      <c r="R832" t="s">
        <v>663</v>
      </c>
      <c r="S832">
        <v>121</v>
      </c>
      <c r="T832" t="s">
        <v>235</v>
      </c>
    </row>
    <row r="833" spans="11:20" x14ac:dyDescent="0.3">
      <c r="K833" t="s">
        <v>615</v>
      </c>
      <c r="L833">
        <v>23.6</v>
      </c>
      <c r="M833">
        <v>237.99</v>
      </c>
      <c r="N833" t="s">
        <v>619</v>
      </c>
      <c r="O833">
        <v>20.8</v>
      </c>
      <c r="P833">
        <v>0.5</v>
      </c>
      <c r="Q833">
        <v>1.1000000000000001</v>
      </c>
      <c r="R833" t="s">
        <v>663</v>
      </c>
      <c r="S833">
        <v>36.1</v>
      </c>
      <c r="T833" t="s">
        <v>235</v>
      </c>
    </row>
    <row r="834" spans="11:20" x14ac:dyDescent="0.3">
      <c r="K834" t="s">
        <v>615</v>
      </c>
      <c r="L834">
        <v>27.5</v>
      </c>
      <c r="M834">
        <v>323.06</v>
      </c>
      <c r="N834" t="s">
        <v>616</v>
      </c>
      <c r="O834">
        <v>24.1</v>
      </c>
      <c r="P834">
        <v>0.5</v>
      </c>
      <c r="Q834">
        <v>1.1000000000000001</v>
      </c>
      <c r="R834" t="s">
        <v>663</v>
      </c>
      <c r="S834">
        <v>34.700000000000003</v>
      </c>
      <c r="T834" t="s">
        <v>235</v>
      </c>
    </row>
    <row r="835" spans="11:20" x14ac:dyDescent="0.3">
      <c r="K835" t="s">
        <v>615</v>
      </c>
      <c r="L835">
        <v>31.5</v>
      </c>
      <c r="M835">
        <v>423.99</v>
      </c>
      <c r="N835" t="s">
        <v>619</v>
      </c>
      <c r="O835">
        <v>28</v>
      </c>
      <c r="P835">
        <v>0.5</v>
      </c>
      <c r="Q835">
        <v>1.2</v>
      </c>
      <c r="R835" t="s">
        <v>663</v>
      </c>
      <c r="S835">
        <v>46.7</v>
      </c>
      <c r="T835" t="s">
        <v>235</v>
      </c>
    </row>
    <row r="836" spans="11:20" x14ac:dyDescent="0.3">
      <c r="K836" t="s">
        <v>615</v>
      </c>
      <c r="L836">
        <v>31.5</v>
      </c>
      <c r="M836">
        <v>423.99</v>
      </c>
      <c r="N836" t="s">
        <v>619</v>
      </c>
      <c r="O836">
        <v>28</v>
      </c>
      <c r="P836">
        <v>0.5</v>
      </c>
      <c r="Q836">
        <v>0</v>
      </c>
      <c r="R836" t="s">
        <v>663</v>
      </c>
      <c r="S836">
        <v>51</v>
      </c>
      <c r="T836" t="s">
        <v>235</v>
      </c>
    </row>
    <row r="837" spans="11:20" x14ac:dyDescent="0.3">
      <c r="K837" t="s">
        <v>615</v>
      </c>
      <c r="L837">
        <v>31.5</v>
      </c>
      <c r="M837">
        <v>423.99</v>
      </c>
      <c r="N837" t="s">
        <v>619</v>
      </c>
      <c r="O837">
        <v>28</v>
      </c>
      <c r="P837">
        <v>0.5</v>
      </c>
      <c r="Q837">
        <v>0.8</v>
      </c>
      <c r="R837" t="s">
        <v>663</v>
      </c>
      <c r="S837">
        <v>51.6</v>
      </c>
      <c r="T837" t="s">
        <v>235</v>
      </c>
    </row>
    <row r="838" spans="11:20" x14ac:dyDescent="0.3">
      <c r="K838" t="s">
        <v>615</v>
      </c>
      <c r="L838">
        <v>31.5</v>
      </c>
      <c r="M838">
        <v>423.99</v>
      </c>
      <c r="N838" t="s">
        <v>616</v>
      </c>
      <c r="O838">
        <v>28</v>
      </c>
      <c r="P838">
        <v>0.5</v>
      </c>
      <c r="Q838">
        <v>1.1000000000000001</v>
      </c>
      <c r="R838" t="s">
        <v>663</v>
      </c>
      <c r="S838">
        <v>41.1</v>
      </c>
      <c r="T838" t="s">
        <v>235</v>
      </c>
    </row>
    <row r="839" spans="11:20" x14ac:dyDescent="0.3">
      <c r="K839" t="s">
        <v>615</v>
      </c>
      <c r="L839">
        <v>31.5</v>
      </c>
      <c r="M839">
        <v>423.88</v>
      </c>
      <c r="N839" t="s">
        <v>616</v>
      </c>
      <c r="O839">
        <v>28</v>
      </c>
      <c r="P839">
        <v>0.5</v>
      </c>
      <c r="Q839">
        <v>0</v>
      </c>
      <c r="R839" t="s">
        <v>663</v>
      </c>
      <c r="S839">
        <v>50.9</v>
      </c>
      <c r="T839" t="s">
        <v>235</v>
      </c>
    </row>
    <row r="840" spans="11:20" x14ac:dyDescent="0.3">
      <c r="K840" t="s">
        <v>615</v>
      </c>
      <c r="L840">
        <v>40</v>
      </c>
      <c r="M840">
        <v>683.8</v>
      </c>
      <c r="N840" t="s">
        <v>619</v>
      </c>
      <c r="O840">
        <v>37.6</v>
      </c>
      <c r="P840">
        <v>0.5</v>
      </c>
      <c r="R840" t="s">
        <v>663</v>
      </c>
      <c r="S840">
        <v>70.099999999999994</v>
      </c>
      <c r="T840" t="s">
        <v>235</v>
      </c>
    </row>
    <row r="841" spans="11:20" x14ac:dyDescent="0.3">
      <c r="K841" t="s">
        <v>615</v>
      </c>
      <c r="L841">
        <v>42.5</v>
      </c>
      <c r="M841">
        <v>771.81</v>
      </c>
      <c r="N841" t="s">
        <v>619</v>
      </c>
      <c r="O841">
        <v>40.700000000000003</v>
      </c>
      <c r="P841">
        <v>0.5</v>
      </c>
      <c r="R841" t="s">
        <v>663</v>
      </c>
      <c r="S841">
        <v>77.3</v>
      </c>
      <c r="T841" t="s">
        <v>235</v>
      </c>
    </row>
    <row r="842" spans="11:20" x14ac:dyDescent="0.3">
      <c r="K842" t="s">
        <v>615</v>
      </c>
      <c r="L842">
        <v>48</v>
      </c>
      <c r="M842">
        <v>968.61</v>
      </c>
      <c r="N842" t="s">
        <v>619</v>
      </c>
      <c r="O842">
        <v>47.3</v>
      </c>
      <c r="P842">
        <v>0.5</v>
      </c>
      <c r="R842" t="s">
        <v>663</v>
      </c>
      <c r="S842">
        <v>89.3</v>
      </c>
      <c r="T842" t="s">
        <v>235</v>
      </c>
    </row>
    <row r="843" spans="11:20" x14ac:dyDescent="0.3">
      <c r="K843" t="s">
        <v>615</v>
      </c>
      <c r="L843">
        <v>49.5</v>
      </c>
      <c r="M843">
        <v>1046.99</v>
      </c>
      <c r="N843" t="s">
        <v>619</v>
      </c>
      <c r="O843">
        <v>49.7</v>
      </c>
      <c r="P843">
        <v>0.5</v>
      </c>
      <c r="R843" t="s">
        <v>663</v>
      </c>
      <c r="S843">
        <v>91.5</v>
      </c>
      <c r="T843" t="s">
        <v>235</v>
      </c>
    </row>
    <row r="844" spans="11:20" x14ac:dyDescent="0.3">
      <c r="K844" t="s">
        <v>615</v>
      </c>
      <c r="L844">
        <v>49.5</v>
      </c>
      <c r="M844">
        <v>1047</v>
      </c>
      <c r="N844" t="s">
        <v>619</v>
      </c>
      <c r="O844">
        <v>49.8</v>
      </c>
      <c r="P844">
        <v>0.5</v>
      </c>
      <c r="R844" t="s">
        <v>675</v>
      </c>
      <c r="S844">
        <v>88.7</v>
      </c>
      <c r="T844" t="s">
        <v>235</v>
      </c>
    </row>
    <row r="845" spans="11:20" x14ac:dyDescent="0.3">
      <c r="K845" t="s">
        <v>615</v>
      </c>
      <c r="L845">
        <v>49.5</v>
      </c>
      <c r="M845">
        <v>1046.99</v>
      </c>
      <c r="N845" t="s">
        <v>619</v>
      </c>
      <c r="O845">
        <v>49.7</v>
      </c>
      <c r="P845">
        <v>0.5</v>
      </c>
      <c r="Q845">
        <v>0.8</v>
      </c>
      <c r="R845" t="s">
        <v>663</v>
      </c>
      <c r="S845">
        <v>90.9</v>
      </c>
      <c r="T845" t="s">
        <v>235</v>
      </c>
    </row>
    <row r="846" spans="11:20" x14ac:dyDescent="0.3">
      <c r="K846" t="s">
        <v>615</v>
      </c>
      <c r="L846">
        <v>54.6</v>
      </c>
      <c r="M846">
        <v>1274</v>
      </c>
      <c r="N846" t="s">
        <v>619</v>
      </c>
      <c r="O846">
        <v>56.4</v>
      </c>
      <c r="P846">
        <v>0.5</v>
      </c>
      <c r="R846" t="s">
        <v>675</v>
      </c>
      <c r="S846">
        <v>100.7</v>
      </c>
      <c r="T846" t="s">
        <v>235</v>
      </c>
    </row>
    <row r="847" spans="11:20" x14ac:dyDescent="0.3">
      <c r="K847" t="s">
        <v>615</v>
      </c>
      <c r="L847">
        <v>55</v>
      </c>
      <c r="M847">
        <v>1275.6199999999999</v>
      </c>
      <c r="N847" t="s">
        <v>619</v>
      </c>
      <c r="O847">
        <v>56.5</v>
      </c>
      <c r="P847">
        <v>0.5</v>
      </c>
      <c r="R847" t="s">
        <v>663</v>
      </c>
      <c r="S847">
        <v>94.7</v>
      </c>
      <c r="T847" t="s">
        <v>235</v>
      </c>
    </row>
    <row r="848" spans="11:20" x14ac:dyDescent="0.3">
      <c r="K848" t="s">
        <v>615</v>
      </c>
      <c r="L848">
        <v>42.5</v>
      </c>
      <c r="M848">
        <v>772</v>
      </c>
      <c r="N848" t="s">
        <v>621</v>
      </c>
      <c r="O848">
        <v>61</v>
      </c>
      <c r="P848">
        <v>0.5</v>
      </c>
      <c r="R848" t="s">
        <v>675</v>
      </c>
      <c r="S848">
        <v>113</v>
      </c>
      <c r="T848" t="s">
        <v>235</v>
      </c>
    </row>
    <row r="849" spans="11:20" x14ac:dyDescent="0.3">
      <c r="K849" t="s">
        <v>615</v>
      </c>
      <c r="L849">
        <v>48.5</v>
      </c>
      <c r="M849">
        <v>1005</v>
      </c>
      <c r="N849" t="s">
        <v>621</v>
      </c>
      <c r="O849">
        <v>72.7</v>
      </c>
      <c r="P849">
        <v>0.5</v>
      </c>
      <c r="R849" t="s">
        <v>675</v>
      </c>
      <c r="S849">
        <v>136</v>
      </c>
      <c r="T849" t="s">
        <v>235</v>
      </c>
    </row>
    <row r="850" spans="11:20" x14ac:dyDescent="0.3">
      <c r="K850" t="s">
        <v>615</v>
      </c>
      <c r="L850">
        <v>49.5</v>
      </c>
      <c r="M850">
        <v>1047</v>
      </c>
      <c r="N850" t="s">
        <v>621</v>
      </c>
      <c r="O850">
        <v>74.599999999999994</v>
      </c>
      <c r="P850">
        <v>0.5</v>
      </c>
      <c r="R850" t="s">
        <v>675</v>
      </c>
      <c r="S850">
        <v>139</v>
      </c>
      <c r="T850" t="s">
        <v>235</v>
      </c>
    </row>
    <row r="851" spans="11:20" x14ac:dyDescent="0.3">
      <c r="K851" t="s">
        <v>615</v>
      </c>
      <c r="L851">
        <v>49.5</v>
      </c>
      <c r="M851">
        <v>1047</v>
      </c>
      <c r="N851" t="s">
        <v>621</v>
      </c>
      <c r="O851">
        <v>74.599999999999994</v>
      </c>
      <c r="P851">
        <v>0.5</v>
      </c>
      <c r="R851" t="s">
        <v>675</v>
      </c>
      <c r="S851">
        <v>120.6</v>
      </c>
      <c r="T851" t="s">
        <v>235</v>
      </c>
    </row>
    <row r="852" spans="11:20" x14ac:dyDescent="0.3">
      <c r="K852" t="s">
        <v>615</v>
      </c>
      <c r="L852">
        <v>64.5</v>
      </c>
      <c r="M852">
        <v>1778</v>
      </c>
      <c r="N852" t="s">
        <v>621</v>
      </c>
      <c r="O852">
        <v>102.8</v>
      </c>
      <c r="P852">
        <v>0.5</v>
      </c>
      <c r="R852" t="s">
        <v>675</v>
      </c>
      <c r="S852">
        <v>181</v>
      </c>
      <c r="T852" t="s">
        <v>235</v>
      </c>
    </row>
    <row r="853" spans="11:20" x14ac:dyDescent="0.3">
      <c r="K853" t="s">
        <v>615</v>
      </c>
      <c r="L853">
        <v>39.479999999999997</v>
      </c>
      <c r="M853">
        <v>660.56</v>
      </c>
      <c r="N853" t="s">
        <v>619</v>
      </c>
      <c r="O853">
        <v>36.700000000000003</v>
      </c>
      <c r="P853">
        <v>0.5</v>
      </c>
      <c r="R853" t="s">
        <v>617</v>
      </c>
      <c r="S853">
        <v>61.5</v>
      </c>
      <c r="T853" t="s">
        <v>235</v>
      </c>
    </row>
    <row r="854" spans="11:20" x14ac:dyDescent="0.3">
      <c r="K854" t="s">
        <v>615</v>
      </c>
      <c r="L854">
        <v>39.96</v>
      </c>
      <c r="M854">
        <v>683.82</v>
      </c>
      <c r="N854" t="s">
        <v>619</v>
      </c>
      <c r="O854">
        <v>37.6</v>
      </c>
      <c r="P854">
        <v>0.5</v>
      </c>
      <c r="R854" t="s">
        <v>617</v>
      </c>
      <c r="S854">
        <v>61.2</v>
      </c>
      <c r="T854" t="s">
        <v>235</v>
      </c>
    </row>
    <row r="855" spans="11:20" x14ac:dyDescent="0.3">
      <c r="K855" t="s">
        <v>615</v>
      </c>
      <c r="L855">
        <v>42</v>
      </c>
      <c r="M855">
        <v>753.8</v>
      </c>
      <c r="N855" t="s">
        <v>619</v>
      </c>
      <c r="O855">
        <v>40</v>
      </c>
      <c r="P855">
        <v>0.5</v>
      </c>
      <c r="R855" t="s">
        <v>617</v>
      </c>
      <c r="S855">
        <v>57.8</v>
      </c>
      <c r="T855" t="s">
        <v>235</v>
      </c>
    </row>
    <row r="856" spans="11:20" x14ac:dyDescent="0.3">
      <c r="K856" t="s">
        <v>615</v>
      </c>
      <c r="L856">
        <v>47.65</v>
      </c>
      <c r="M856">
        <v>969.96</v>
      </c>
      <c r="N856" t="s">
        <v>619</v>
      </c>
      <c r="O856">
        <v>47.3</v>
      </c>
      <c r="P856">
        <v>0.5</v>
      </c>
      <c r="R856" t="s">
        <v>617</v>
      </c>
      <c r="S856">
        <v>84.6</v>
      </c>
      <c r="T856" t="s">
        <v>235</v>
      </c>
    </row>
    <row r="857" spans="11:20" x14ac:dyDescent="0.3">
      <c r="K857" t="s">
        <v>615</v>
      </c>
      <c r="L857">
        <v>49.5</v>
      </c>
      <c r="M857">
        <v>1047.01</v>
      </c>
      <c r="N857" t="s">
        <v>619</v>
      </c>
      <c r="O857">
        <v>49.8</v>
      </c>
      <c r="P857">
        <v>0.5</v>
      </c>
      <c r="R857" t="s">
        <v>617</v>
      </c>
      <c r="S857">
        <v>90</v>
      </c>
      <c r="T857" t="s">
        <v>235</v>
      </c>
    </row>
    <row r="858" spans="11:20" x14ac:dyDescent="0.3">
      <c r="K858" t="s">
        <v>615</v>
      </c>
      <c r="L858">
        <v>54.6</v>
      </c>
      <c r="M858">
        <v>1275.08</v>
      </c>
      <c r="N858" t="s">
        <v>619</v>
      </c>
      <c r="O858">
        <v>56.5</v>
      </c>
      <c r="P858">
        <v>0.5</v>
      </c>
      <c r="R858" t="s">
        <v>617</v>
      </c>
      <c r="S858">
        <v>95.9</v>
      </c>
      <c r="T858" t="s">
        <v>235</v>
      </c>
    </row>
    <row r="859" spans="11:20" x14ac:dyDescent="0.3">
      <c r="K859" t="s">
        <v>615</v>
      </c>
      <c r="L859">
        <v>54.6</v>
      </c>
      <c r="M859">
        <v>1275.08</v>
      </c>
      <c r="N859" t="s">
        <v>619</v>
      </c>
      <c r="O859">
        <v>56.5</v>
      </c>
      <c r="P859">
        <v>0.5</v>
      </c>
      <c r="R859" t="s">
        <v>617</v>
      </c>
      <c r="S859">
        <v>94.9</v>
      </c>
      <c r="T859" t="s">
        <v>235</v>
      </c>
    </row>
    <row r="860" spans="11:20" x14ac:dyDescent="0.3">
      <c r="K860" t="s">
        <v>615</v>
      </c>
      <c r="L860">
        <v>23.81</v>
      </c>
      <c r="M860">
        <v>242.15</v>
      </c>
      <c r="N860" t="s">
        <v>673</v>
      </c>
      <c r="O860">
        <v>21</v>
      </c>
      <c r="P860">
        <v>0.5</v>
      </c>
      <c r="R860" t="s">
        <v>617</v>
      </c>
      <c r="S860">
        <v>32.9</v>
      </c>
      <c r="T860" t="s">
        <v>235</v>
      </c>
    </row>
    <row r="861" spans="11:20" x14ac:dyDescent="0.3">
      <c r="K861" t="s">
        <v>615</v>
      </c>
      <c r="L861">
        <v>23.55</v>
      </c>
      <c r="M861">
        <v>236.92</v>
      </c>
      <c r="N861" t="s">
        <v>616</v>
      </c>
      <c r="O861">
        <v>20.8</v>
      </c>
      <c r="P861">
        <v>0.5</v>
      </c>
      <c r="R861" t="s">
        <v>663</v>
      </c>
      <c r="S861">
        <v>30.6</v>
      </c>
      <c r="T861" t="s">
        <v>235</v>
      </c>
    </row>
    <row r="862" spans="11:20" x14ac:dyDescent="0.3">
      <c r="K862" t="s">
        <v>615</v>
      </c>
      <c r="L862">
        <v>27.52</v>
      </c>
      <c r="M862">
        <v>325.11</v>
      </c>
      <c r="N862" t="s">
        <v>616</v>
      </c>
      <c r="O862">
        <v>24.2</v>
      </c>
      <c r="P862">
        <v>0.5</v>
      </c>
      <c r="R862" t="s">
        <v>617</v>
      </c>
      <c r="S862">
        <v>45.1</v>
      </c>
      <c r="T862" t="s">
        <v>235</v>
      </c>
    </row>
    <row r="863" spans="11:20" x14ac:dyDescent="0.3">
      <c r="K863" t="s">
        <v>615</v>
      </c>
      <c r="L863">
        <v>31.5</v>
      </c>
      <c r="M863">
        <v>424.5</v>
      </c>
      <c r="N863" t="s">
        <v>619</v>
      </c>
      <c r="O863">
        <v>28</v>
      </c>
      <c r="P863">
        <v>0.5</v>
      </c>
      <c r="R863" t="s">
        <v>666</v>
      </c>
      <c r="S863">
        <v>50.7</v>
      </c>
      <c r="T863" t="s">
        <v>235</v>
      </c>
    </row>
    <row r="864" spans="11:20" x14ac:dyDescent="0.3">
      <c r="K864" t="s">
        <v>615</v>
      </c>
      <c r="L864">
        <v>31.55</v>
      </c>
      <c r="M864">
        <v>425.43</v>
      </c>
      <c r="N864" t="s">
        <v>619</v>
      </c>
      <c r="O864">
        <v>28.1</v>
      </c>
      <c r="P864">
        <v>0.5</v>
      </c>
      <c r="R864" t="s">
        <v>639</v>
      </c>
      <c r="S864">
        <v>46.5</v>
      </c>
      <c r="T864" t="s">
        <v>235</v>
      </c>
    </row>
    <row r="865" spans="11:20" x14ac:dyDescent="0.3">
      <c r="K865" t="s">
        <v>615</v>
      </c>
      <c r="L865">
        <v>31.55</v>
      </c>
      <c r="M865">
        <v>426.21</v>
      </c>
      <c r="N865" t="s">
        <v>619</v>
      </c>
      <c r="O865">
        <v>28.1</v>
      </c>
      <c r="P865">
        <v>0.5</v>
      </c>
      <c r="R865" t="s">
        <v>666</v>
      </c>
      <c r="S865">
        <v>47.6</v>
      </c>
      <c r="T865" t="s">
        <v>235</v>
      </c>
    </row>
    <row r="866" spans="11:20" x14ac:dyDescent="0.3">
      <c r="K866" t="s">
        <v>615</v>
      </c>
      <c r="L866">
        <v>31.51</v>
      </c>
      <c r="M866">
        <v>424.14</v>
      </c>
      <c r="N866" t="s">
        <v>616</v>
      </c>
      <c r="O866">
        <v>28.5</v>
      </c>
      <c r="P866">
        <v>0.5</v>
      </c>
      <c r="R866" t="s">
        <v>617</v>
      </c>
      <c r="S866">
        <v>41.5</v>
      </c>
      <c r="T866" t="s">
        <v>235</v>
      </c>
    </row>
    <row r="867" spans="11:20" x14ac:dyDescent="0.3">
      <c r="K867" t="s">
        <v>639</v>
      </c>
      <c r="L867">
        <v>31.5</v>
      </c>
      <c r="M867">
        <v>428</v>
      </c>
      <c r="N867" t="s">
        <v>616</v>
      </c>
      <c r="O867">
        <v>28</v>
      </c>
      <c r="P867">
        <v>0.5</v>
      </c>
      <c r="R867" t="s">
        <v>617</v>
      </c>
      <c r="S867">
        <v>44</v>
      </c>
      <c r="T867" t="s">
        <v>235</v>
      </c>
    </row>
    <row r="868" spans="11:20" x14ac:dyDescent="0.3">
      <c r="K868" t="s">
        <v>615</v>
      </c>
      <c r="L868">
        <v>31.51</v>
      </c>
      <c r="M868">
        <v>424.14</v>
      </c>
      <c r="N868" t="s">
        <v>616</v>
      </c>
      <c r="O868">
        <v>28</v>
      </c>
      <c r="P868">
        <v>0.5</v>
      </c>
      <c r="R868" t="s">
        <v>617</v>
      </c>
      <c r="S868">
        <v>53</v>
      </c>
      <c r="T868" t="s">
        <v>235</v>
      </c>
    </row>
    <row r="869" spans="11:20" x14ac:dyDescent="0.3">
      <c r="K869" t="s">
        <v>615</v>
      </c>
      <c r="L869">
        <v>31.51</v>
      </c>
      <c r="M869">
        <v>424.14</v>
      </c>
      <c r="N869" t="s">
        <v>616</v>
      </c>
      <c r="O869">
        <v>28</v>
      </c>
      <c r="P869">
        <v>0.5</v>
      </c>
      <c r="R869" t="s">
        <v>617</v>
      </c>
      <c r="S869">
        <v>47.2</v>
      </c>
      <c r="T869" t="s">
        <v>235</v>
      </c>
    </row>
    <row r="870" spans="11:20" x14ac:dyDescent="0.3">
      <c r="K870" t="s">
        <v>615</v>
      </c>
      <c r="L870">
        <v>39.799999999999997</v>
      </c>
      <c r="M870">
        <v>668.65</v>
      </c>
      <c r="N870" t="s">
        <v>619</v>
      </c>
      <c r="O870">
        <v>37</v>
      </c>
      <c r="P870">
        <v>0.5</v>
      </c>
      <c r="R870" t="s">
        <v>639</v>
      </c>
      <c r="S870">
        <v>55.2</v>
      </c>
      <c r="T870" t="s">
        <v>235</v>
      </c>
    </row>
    <row r="871" spans="11:20" x14ac:dyDescent="0.3">
      <c r="K871" t="s">
        <v>615</v>
      </c>
      <c r="L871">
        <v>39.5</v>
      </c>
      <c r="M871">
        <v>660.63</v>
      </c>
      <c r="N871" t="s">
        <v>619</v>
      </c>
      <c r="O871">
        <v>36.700000000000003</v>
      </c>
      <c r="P871">
        <v>0.5</v>
      </c>
      <c r="R871" t="s">
        <v>639</v>
      </c>
      <c r="S871">
        <v>62</v>
      </c>
      <c r="T871" t="s">
        <v>235</v>
      </c>
    </row>
    <row r="872" spans="11:20" x14ac:dyDescent="0.3">
      <c r="K872" t="s">
        <v>615</v>
      </c>
      <c r="L872">
        <v>40</v>
      </c>
      <c r="M872">
        <v>659.94</v>
      </c>
      <c r="N872" t="s">
        <v>619</v>
      </c>
      <c r="O872">
        <v>36.700000000000003</v>
      </c>
      <c r="P872">
        <v>0.5</v>
      </c>
      <c r="R872" t="s">
        <v>663</v>
      </c>
      <c r="S872">
        <v>65.099999999999994</v>
      </c>
      <c r="T872" t="s">
        <v>235</v>
      </c>
    </row>
    <row r="873" spans="11:20" x14ac:dyDescent="0.3">
      <c r="K873" t="s">
        <v>615</v>
      </c>
      <c r="L873">
        <v>39.96</v>
      </c>
      <c r="M873">
        <v>683.82</v>
      </c>
      <c r="N873" t="s">
        <v>619</v>
      </c>
      <c r="O873">
        <v>37.6</v>
      </c>
      <c r="P873">
        <v>0.5</v>
      </c>
      <c r="R873" t="s">
        <v>617</v>
      </c>
      <c r="S873">
        <v>61.2</v>
      </c>
      <c r="T873" t="s">
        <v>235</v>
      </c>
    </row>
    <row r="874" spans="11:20" x14ac:dyDescent="0.3">
      <c r="K874" t="s">
        <v>639</v>
      </c>
      <c r="L874">
        <v>41.5</v>
      </c>
      <c r="M874">
        <v>735</v>
      </c>
      <c r="N874" t="s">
        <v>619</v>
      </c>
      <c r="O874">
        <v>39</v>
      </c>
      <c r="P874">
        <v>0.5</v>
      </c>
      <c r="R874" t="s">
        <v>617</v>
      </c>
      <c r="S874">
        <v>63</v>
      </c>
      <c r="T874" t="s">
        <v>235</v>
      </c>
    </row>
    <row r="875" spans="11:20" x14ac:dyDescent="0.3">
      <c r="K875" t="s">
        <v>615</v>
      </c>
      <c r="L875">
        <v>42.51</v>
      </c>
      <c r="M875">
        <v>772.12</v>
      </c>
      <c r="N875" t="s">
        <v>621</v>
      </c>
      <c r="O875">
        <v>61.1</v>
      </c>
      <c r="P875">
        <v>0.5</v>
      </c>
      <c r="R875" t="s">
        <v>639</v>
      </c>
      <c r="S875">
        <v>108.5</v>
      </c>
      <c r="T875" t="s">
        <v>235</v>
      </c>
    </row>
    <row r="876" spans="11:20" x14ac:dyDescent="0.3">
      <c r="K876" t="s">
        <v>615</v>
      </c>
      <c r="L876">
        <v>42.41</v>
      </c>
      <c r="M876">
        <v>768.61</v>
      </c>
      <c r="N876" t="s">
        <v>619</v>
      </c>
      <c r="O876">
        <v>40.6</v>
      </c>
      <c r="P876">
        <v>0.5</v>
      </c>
      <c r="R876" t="s">
        <v>639</v>
      </c>
      <c r="S876">
        <v>70.3</v>
      </c>
      <c r="T876" t="s">
        <v>235</v>
      </c>
    </row>
    <row r="877" spans="11:20" x14ac:dyDescent="0.3">
      <c r="K877" t="s">
        <v>615</v>
      </c>
      <c r="L877">
        <v>48</v>
      </c>
      <c r="M877">
        <v>968.61</v>
      </c>
      <c r="N877" t="s">
        <v>619</v>
      </c>
      <c r="O877">
        <v>47.3</v>
      </c>
      <c r="P877">
        <v>0.5</v>
      </c>
      <c r="R877" t="s">
        <v>663</v>
      </c>
      <c r="S877">
        <v>73.5</v>
      </c>
      <c r="T877" t="s">
        <v>235</v>
      </c>
    </row>
    <row r="878" spans="11:20" x14ac:dyDescent="0.3">
      <c r="K878" t="s">
        <v>615</v>
      </c>
      <c r="L878">
        <v>47.61</v>
      </c>
      <c r="M878">
        <v>968.61</v>
      </c>
      <c r="N878" t="s">
        <v>621</v>
      </c>
      <c r="O878">
        <v>70.900000000000006</v>
      </c>
      <c r="P878">
        <v>0.5</v>
      </c>
      <c r="R878" t="s">
        <v>639</v>
      </c>
      <c r="S878">
        <v>127.1</v>
      </c>
      <c r="T878" t="s">
        <v>235</v>
      </c>
    </row>
    <row r="879" spans="11:20" x14ac:dyDescent="0.3">
      <c r="K879" t="s">
        <v>615</v>
      </c>
      <c r="L879">
        <v>49.55</v>
      </c>
      <c r="M879">
        <v>1049.0899999999999</v>
      </c>
      <c r="N879" t="s">
        <v>621</v>
      </c>
      <c r="O879">
        <v>74.7</v>
      </c>
      <c r="P879">
        <v>0.5</v>
      </c>
      <c r="R879" t="s">
        <v>678</v>
      </c>
      <c r="S879">
        <v>128.4</v>
      </c>
      <c r="T879" t="s">
        <v>235</v>
      </c>
    </row>
    <row r="880" spans="11:20" x14ac:dyDescent="0.3">
      <c r="K880" t="s">
        <v>615</v>
      </c>
      <c r="L880">
        <v>50</v>
      </c>
      <c r="M880">
        <v>1047.01</v>
      </c>
      <c r="N880" t="s">
        <v>619</v>
      </c>
      <c r="O880">
        <v>49.8</v>
      </c>
      <c r="P880">
        <v>0.5</v>
      </c>
      <c r="R880" t="s">
        <v>617</v>
      </c>
      <c r="S880">
        <v>82.5</v>
      </c>
      <c r="T880" t="s">
        <v>235</v>
      </c>
    </row>
    <row r="881" spans="11:20" x14ac:dyDescent="0.3">
      <c r="K881" t="s">
        <v>615</v>
      </c>
      <c r="L881">
        <v>49.37</v>
      </c>
      <c r="M881">
        <v>1039.28</v>
      </c>
      <c r="N881" t="s">
        <v>619</v>
      </c>
      <c r="O881">
        <v>49.5</v>
      </c>
      <c r="P881">
        <v>0.5</v>
      </c>
      <c r="R881" t="s">
        <v>617</v>
      </c>
      <c r="S881">
        <v>82.6</v>
      </c>
      <c r="T881" t="s">
        <v>235</v>
      </c>
    </row>
    <row r="882" spans="11:20" x14ac:dyDescent="0.3">
      <c r="K882" t="s">
        <v>615</v>
      </c>
      <c r="L882">
        <v>49.5</v>
      </c>
      <c r="M882">
        <v>1048.8699999999999</v>
      </c>
      <c r="N882" t="s">
        <v>621</v>
      </c>
      <c r="O882">
        <v>74.7</v>
      </c>
      <c r="P882">
        <v>0.5</v>
      </c>
      <c r="R882" t="s">
        <v>639</v>
      </c>
      <c r="S882">
        <v>132.5</v>
      </c>
      <c r="T882" t="s">
        <v>235</v>
      </c>
    </row>
    <row r="883" spans="11:20" x14ac:dyDescent="0.3">
      <c r="K883" t="s">
        <v>615</v>
      </c>
      <c r="L883">
        <v>50</v>
      </c>
      <c r="M883">
        <v>1047.01</v>
      </c>
      <c r="N883" t="s">
        <v>621</v>
      </c>
      <c r="O883">
        <v>74.599999999999994</v>
      </c>
      <c r="P883">
        <v>0.5</v>
      </c>
      <c r="R883" t="s">
        <v>617</v>
      </c>
      <c r="S883">
        <v>130.4</v>
      </c>
      <c r="T883" t="s">
        <v>235</v>
      </c>
    </row>
    <row r="884" spans="11:20" x14ac:dyDescent="0.3">
      <c r="K884" t="s">
        <v>615</v>
      </c>
      <c r="L884">
        <v>49.51</v>
      </c>
      <c r="M884">
        <v>1047.68</v>
      </c>
      <c r="N884" t="s">
        <v>621</v>
      </c>
      <c r="O884">
        <v>74.7</v>
      </c>
      <c r="P884">
        <v>0.5</v>
      </c>
      <c r="R884" t="s">
        <v>639</v>
      </c>
      <c r="S884">
        <v>122.2</v>
      </c>
      <c r="T884" t="s">
        <v>235</v>
      </c>
    </row>
  </sheetData>
  <autoFilter ref="K1:T884"/>
  <hyperlinks>
    <hyperlink ref="B1"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Z5JXHV6S7NA6-3-113402</_dlc_DocId>
    <_dlc_DocIdUrl xmlns="8eef3743-c7b3-4cbe-8837-b6e805be353c">
      <Url>http://efilingspinternal/_layouts/DocIdRedir.aspx?ID=Z5JXHV6S7NA6-3-113402</Url>
      <Description>Z5JXHV6S7NA6-3-113402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0DC1893-D0AB-46A4-8018-8F108BC7B185}"/>
</file>

<file path=customXml/itemProps2.xml><?xml version="1.0" encoding="utf-8"?>
<ds:datastoreItem xmlns:ds="http://schemas.openxmlformats.org/officeDocument/2006/customXml" ds:itemID="{8602D9F5-8F83-40C3-B953-E1A77699DF15}"/>
</file>

<file path=customXml/itemProps3.xml><?xml version="1.0" encoding="utf-8"?>
<ds:datastoreItem xmlns:ds="http://schemas.openxmlformats.org/officeDocument/2006/customXml" ds:itemID="{272AA07A-7B03-4ECD-AD25-9670DEC054D9}"/>
</file>

<file path=customXml/itemProps4.xml><?xml version="1.0" encoding="utf-8"?>
<ds:datastoreItem xmlns:ds="http://schemas.openxmlformats.org/officeDocument/2006/customXml" ds:itemID="{DDDFC17A-094E-4D8C-A436-4F1CEC8F222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16</vt:i4>
      </vt:variant>
      <vt:variant>
        <vt:lpstr>Charts</vt:lpstr>
      </vt:variant>
      <vt:variant>
        <vt:i4>2</vt:i4>
      </vt:variant>
      <vt:variant>
        <vt:lpstr>Named Ranges</vt:lpstr>
      </vt:variant>
      <vt:variant>
        <vt:i4>14</vt:i4>
      </vt:variant>
    </vt:vector>
  </HeadingPairs>
  <TitlesOfParts>
    <vt:vector size="32" baseType="lpstr">
      <vt:lpstr>Home</vt:lpstr>
      <vt:lpstr>Program Analysis</vt:lpstr>
      <vt:lpstr>SB 350 Potential</vt:lpstr>
      <vt:lpstr>Reference</vt:lpstr>
      <vt:lpstr>Conservative</vt:lpstr>
      <vt:lpstr>Aggressive</vt:lpstr>
      <vt:lpstr>C&amp;S List</vt:lpstr>
      <vt:lpstr>Potential Stds</vt:lpstr>
      <vt:lpstr>TV calcs</vt:lpstr>
      <vt:lpstr>Imaging calcs</vt:lpstr>
      <vt:lpstr>Audio calcs</vt:lpstr>
      <vt:lpstr>Superseded C&amp;S</vt:lpstr>
      <vt:lpstr>RASS 2009</vt:lpstr>
      <vt:lpstr>CUES 2009</vt:lpstr>
      <vt:lpstr>Ref</vt:lpstr>
      <vt:lpstr>Look-up</vt:lpstr>
      <vt:lpstr>Graph (electricity)</vt:lpstr>
      <vt:lpstr>Graph (gas)</vt:lpstr>
      <vt:lpstr>'Program Analysis'!_ftn1</vt:lpstr>
      <vt:lpstr>'Program Analysis'!_ftn2</vt:lpstr>
      <vt:lpstr>'Program Analysis'!_ftn3</vt:lpstr>
      <vt:lpstr>'Program Analysis'!_ftn4</vt:lpstr>
      <vt:lpstr>'Program Analysis'!_ftnref1</vt:lpstr>
      <vt:lpstr>'Program Analysis'!_ftnref2</vt:lpstr>
      <vt:lpstr>'Program Analysis'!_ftnref3</vt:lpstr>
      <vt:lpstr>'Program Analysis'!_ftnref4</vt:lpstr>
      <vt:lpstr>Bldg_Sectors</vt:lpstr>
      <vt:lpstr>Non_Residential</vt:lpstr>
      <vt:lpstr>NR_BldgTypes</vt:lpstr>
      <vt:lpstr>Programs</vt:lpstr>
      <vt:lpstr>RES_BldgTypes</vt:lpstr>
      <vt:lpstr>Residential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A3 - Federal Appliance Standards</dc:title>
  <dc:creator>Julie Penning</dc:creator>
  <cp:lastModifiedBy>Skye Lei</cp:lastModifiedBy>
  <dcterms:created xsi:type="dcterms:W3CDTF">2017-02-11T00:46:13Z</dcterms:created>
  <dcterms:modified xsi:type="dcterms:W3CDTF">2017-09-01T02:14:03Z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99d6d98d-061c-4817-b690-afbd599795f5</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http://efilingspinternal/PendingDocuments/17-IEPR-06/20171025T135105_Program_Workbook_A3FedApp.xlsx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2492100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