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heckCompatibility="1" defaultThemeVersion="124226"/>
  <bookViews>
    <workbookView xWindow="885" yWindow="4830" windowWidth="15735" windowHeight="5940"/>
  </bookViews>
  <sheets>
    <sheet name="Cover" sheetId="6" r:id="rId1"/>
    <sheet name="GHG Price Calculations 2017" sheetId="18" r:id="rId2"/>
    <sheet name="2018 Auction Data" sheetId="19" r:id="rId3"/>
  </sheets>
  <definedNames>
    <definedName name="_xlnm.Print_Area" localSheetId="1">'GHG Price Calculations 2017'!$A$3:$S$32</definedName>
    <definedName name="_xlnm.Print_Titles" localSheetId="1">'GHG Price Calculations 2017'!$A:$A,'GHG Price Calculations 2017'!$5:$5</definedName>
  </definedNames>
  <calcPr calcId="145621"/>
</workbook>
</file>

<file path=xl/calcChain.xml><?xml version="1.0" encoding="utf-8"?>
<calcChain xmlns="http://schemas.openxmlformats.org/spreadsheetml/2006/main">
  <c r="E12" i="18" l="1"/>
  <c r="F12" i="18" s="1"/>
  <c r="G12" i="18" s="1"/>
  <c r="H12" i="18" s="1"/>
  <c r="I12" i="18" s="1"/>
  <c r="J12" i="18" s="1"/>
  <c r="K12" i="18" s="1"/>
  <c r="L12" i="18" s="1"/>
  <c r="M12" i="18" s="1"/>
  <c r="N12" i="18" s="1"/>
  <c r="O12" i="18" s="1"/>
  <c r="P12" i="18" s="1"/>
  <c r="Q12" i="18" s="1"/>
  <c r="R12" i="18" s="1"/>
  <c r="S12" i="18" s="1"/>
  <c r="B43" i="18" l="1"/>
  <c r="F7" i="18" l="1"/>
  <c r="G7" i="18" s="1"/>
  <c r="H7" i="18" s="1"/>
  <c r="I7" i="18" s="1"/>
  <c r="J7" i="18" s="1"/>
  <c r="K7" i="18" s="1"/>
  <c r="L7" i="18" s="1"/>
  <c r="M7" i="18" s="1"/>
  <c r="N7" i="18" s="1"/>
  <c r="E30" i="19"/>
  <c r="E31" i="19" s="1"/>
  <c r="F25" i="19"/>
  <c r="F24" i="19"/>
  <c r="F23" i="19"/>
  <c r="F22" i="19"/>
  <c r="F21" i="19"/>
  <c r="F20" i="19"/>
  <c r="F19" i="19"/>
  <c r="F18" i="19"/>
  <c r="F17" i="19"/>
  <c r="F16" i="19"/>
  <c r="F15" i="19"/>
  <c r="F14" i="19"/>
  <c r="F13" i="19"/>
  <c r="F12" i="19"/>
  <c r="F11" i="19"/>
  <c r="F10" i="19"/>
  <c r="F9" i="19"/>
  <c r="A9" i="19"/>
  <c r="A13" i="19" s="1"/>
  <c r="A17" i="19" s="1"/>
  <c r="A21" i="19" s="1"/>
  <c r="F8" i="19"/>
  <c r="F7" i="19"/>
  <c r="F6" i="19"/>
  <c r="A6" i="19"/>
  <c r="A7" i="19" s="1"/>
  <c r="F5" i="19"/>
  <c r="F9" i="18"/>
  <c r="D41" i="18"/>
  <c r="C24" i="18"/>
  <c r="D13" i="18"/>
  <c r="E13" i="18" s="1"/>
  <c r="A8" i="19" l="1"/>
  <c r="A12" i="19" s="1"/>
  <c r="A16" i="19" s="1"/>
  <c r="A20" i="19" s="1"/>
  <c r="A24" i="19" s="1"/>
  <c r="A11" i="19"/>
  <c r="A15" i="19" s="1"/>
  <c r="A19" i="19" s="1"/>
  <c r="A23" i="19" s="1"/>
  <c r="F31" i="19"/>
  <c r="E32" i="19"/>
  <c r="A10" i="19"/>
  <c r="A14" i="19" s="1"/>
  <c r="A18" i="19" s="1"/>
  <c r="A22" i="19" s="1"/>
  <c r="F13" i="18"/>
  <c r="E24" i="18"/>
  <c r="D24" i="18"/>
  <c r="G31" i="19" l="1"/>
  <c r="H31" i="19" s="1"/>
  <c r="D11" i="18" s="1"/>
  <c r="D7" i="18" s="1"/>
  <c r="D20" i="18" s="1"/>
  <c r="F30" i="19"/>
  <c r="F29" i="19"/>
  <c r="E33" i="19"/>
  <c r="F32" i="19"/>
  <c r="G32" i="19"/>
  <c r="G30" i="19"/>
  <c r="H30" i="19" s="1"/>
  <c r="C11" i="18" s="1"/>
  <c r="C7" i="18" s="1"/>
  <c r="C20" i="18" s="1"/>
  <c r="G29" i="19"/>
  <c r="F20" i="18"/>
  <c r="G13" i="18"/>
  <c r="F24" i="18"/>
  <c r="F21" i="18"/>
  <c r="H32" i="19" l="1"/>
  <c r="E11" i="18"/>
  <c r="H29" i="19"/>
  <c r="B11" i="18" s="1"/>
  <c r="G33" i="19"/>
  <c r="F33" i="19"/>
  <c r="H13" i="18"/>
  <c r="G24" i="18"/>
  <c r="G20" i="18"/>
  <c r="B20" i="18" l="1"/>
  <c r="B7" i="18"/>
  <c r="E23" i="18"/>
  <c r="B45" i="18"/>
  <c r="E7" i="18"/>
  <c r="E20" i="18" s="1"/>
  <c r="H33" i="19"/>
  <c r="F11" i="18" s="1"/>
  <c r="H20" i="18"/>
  <c r="H24" i="18"/>
  <c r="I13" i="18"/>
  <c r="I24" i="18" s="1"/>
  <c r="B39" i="18" l="1"/>
  <c r="D39" i="18" s="1"/>
  <c r="D45" i="18"/>
  <c r="B46" i="18"/>
  <c r="D46" i="18" s="1"/>
  <c r="B40" i="18"/>
  <c r="D40" i="18" s="1"/>
  <c r="F23" i="18"/>
  <c r="I20" i="18"/>
  <c r="E39" i="18" l="1" a="1"/>
  <c r="F39" i="18" s="1"/>
  <c r="G23" i="18"/>
  <c r="J20" i="18"/>
  <c r="F41" i="18" l="1"/>
  <c r="E39" i="18"/>
  <c r="I8" i="18" s="1"/>
  <c r="I21" i="18" s="1"/>
  <c r="F40" i="18"/>
  <c r="E41" i="18"/>
  <c r="E40" i="18"/>
  <c r="H23" i="18"/>
  <c r="K20" i="18"/>
  <c r="G8" i="18" l="1"/>
  <c r="G21" i="18" s="1"/>
  <c r="P8" i="18"/>
  <c r="P21" i="18" s="1"/>
  <c r="L8" i="18"/>
  <c r="L21" i="18" s="1"/>
  <c r="H8" i="18"/>
  <c r="H21" i="18" s="1"/>
  <c r="S8" i="18"/>
  <c r="O8" i="18"/>
  <c r="O21" i="18" s="1"/>
  <c r="K8" i="18"/>
  <c r="K21" i="18" s="1"/>
  <c r="N8" i="18"/>
  <c r="N21" i="18" s="1"/>
  <c r="R8" i="18"/>
  <c r="R21" i="18" s="1"/>
  <c r="M8" i="18"/>
  <c r="M21" i="18" s="1"/>
  <c r="J8" i="18"/>
  <c r="J21" i="18" s="1"/>
  <c r="Q8" i="18"/>
  <c r="Q21" i="18" s="1"/>
  <c r="I23" i="18"/>
  <c r="S21" i="18"/>
  <c r="L20" i="18"/>
  <c r="J13" i="18" l="1"/>
  <c r="J24" i="18" s="1"/>
  <c r="J23" i="18"/>
  <c r="M20" i="18"/>
  <c r="K13" i="18" l="1"/>
  <c r="K24" i="18" s="1"/>
  <c r="K23" i="18"/>
  <c r="N20" i="18"/>
  <c r="O7" i="18"/>
  <c r="L13" i="18" l="1"/>
  <c r="L24" i="18" s="1"/>
  <c r="L23" i="18"/>
  <c r="P7" i="18"/>
  <c r="O20" i="18"/>
  <c r="M13" i="18" l="1"/>
  <c r="M24" i="18" s="1"/>
  <c r="M23" i="18"/>
  <c r="Q7" i="18"/>
  <c r="P20" i="18"/>
  <c r="N13" i="18" l="1"/>
  <c r="N24" i="18" s="1"/>
  <c r="N23" i="18"/>
  <c r="R7" i="18"/>
  <c r="Q20" i="18"/>
  <c r="O13" i="18" l="1"/>
  <c r="O24" i="18" s="1"/>
  <c r="O23" i="18"/>
  <c r="S7" i="18"/>
  <c r="R20" i="18"/>
  <c r="P13" i="18" l="1"/>
  <c r="P24" i="18" s="1"/>
  <c r="P23" i="18"/>
  <c r="S20" i="18"/>
  <c r="Q13" i="18" l="1"/>
  <c r="Q24" i="18" s="1"/>
  <c r="Q23" i="18"/>
  <c r="R13" i="18" l="1"/>
  <c r="R24" i="18" s="1"/>
  <c r="R23" i="18"/>
  <c r="S13" i="18" l="1"/>
  <c r="S23" i="18"/>
  <c r="F22" i="18"/>
  <c r="S24" i="18" l="1"/>
  <c r="B47" i="18"/>
  <c r="D47" i="18" s="1"/>
  <c r="E45" i="18" s="1" a="1"/>
  <c r="F45" i="18" l="1"/>
  <c r="E45" i="18"/>
  <c r="E47" i="18"/>
  <c r="F47" i="18"/>
  <c r="F46" i="18"/>
  <c r="E46" i="18"/>
  <c r="N9" i="18" l="1"/>
  <c r="N22" i="18" s="1"/>
  <c r="O9" i="18"/>
  <c r="O22" i="18" s="1"/>
  <c r="H9" i="18"/>
  <c r="H22" i="18" s="1"/>
  <c r="P9" i="18"/>
  <c r="P22" i="18" s="1"/>
  <c r="I9" i="18"/>
  <c r="I22" i="18" s="1"/>
  <c r="Q9" i="18"/>
  <c r="Q22" i="18" s="1"/>
  <c r="J9" i="18"/>
  <c r="J22" i="18" s="1"/>
  <c r="R9" i="18"/>
  <c r="R22" i="18" s="1"/>
  <c r="K9" i="18"/>
  <c r="K22" i="18" s="1"/>
  <c r="S9" i="18"/>
  <c r="L9" i="18"/>
  <c r="L22" i="18" s="1"/>
  <c r="M9" i="18"/>
  <c r="M22" i="18" s="1"/>
  <c r="G9" i="18"/>
  <c r="G22" i="18" s="1"/>
  <c r="S22" i="18" l="1"/>
</calcChain>
</file>

<file path=xl/sharedStrings.xml><?xml version="1.0" encoding="utf-8"?>
<sst xmlns="http://schemas.openxmlformats.org/spreadsheetml/2006/main" count="72" uniqueCount="67">
  <si>
    <t>APCR</t>
  </si>
  <si>
    <t>t</t>
  </si>
  <si>
    <t>Fitted exponential coefs</t>
  </si>
  <si>
    <t>high price</t>
  </si>
  <si>
    <t>Low Price (High Consumption Scenario)</t>
  </si>
  <si>
    <t>High Price (Low Consumption Scenario)</t>
  </si>
  <si>
    <t>Mid Price (Mid Consumption Scenario)</t>
  </si>
  <si>
    <t>PROPOSED AMENDMENTS TO THE CALIFORNIA CAP ON GREENHOUSE GAS EMISSIONS AND</t>
  </si>
  <si>
    <t>MARKET-BASED COMPLIANCE MECHANISMS</t>
  </si>
  <si>
    <t>CPI Annual Rate of Change</t>
  </si>
  <si>
    <t>Regression Estimates for exponential curves</t>
  </si>
  <si>
    <t>Mid case</t>
  </si>
  <si>
    <t>Current and Target Price in 2030</t>
  </si>
  <si>
    <t>Mid</t>
  </si>
  <si>
    <r>
      <rPr>
        <b/>
        <sz val="12"/>
        <rFont val="Arial"/>
        <family val="2"/>
      </rPr>
      <t>CALIFORNIA CAP-AND-TRADE PROGRAM</t>
    </r>
  </si>
  <si>
    <r>
      <rPr>
        <b/>
        <sz val="12"/>
        <rFont val="Arial"/>
        <family val="2"/>
      </rPr>
      <t>SUMMARY OF JOINT AUCTION SETTLEMENT PRICES AND RESULTS</t>
    </r>
  </si>
  <si>
    <r>
      <rPr>
        <b/>
        <sz val="11"/>
        <rFont val="Arial"/>
        <family val="2"/>
      </rPr>
      <t>Last updated November 2017</t>
    </r>
  </si>
  <si>
    <t>Year</t>
  </si>
  <si>
    <r>
      <rPr>
        <b/>
        <sz val="12"/>
        <rFont val="Arial"/>
        <family val="2"/>
      </rPr>
      <t>Auction Name</t>
    </r>
  </si>
  <si>
    <r>
      <rPr>
        <b/>
        <sz val="12"/>
        <rFont val="Arial"/>
        <family val="2"/>
      </rPr>
      <t>Total Current Vintage Allowances Offered</t>
    </r>
  </si>
  <si>
    <r>
      <rPr>
        <b/>
        <sz val="12"/>
        <rFont val="Arial"/>
        <family val="2"/>
      </rPr>
      <t>Total Current Vintage Allowances Sold</t>
    </r>
  </si>
  <si>
    <r>
      <rPr>
        <b/>
        <sz val="12"/>
        <rFont val="Arial"/>
        <family val="2"/>
      </rPr>
      <t>Current Auction Settlement Price</t>
    </r>
  </si>
  <si>
    <t>Revenues</t>
  </si>
  <si>
    <r>
      <rPr>
        <b/>
        <sz val="12"/>
        <rFont val="Arial"/>
        <family val="2"/>
      </rPr>
      <t>Total Future Vintage Allowances Offered</t>
    </r>
  </si>
  <si>
    <r>
      <rPr>
        <b/>
        <sz val="12"/>
        <rFont val="Arial"/>
        <family val="2"/>
      </rPr>
      <t>Total Future Vintage Allowances Sold</t>
    </r>
  </si>
  <si>
    <r>
      <rPr>
        <b/>
        <sz val="12"/>
        <rFont val="Arial"/>
        <family val="2"/>
      </rPr>
      <t>Advance Auction Settlement Price</t>
    </r>
  </si>
  <si>
    <r>
      <rPr>
        <b/>
        <sz val="12"/>
        <rFont val="Arial"/>
        <family val="2"/>
      </rPr>
      <t>November 2017 Joint Auction #13</t>
    </r>
  </si>
  <si>
    <r>
      <rPr>
        <b/>
        <sz val="12"/>
        <rFont val="Arial"/>
        <family val="2"/>
      </rPr>
      <t>August 2017 Joint Auction #12</t>
    </r>
  </si>
  <si>
    <r>
      <rPr>
        <b/>
        <sz val="12"/>
        <rFont val="Arial"/>
        <family val="2"/>
      </rPr>
      <t>May 2017 Joint Auction #11</t>
    </r>
  </si>
  <si>
    <r>
      <rPr>
        <b/>
        <sz val="12"/>
        <rFont val="Arial"/>
        <family val="2"/>
      </rPr>
      <t>February 2017 Joint Auction #10</t>
    </r>
  </si>
  <si>
    <r>
      <rPr>
        <b/>
        <sz val="12"/>
        <rFont val="Arial"/>
        <family val="2"/>
      </rPr>
      <t>November 2016 Joint Auction #9</t>
    </r>
  </si>
  <si>
    <r>
      <rPr>
        <b/>
        <sz val="12"/>
        <rFont val="Arial"/>
        <family val="2"/>
      </rPr>
      <t>August 2016 Joint Auction #8</t>
    </r>
  </si>
  <si>
    <r>
      <rPr>
        <b/>
        <sz val="12"/>
        <rFont val="Arial"/>
        <family val="2"/>
      </rPr>
      <t>May 2016 Joint Auction #7</t>
    </r>
  </si>
  <si>
    <r>
      <rPr>
        <b/>
        <sz val="12"/>
        <rFont val="Arial"/>
        <family val="2"/>
      </rPr>
      <t>February 2016 Joint Auction #6</t>
    </r>
  </si>
  <si>
    <r>
      <rPr>
        <b/>
        <sz val="12"/>
        <rFont val="Arial"/>
        <family val="2"/>
      </rPr>
      <t>November 2015 Joint Auction #5</t>
    </r>
  </si>
  <si>
    <r>
      <rPr>
        <b/>
        <sz val="12"/>
        <rFont val="Arial"/>
        <family val="2"/>
      </rPr>
      <t>August 2015 Joint Auction #4</t>
    </r>
  </si>
  <si>
    <r>
      <rPr>
        <b/>
        <sz val="12"/>
        <rFont val="Arial"/>
        <family val="2"/>
      </rPr>
      <t>May 2015 Joint Auction #3</t>
    </r>
  </si>
  <si>
    <r>
      <rPr>
        <b/>
        <sz val="12"/>
        <rFont val="Arial"/>
        <family val="2"/>
      </rPr>
      <t>February 2015 Joint Auction #2</t>
    </r>
  </si>
  <si>
    <r>
      <rPr>
        <b/>
        <sz val="12"/>
        <rFont val="Arial"/>
        <family val="2"/>
      </rPr>
      <t>November 2014 Joint Auction #1</t>
    </r>
  </si>
  <si>
    <r>
      <rPr>
        <b/>
        <sz val="12"/>
        <rFont val="Arial"/>
        <family val="2"/>
      </rPr>
      <t>August 2014 Auction #8</t>
    </r>
  </si>
  <si>
    <r>
      <rPr>
        <b/>
        <sz val="12"/>
        <rFont val="Arial"/>
        <family val="2"/>
      </rPr>
      <t>May 2014 Auction #7</t>
    </r>
  </si>
  <si>
    <r>
      <rPr>
        <b/>
        <sz val="12"/>
        <rFont val="Arial"/>
        <family val="2"/>
      </rPr>
      <t>February 2014 Auction #6</t>
    </r>
  </si>
  <si>
    <r>
      <rPr>
        <b/>
        <sz val="12"/>
        <rFont val="Arial"/>
        <family val="2"/>
      </rPr>
      <t>November 2013 Auction #5</t>
    </r>
  </si>
  <si>
    <r>
      <rPr>
        <b/>
        <sz val="12"/>
        <rFont val="Arial"/>
        <family val="2"/>
      </rPr>
      <t>August 2013 Auction #4</t>
    </r>
  </si>
  <si>
    <r>
      <rPr>
        <b/>
        <sz val="12"/>
        <rFont val="Arial"/>
        <family val="2"/>
      </rPr>
      <t>May 2013 Auction #3</t>
    </r>
  </si>
  <si>
    <r>
      <rPr>
        <b/>
        <sz val="12"/>
        <rFont val="Arial"/>
        <family val="2"/>
      </rPr>
      <t>February 2013 Auction #2</t>
    </r>
  </si>
  <si>
    <r>
      <rPr>
        <b/>
        <sz val="12"/>
        <rFont val="Arial"/>
        <family val="2"/>
      </rPr>
      <t>November 2012 Auction #1</t>
    </r>
  </si>
  <si>
    <t>volume</t>
  </si>
  <si>
    <t>revenues</t>
  </si>
  <si>
    <t>Revised 2017 IEPR Carbon Price Projections  For Use in Simulation Modeling (GHG emitting generating resources in California only), electricity rates, and natural gas rates.</t>
  </si>
  <si>
    <r>
      <t xml:space="preserve">Carbon Price </t>
    </r>
    <r>
      <rPr>
        <b/>
        <sz val="11"/>
        <color indexed="8"/>
        <rFont val="Calibri"/>
        <family val="2"/>
      </rPr>
      <t>(2016$/metric ton CO</t>
    </r>
    <r>
      <rPr>
        <b/>
        <vertAlign val="subscript"/>
        <sz val="11"/>
        <color indexed="8"/>
        <rFont val="Calibri"/>
        <family val="2"/>
      </rPr>
      <t>2</t>
    </r>
    <r>
      <rPr>
        <b/>
        <sz val="11"/>
        <color indexed="8"/>
        <rFont val="Calibri"/>
        <family val="2"/>
      </rPr>
      <t>E)</t>
    </r>
  </si>
  <si>
    <t>Reserve Price</t>
  </si>
  <si>
    <t>price</t>
  </si>
  <si>
    <t>Annual</t>
  </si>
  <si>
    <t xml:space="preserve">Source: http://www.arb.ca.gov/cc/capandtrade/auction/auction.htm </t>
  </si>
  <si>
    <r>
      <rPr>
        <vertAlign val="superscript"/>
        <sz val="11"/>
        <color theme="1"/>
        <rFont val="Calibri"/>
        <family val="2"/>
      </rPr>
      <t>2</t>
    </r>
    <r>
      <rPr>
        <sz val="11"/>
        <color theme="1"/>
        <rFont val="Calibri"/>
        <family val="2"/>
      </rPr>
      <t xml:space="preserve"> 2013 through 2017 prices are the Vintage Settlement Price of all  auctions (February, May, August and November) weighted by the quantity (metric ton) sold. </t>
    </r>
  </si>
  <si>
    <r>
      <t>Annual Average Auction Sale Price</t>
    </r>
    <r>
      <rPr>
        <vertAlign val="superscript"/>
        <sz val="11"/>
        <color theme="1"/>
        <rFont val="Calibri"/>
        <family val="2"/>
        <scheme val="minor"/>
      </rPr>
      <t>2</t>
    </r>
  </si>
  <si>
    <r>
      <rPr>
        <vertAlign val="superscript"/>
        <sz val="11"/>
        <color theme="1"/>
        <rFont val="Calibri"/>
        <family val="2"/>
      </rPr>
      <t>3</t>
    </r>
    <r>
      <rPr>
        <sz val="11"/>
        <color theme="1"/>
        <rFont val="Calibri"/>
        <family val="2"/>
      </rPr>
      <t>Price increases in calendar years subsequent to 2016 will be equal to the offer price for each tier from the previous calendar year increased by five percent plus the rate of inflation as measured by the Consumer Price Index for All Urban Consumers.</t>
    </r>
  </si>
  <si>
    <r>
      <t>Annual Auction Reserve  Price per section 95911(c)(3)(A)</t>
    </r>
    <r>
      <rPr>
        <vertAlign val="superscript"/>
        <sz val="11"/>
        <color theme="1"/>
        <rFont val="Calibri"/>
        <family val="2"/>
        <scheme val="minor"/>
      </rPr>
      <t>3</t>
    </r>
  </si>
  <si>
    <r>
      <t xml:space="preserve">Tier 1 APCR / Adopted post-2020 APCR </t>
    </r>
    <r>
      <rPr>
        <vertAlign val="superscript"/>
        <sz val="11"/>
        <color theme="1"/>
        <rFont val="Calibri"/>
        <family val="2"/>
        <scheme val="minor"/>
      </rPr>
      <t>4</t>
    </r>
  </si>
  <si>
    <r>
      <t xml:space="preserve">Carbon Price </t>
    </r>
    <r>
      <rPr>
        <b/>
        <sz val="11"/>
        <color indexed="8"/>
        <rFont val="Calibri"/>
        <family val="2"/>
      </rPr>
      <t>(Nominal$/metric ton CO</t>
    </r>
    <r>
      <rPr>
        <b/>
        <vertAlign val="subscript"/>
        <sz val="11"/>
        <color indexed="8"/>
        <rFont val="Calibri"/>
        <family val="2"/>
      </rPr>
      <t>2</t>
    </r>
    <r>
      <rPr>
        <b/>
        <sz val="11"/>
        <color indexed="8"/>
        <rFont val="Calibri"/>
        <family val="2"/>
      </rPr>
      <t>E)</t>
    </r>
    <r>
      <rPr>
        <b/>
        <vertAlign val="superscript"/>
        <sz val="11"/>
        <color indexed="8"/>
        <rFont val="Calibri"/>
        <family val="2"/>
      </rPr>
      <t>1</t>
    </r>
  </si>
  <si>
    <t>Tier 1 APCR / Adopted post-2020 APCR</t>
  </si>
  <si>
    <r>
      <t>CPI: Urban Consumer - All Items, (Index, 2015)</t>
    </r>
    <r>
      <rPr>
        <vertAlign val="superscript"/>
        <sz val="11"/>
        <color theme="1"/>
        <rFont val="Calibri"/>
        <family val="2"/>
        <scheme val="minor"/>
      </rPr>
      <t>5</t>
    </r>
  </si>
  <si>
    <r>
      <t xml:space="preserve">GDP Implicit Deflator Series  2016=100 </t>
    </r>
    <r>
      <rPr>
        <vertAlign val="superscript"/>
        <sz val="11"/>
        <color theme="1"/>
        <rFont val="Calibri"/>
        <family val="2"/>
        <scheme val="minor"/>
      </rPr>
      <t>5</t>
    </r>
  </si>
  <si>
    <r>
      <rPr>
        <vertAlign val="superscript"/>
        <sz val="12"/>
        <color indexed="8"/>
        <rFont val="Calibri"/>
        <family val="2"/>
      </rPr>
      <t>5</t>
    </r>
    <r>
      <rPr>
        <sz val="11"/>
        <color indexed="8"/>
        <rFont val="Calibri"/>
        <family val="2"/>
      </rPr>
      <t xml:space="preserve"> 2017 IEPR  Moody's Analytics, June 2017</t>
    </r>
  </si>
  <si>
    <r>
      <rPr>
        <vertAlign val="superscript"/>
        <sz val="12"/>
        <color indexed="8"/>
        <rFont val="Calibri"/>
        <family val="2"/>
      </rPr>
      <t>4</t>
    </r>
    <r>
      <rPr>
        <sz val="12"/>
        <color indexed="8"/>
        <rFont val="Calibri"/>
        <family val="2"/>
      </rPr>
      <t xml:space="preserve"> </t>
    </r>
    <r>
      <rPr>
        <sz val="11"/>
        <color indexed="8"/>
        <rFont val="Calibri"/>
        <family val="2"/>
      </rPr>
      <t xml:space="preserve"> "Beginning in 2021, each year ARB will set a U.S. dollar Base Reserve Sale Price equal to the annual auction reserve price determined for that year pursuant to section 95911(c)(3)(A), plus a fixed dollar amount. In 2021 the fixed dollar amount will equal the difference between the highest Reserve tier price determined in 2020 and the Annual Auction Reserve Price determined in 2020, increased by the rate of inflation for 2020 as measured by the most recently available twelve months of the Consumer Price Index for all Urban Consumers"17 CCR § 95913. A fixed dollar amount of $60 is assumed based on Initial Statement of Reason, Proposed Amendments to the California Cap on Greenhouse Gas Emissions and Market-Based Compliance Mechanisms Regulation, August 2, 2016.</t>
    </r>
  </si>
  <si>
    <r>
      <rPr>
        <vertAlign val="superscript"/>
        <sz val="11"/>
        <color indexed="8"/>
        <rFont val="Calibri"/>
        <family val="2"/>
      </rPr>
      <t>1</t>
    </r>
    <r>
      <rPr>
        <sz val="11"/>
        <color indexed="8"/>
        <rFont val="Calibri"/>
        <family val="2"/>
      </rPr>
      <t xml:space="preserve">The low consumption (high price) scenario assumes that prices reach the administratively set allowance price containment reserve (APCR) price by 2030. Because credits are bankable over time, economic theory predicts that the price in any given year will equal the present discounted value of the final equilibrium price, so in the low consumption case, prices increase at the rate which produces a final nominal price of $108. In the high consumption (low price) scenario, prices escalate from the most recent historic value at the rate of the auction reserve price (CPI +5%). In the mid case, the final price is assumed to be approximately half way between the high and low.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</si>
</sst>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_(* \(#,##0.00\);_(* &quot;-&quot;??_);_(@_)"/>
    <numFmt numFmtId="164" formatCode="0.0000"/>
    <numFmt numFmtId="165" formatCode="0_);\(0\)"/>
    <numFmt numFmtId="166" formatCode="_(* #,##0.000_);_(* \(#,##0.000\);_(* &quot;-&quot;??_);_(@_)"/>
    <numFmt numFmtId="167" formatCode="_(* #,##0.0000_);_(* \(#,##0.0000\);_(* &quot;-&quot;??_);_(@_)"/>
    <numFmt numFmtId="168" formatCode="0.00000000000"/>
    <numFmt numFmtId="169" formatCode="_(* #,##0.000000000000000000_);_(* \(#,##0.000000000000000000\);_(* &quot;-&quot;??_);_(@_)"/>
    <numFmt numFmtId="170" formatCode="\$0.00"/>
    <numFmt numFmtId="171" formatCode="_(* #,##0.0_);_(* \(#,##0.0\);_(* &quot;-&quot;??_);_(@_)"/>
    <numFmt numFmtId="172" formatCode="0.000"/>
  </numFmts>
  <fonts count="18" x14ac:knownFonts="1">
    <font>
      <sz val="11"/>
      <color theme="1"/>
      <name val="Calibri"/>
      <family val="2"/>
      <scheme val="minor"/>
    </font>
    <font>
      <sz val="11"/>
      <color indexed="8"/>
      <name val="Calibri"/>
      <family val="2"/>
    </font>
    <font>
      <b/>
      <sz val="11"/>
      <color indexed="8"/>
      <name val="Calibri"/>
      <family val="2"/>
    </font>
    <font>
      <sz val="12"/>
      <color indexed="8"/>
      <name val="Calibri"/>
      <family val="2"/>
    </font>
    <font>
      <sz val="11"/>
      <color theme="1"/>
      <name val="Calibri"/>
      <family val="2"/>
      <scheme val="minor"/>
    </font>
    <font>
      <b/>
      <sz val="11"/>
      <color theme="1"/>
      <name val="Calibri"/>
      <family val="2"/>
      <scheme val="minor"/>
    </font>
    <font>
      <b/>
      <sz val="11"/>
      <color theme="1"/>
      <name val="Arial"/>
      <family val="2"/>
    </font>
    <font>
      <sz val="11"/>
      <color theme="1"/>
      <name val="Calibri"/>
      <family val="2"/>
    </font>
    <font>
      <b/>
      <vertAlign val="subscript"/>
      <sz val="11"/>
      <color indexed="8"/>
      <name val="Calibri"/>
      <family val="2"/>
    </font>
    <font>
      <vertAlign val="superscript"/>
      <sz val="11"/>
      <color theme="1"/>
      <name val="Calibri"/>
      <family val="2"/>
      <scheme val="minor"/>
    </font>
    <font>
      <vertAlign val="superscript"/>
      <sz val="11"/>
      <color theme="1"/>
      <name val="Calibri"/>
      <family val="2"/>
    </font>
    <font>
      <sz val="10"/>
      <color rgb="FF000000"/>
      <name val="Times New Roman"/>
      <family val="1"/>
    </font>
    <font>
      <b/>
      <sz val="12"/>
      <name val="Arial"/>
      <family val="2"/>
    </font>
    <font>
      <b/>
      <sz val="11"/>
      <name val="Arial"/>
      <family val="2"/>
    </font>
    <font>
      <sz val="12"/>
      <color rgb="FF000000"/>
      <name val="Arial"/>
      <family val="2"/>
    </font>
    <font>
      <vertAlign val="superscript"/>
      <sz val="12"/>
      <color indexed="8"/>
      <name val="Calibri"/>
      <family val="2"/>
    </font>
    <font>
      <vertAlign val="superscript"/>
      <sz val="11"/>
      <color indexed="8"/>
      <name val="Calibri"/>
      <family val="2"/>
    </font>
    <font>
      <b/>
      <vertAlign val="superscript"/>
      <sz val="11"/>
      <color indexed="8"/>
      <name val="Calibri"/>
      <family val="2"/>
    </font>
  </fonts>
  <fills count="5">
    <fill>
      <patternFill patternType="none"/>
    </fill>
    <fill>
      <patternFill patternType="gray125"/>
    </fill>
    <fill>
      <patternFill patternType="solid">
        <fgColor theme="0"/>
        <bgColor indexed="64"/>
      </patternFill>
    </fill>
    <fill>
      <patternFill patternType="solid">
        <fgColor rgb="FF4F81BC"/>
      </patternFill>
    </fill>
    <fill>
      <patternFill patternType="solid">
        <fgColor rgb="FFB8CCE3"/>
      </patternFill>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43" fontId="4" fillId="0" borderId="0" applyFont="0" applyFill="0" applyBorder="0" applyAlignment="0" applyProtection="0"/>
    <xf numFmtId="9" fontId="4" fillId="0" borderId="0" applyFont="0" applyFill="0" applyBorder="0" applyAlignment="0" applyProtection="0"/>
    <xf numFmtId="0" fontId="11" fillId="0" borderId="0"/>
  </cellStyleXfs>
  <cellXfs count="72">
    <xf numFmtId="0" fontId="0" fillId="0" borderId="0" xfId="0"/>
    <xf numFmtId="0" fontId="6" fillId="0" borderId="0" xfId="0" applyFont="1" applyFill="1"/>
    <xf numFmtId="0" fontId="0" fillId="0" borderId="0" xfId="0" applyFill="1"/>
    <xf numFmtId="2" fontId="0" fillId="0" borderId="0" xfId="0" applyNumberFormat="1"/>
    <xf numFmtId="0" fontId="1" fillId="0" borderId="0" xfId="0" applyFont="1"/>
    <xf numFmtId="2" fontId="0" fillId="0" borderId="0" xfId="0" applyNumberFormat="1" applyFill="1"/>
    <xf numFmtId="43" fontId="0" fillId="0" borderId="0" xfId="0" applyNumberFormat="1"/>
    <xf numFmtId="10" fontId="4" fillId="0" borderId="0" xfId="2" applyNumberFormat="1" applyFont="1" applyFill="1"/>
    <xf numFmtId="164" fontId="4" fillId="0" borderId="0" xfId="2" applyNumberFormat="1" applyFont="1" applyFill="1"/>
    <xf numFmtId="43" fontId="4" fillId="0" borderId="0" xfId="1" applyFont="1"/>
    <xf numFmtId="164" fontId="0" fillId="0" borderId="0" xfId="0" applyNumberFormat="1"/>
    <xf numFmtId="43" fontId="0" fillId="0" borderId="0" xfId="1" applyFont="1"/>
    <xf numFmtId="165" fontId="0" fillId="0" borderId="0" xfId="0" applyNumberFormat="1" applyFill="1" applyBorder="1" applyAlignment="1">
      <alignment horizontal="left" vertical="top"/>
    </xf>
    <xf numFmtId="10" fontId="0" fillId="0" borderId="0" xfId="2" applyNumberFormat="1" applyFont="1"/>
    <xf numFmtId="0" fontId="0" fillId="2" borderId="0" xfId="0" applyFill="1"/>
    <xf numFmtId="43" fontId="4" fillId="0" borderId="0" xfId="1" applyFont="1" applyFill="1"/>
    <xf numFmtId="0" fontId="0" fillId="0" borderId="0" xfId="0" applyAlignment="1">
      <alignment horizontal="left" indent="2"/>
    </xf>
    <xf numFmtId="167" fontId="0" fillId="0" borderId="0" xfId="1" applyNumberFormat="1" applyFont="1"/>
    <xf numFmtId="168" fontId="0" fillId="0" borderId="0" xfId="1" applyNumberFormat="1" applyFont="1"/>
    <xf numFmtId="168" fontId="0" fillId="0" borderId="0" xfId="0" applyNumberFormat="1"/>
    <xf numFmtId="169" fontId="0" fillId="0" borderId="0" xfId="1" applyNumberFormat="1" applyFont="1"/>
    <xf numFmtId="166" fontId="4" fillId="0" borderId="0" xfId="1" applyNumberFormat="1" applyFont="1" applyFill="1"/>
    <xf numFmtId="0" fontId="1" fillId="0" borderId="1" xfId="0" applyFont="1" applyBorder="1"/>
    <xf numFmtId="0" fontId="0" fillId="0" borderId="2" xfId="0" applyBorder="1"/>
    <xf numFmtId="0" fontId="0" fillId="0" borderId="3" xfId="0" applyBorder="1"/>
    <xf numFmtId="0" fontId="0" fillId="0" borderId="4" xfId="0" applyBorder="1"/>
    <xf numFmtId="0" fontId="5" fillId="0" borderId="0" xfId="0" applyFont="1" applyBorder="1"/>
    <xf numFmtId="0" fontId="0" fillId="0" borderId="0" xfId="0" applyBorder="1"/>
    <xf numFmtId="0" fontId="0" fillId="0" borderId="5" xfId="0" applyBorder="1"/>
    <xf numFmtId="0" fontId="0" fillId="0" borderId="4" xfId="0" applyBorder="1" applyAlignment="1">
      <alignment horizontal="right" indent="5"/>
    </xf>
    <xf numFmtId="0" fontId="0" fillId="0" borderId="4" xfId="0" applyBorder="1" applyAlignment="1">
      <alignment horizontal="right"/>
    </xf>
    <xf numFmtId="0" fontId="0" fillId="0" borderId="6" xfId="0" applyBorder="1" applyAlignment="1">
      <alignment horizontal="right" indent="5"/>
    </xf>
    <xf numFmtId="165" fontId="0" fillId="0" borderId="7" xfId="0" applyNumberFormat="1" applyFill="1" applyBorder="1" applyAlignment="1">
      <alignment horizontal="left" vertical="top"/>
    </xf>
    <xf numFmtId="0" fontId="11" fillId="0" borderId="0" xfId="3" applyFill="1" applyBorder="1" applyAlignment="1">
      <alignment horizontal="left" vertical="top"/>
    </xf>
    <xf numFmtId="0" fontId="13" fillId="0" borderId="0" xfId="3" applyFont="1" applyFill="1" applyBorder="1" applyAlignment="1">
      <alignment horizontal="center" vertical="top"/>
    </xf>
    <xf numFmtId="0" fontId="11" fillId="0" borderId="0" xfId="3" applyFont="1" applyFill="1" applyBorder="1" applyAlignment="1">
      <alignment horizontal="left" vertical="top"/>
    </xf>
    <xf numFmtId="0" fontId="12" fillId="3" borderId="9" xfId="3" applyFont="1" applyFill="1" applyBorder="1" applyAlignment="1">
      <alignment horizontal="left" vertical="top" wrapText="1"/>
    </xf>
    <xf numFmtId="0" fontId="12" fillId="3" borderId="10" xfId="3" applyFont="1" applyFill="1" applyBorder="1" applyAlignment="1">
      <alignment horizontal="center" vertical="top" wrapText="1"/>
    </xf>
    <xf numFmtId="0" fontId="12" fillId="0" borderId="9" xfId="3" applyFont="1" applyFill="1" applyBorder="1" applyAlignment="1">
      <alignment horizontal="left" vertical="top" wrapText="1"/>
    </xf>
    <xf numFmtId="3" fontId="14" fillId="0" borderId="10" xfId="3" applyNumberFormat="1" applyFont="1" applyFill="1" applyBorder="1" applyAlignment="1">
      <alignment horizontal="right" vertical="top" wrapText="1"/>
    </xf>
    <xf numFmtId="170" fontId="14" fillId="0" borderId="10" xfId="3" applyNumberFormat="1" applyFont="1" applyFill="1" applyBorder="1" applyAlignment="1">
      <alignment horizontal="left" vertical="top" wrapText="1" indent="2"/>
    </xf>
    <xf numFmtId="170" fontId="14" fillId="0" borderId="10" xfId="3" applyNumberFormat="1" applyFont="1" applyFill="1" applyBorder="1" applyAlignment="1">
      <alignment horizontal="right" vertical="top" wrapText="1" indent="2"/>
    </xf>
    <xf numFmtId="0" fontId="12" fillId="4" borderId="9" xfId="3" applyFont="1" applyFill="1" applyBorder="1" applyAlignment="1">
      <alignment horizontal="left" vertical="top" wrapText="1"/>
    </xf>
    <xf numFmtId="3" fontId="14" fillId="4" borderId="10" xfId="3" applyNumberFormat="1" applyFont="1" applyFill="1" applyBorder="1" applyAlignment="1">
      <alignment horizontal="right" vertical="top" wrapText="1"/>
    </xf>
    <xf numFmtId="170" fontId="14" fillId="4" borderId="10" xfId="3" applyNumberFormat="1" applyFont="1" applyFill="1" applyBorder="1" applyAlignment="1">
      <alignment horizontal="left" vertical="top" wrapText="1" indent="2"/>
    </xf>
    <xf numFmtId="170" fontId="14" fillId="4" borderId="10" xfId="3" applyNumberFormat="1" applyFont="1" applyFill="1" applyBorder="1" applyAlignment="1">
      <alignment horizontal="right" vertical="top" wrapText="1" indent="2"/>
    </xf>
    <xf numFmtId="0" fontId="12" fillId="4" borderId="10" xfId="3" applyFont="1" applyFill="1" applyBorder="1" applyAlignment="1">
      <alignment horizontal="left" vertical="top" wrapText="1"/>
    </xf>
    <xf numFmtId="3" fontId="14" fillId="4" borderId="11" xfId="3" applyNumberFormat="1" applyFont="1" applyFill="1" applyBorder="1" applyAlignment="1">
      <alignment horizontal="right" vertical="top" wrapText="1"/>
    </xf>
    <xf numFmtId="0" fontId="12" fillId="0" borderId="10" xfId="3" applyFont="1" applyFill="1" applyBorder="1" applyAlignment="1">
      <alignment horizontal="left" vertical="top" wrapText="1"/>
    </xf>
    <xf numFmtId="3" fontId="14" fillId="0" borderId="11" xfId="3" applyNumberFormat="1" applyFont="1" applyFill="1" applyBorder="1" applyAlignment="1">
      <alignment horizontal="right" vertical="top" wrapText="1"/>
    </xf>
    <xf numFmtId="43" fontId="0" fillId="0" borderId="0" xfId="1" applyFont="1" applyFill="1"/>
    <xf numFmtId="0" fontId="5" fillId="0" borderId="0" xfId="0" applyFont="1"/>
    <xf numFmtId="0" fontId="1" fillId="0" borderId="0" xfId="0" applyFont="1" applyAlignment="1">
      <alignment horizontal="left" wrapText="1"/>
    </xf>
    <xf numFmtId="0" fontId="7" fillId="0" borderId="0" xfId="0" applyFont="1" applyAlignment="1">
      <alignment horizontal="left" vertical="top" wrapText="1"/>
    </xf>
    <xf numFmtId="0" fontId="0" fillId="0" borderId="0" xfId="0" applyAlignment="1">
      <alignment wrapText="1"/>
    </xf>
    <xf numFmtId="0" fontId="1"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xf>
    <xf numFmtId="0" fontId="12" fillId="0" borderId="0" xfId="3" applyFont="1" applyFill="1" applyBorder="1" applyAlignment="1">
      <alignment horizontal="left" vertical="top"/>
    </xf>
    <xf numFmtId="171" fontId="0" fillId="0" borderId="0" xfId="0" applyNumberFormat="1" applyBorder="1"/>
    <xf numFmtId="171" fontId="5" fillId="0" borderId="0" xfId="0" applyNumberFormat="1" applyFont="1" applyBorder="1"/>
    <xf numFmtId="171" fontId="5" fillId="0" borderId="7" xfId="0" applyNumberFormat="1" applyFont="1" applyBorder="1"/>
    <xf numFmtId="172" fontId="0" fillId="0" borderId="0" xfId="0" applyNumberFormat="1" applyFill="1" applyBorder="1" applyAlignment="1">
      <alignment horizontal="left" vertical="top"/>
    </xf>
    <xf numFmtId="172" fontId="5" fillId="0" borderId="0" xfId="1" applyNumberFormat="1" applyFont="1" applyFill="1" applyBorder="1" applyAlignment="1">
      <alignment horizontal="left" vertical="top"/>
    </xf>
    <xf numFmtId="172" fontId="5" fillId="0" borderId="5" xfId="1" applyNumberFormat="1" applyFont="1" applyFill="1" applyBorder="1" applyAlignment="1">
      <alignment horizontal="left" vertical="top"/>
    </xf>
    <xf numFmtId="172" fontId="0" fillId="0" borderId="5" xfId="0" applyNumberFormat="1" applyFill="1" applyBorder="1" applyAlignment="1">
      <alignment horizontal="left" vertical="top"/>
    </xf>
    <xf numFmtId="172" fontId="0" fillId="0" borderId="0" xfId="0" applyNumberFormat="1" applyBorder="1"/>
    <xf numFmtId="172" fontId="0" fillId="0" borderId="5" xfId="0" applyNumberFormat="1" applyBorder="1"/>
    <xf numFmtId="172" fontId="0" fillId="0" borderId="0" xfId="0" applyNumberFormat="1"/>
    <xf numFmtId="172" fontId="5" fillId="0" borderId="0" xfId="0" applyNumberFormat="1" applyFont="1" applyBorder="1"/>
    <xf numFmtId="172" fontId="0" fillId="0" borderId="7" xfId="0" applyNumberFormat="1" applyFill="1" applyBorder="1" applyAlignment="1">
      <alignment horizontal="left" vertical="top"/>
    </xf>
    <xf numFmtId="172" fontId="0" fillId="0" borderId="8" xfId="0" applyNumberFormat="1" applyFill="1" applyBorder="1" applyAlignment="1">
      <alignment horizontal="left" vertical="top"/>
    </xf>
  </cellXfs>
  <cellStyles count="4">
    <cellStyle name="Comma" xfId="1" builtinId="3"/>
    <cellStyle name="Normal" xfId="0" builtinId="0"/>
    <cellStyle name="Normal 2" xfId="3"/>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9524</xdr:rowOff>
    </xdr:from>
    <xdr:to>
      <xdr:col>10</xdr:col>
      <xdr:colOff>63501</xdr:colOff>
      <xdr:row>48</xdr:row>
      <xdr:rowOff>158750</xdr:rowOff>
    </xdr:to>
    <xdr:sp macro="" textlink="">
      <xdr:nvSpPr>
        <xdr:cNvPr id="5" name="TextBox 4"/>
        <xdr:cNvSpPr txBox="1"/>
      </xdr:nvSpPr>
      <xdr:spPr>
        <a:xfrm>
          <a:off x="0" y="9524"/>
          <a:ext cx="5588001" cy="9293226"/>
        </a:xfrm>
        <a:prstGeom prst="rect">
          <a:avLst/>
        </a:prstGeom>
        <a:solidFill>
          <a:sysClr val="window" lastClr="FFFFFF"/>
        </a:solidFill>
        <a:ln w="9525" cmpd="sng">
          <a:solidFill>
            <a:sysClr val="window" lastClr="FFFFFF">
              <a:shade val="50000"/>
            </a:sysClr>
          </a:solid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mn-lt"/>
              <a:ea typeface="+mn-ea"/>
              <a:cs typeface="+mn-cs"/>
            </a:rPr>
            <a:t>Revised 2017 IEPR </a:t>
          </a:r>
          <a:r>
            <a:rPr kumimoji="0" lang="en-US" sz="1400" b="1" i="0" u="none" strike="noStrike" kern="0" cap="none" spc="0" normalizeH="0" baseline="0" noProof="0">
              <a:ln>
                <a:noFill/>
              </a:ln>
              <a:solidFill>
                <a:sysClr val="windowText" lastClr="000000"/>
              </a:solidFill>
              <a:effectLst/>
              <a:uLnTx/>
              <a:uFillTx/>
              <a:latin typeface="Calibri"/>
              <a:ea typeface="+mn-ea"/>
              <a:cs typeface="+mn-cs"/>
            </a:rPr>
            <a:t>GHG Price Projections</a:t>
          </a:r>
          <a:endParaRPr kumimoji="0" lang="en-US" sz="1400" b="0" i="0" u="none" strike="noStrike" kern="0" cap="none" spc="0" normalizeH="0" baseline="0" noProof="0">
            <a:ln>
              <a:noFill/>
            </a:ln>
            <a:solidFill>
              <a:sysClr val="windowText" lastClr="000000"/>
            </a:solidFill>
            <a:effectLst/>
            <a:uLnTx/>
            <a:uFillTx/>
            <a:latin typeface="Calibri"/>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Energy Assessment Division</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1-16-18</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Summary:</a:t>
          </a:r>
          <a:r>
            <a:rPr kumimoji="0" lang="en-US" sz="1200" b="0" i="0" u="none" strike="noStrike" kern="0" cap="none" spc="0" normalizeH="0" baseline="0" noProof="0">
              <a:ln>
                <a:noFill/>
              </a:ln>
              <a:solidFill>
                <a:sysClr val="windowText" lastClr="000000"/>
              </a:solidFill>
              <a:effectLst/>
              <a:uLnTx/>
              <a:uFillTx/>
              <a:latin typeface="Calibri"/>
              <a:ea typeface="+mn-ea"/>
              <a:cs typeface="+mn-cs"/>
            </a:rPr>
            <a:t>  </a:t>
          </a:r>
          <a:r>
            <a:rPr kumimoji="0" lang="en-US" sz="1200" b="0" i="0" u="none" strike="noStrike" kern="0" cap="none" spc="0" normalizeH="0" baseline="0" noProof="0">
              <a:ln>
                <a:noFill/>
              </a:ln>
              <a:solidFill>
                <a:sysClr val="windowText" lastClr="000000"/>
              </a:solidFill>
              <a:effectLst/>
              <a:uLnTx/>
              <a:uFillTx/>
              <a:latin typeface="Calibri"/>
            </a:rPr>
            <a:t> </a:t>
          </a:r>
          <a:r>
            <a:rPr lang="en-US" sz="1200" b="0" i="0" u="none" strike="noStrike">
              <a:effectLst/>
              <a:latin typeface="+mn-lt"/>
              <a:ea typeface="+mn-ea"/>
              <a:cs typeface="+mn-cs"/>
            </a:rPr>
            <a:t>This spreadsheet presents low, mid and high California</a:t>
          </a:r>
          <a:r>
            <a:rPr lang="en-US" sz="1200" b="0" i="0" u="none" strike="noStrike" baseline="0">
              <a:effectLst/>
              <a:latin typeface="+mn-lt"/>
              <a:ea typeface="+mn-ea"/>
              <a:cs typeface="+mn-cs"/>
            </a:rPr>
            <a:t> Carbon Allowance </a:t>
          </a:r>
          <a:r>
            <a:rPr lang="en-US" sz="1200" b="0" i="0" u="none" strike="noStrike">
              <a:effectLst/>
              <a:latin typeface="+mn-lt"/>
              <a:ea typeface="+mn-ea"/>
              <a:cs typeface="+mn-cs"/>
            </a:rPr>
            <a:t>price projections consistent with the common scenarios for the 2017 IEPR, presented at the </a:t>
          </a:r>
          <a:r>
            <a:rPr kumimoji="0" lang="en-US" sz="1200" b="0" i="0" u="none" strike="noStrike" kern="0" cap="none" spc="0" normalizeH="0" baseline="0" noProof="0">
              <a:ln>
                <a:noFill/>
              </a:ln>
              <a:solidFill>
                <a:sysClr val="windowText" lastClr="000000"/>
              </a:solidFill>
              <a:effectLst/>
              <a:uLnTx/>
              <a:uFillTx/>
              <a:latin typeface="+mn-lt"/>
              <a:ea typeface="+mn-ea"/>
              <a:cs typeface="+mn-cs"/>
            </a:rPr>
            <a:t>February 22, 2017 </a:t>
          </a:r>
          <a:r>
            <a:rPr lang="en-US" sz="1200" b="0" i="0" u="none" strike="noStrike">
              <a:effectLst/>
              <a:latin typeface="+mn-lt"/>
              <a:ea typeface="+mn-ea"/>
              <a:cs typeface="+mn-cs"/>
            </a:rPr>
            <a:t>Lead Commissioner Workshop on Economic, Demographic, and other Inputs for Electricity, Natural Gas and Transportation Fuel Demand Forecasts.</a:t>
          </a:r>
          <a:r>
            <a:rPr lang="en-US" sz="1200" b="0" i="0" u="none" strike="noStrike" baseline="0">
              <a:effectLst/>
              <a:latin typeface="+mn-lt"/>
              <a:ea typeface="+mn-ea"/>
              <a:cs typeface="+mn-cs"/>
            </a:rPr>
            <a:t> </a:t>
          </a:r>
          <a:r>
            <a:rPr lang="en-US" sz="1200">
              <a:latin typeface="+mn-lt"/>
            </a:rPr>
            <a:t>T</a:t>
          </a:r>
          <a:r>
            <a:rPr lang="en-US" sz="1200" b="0" i="0" u="none" strike="noStrike">
              <a:effectLst/>
              <a:latin typeface="+mn-lt"/>
              <a:ea typeface="+mn-ea"/>
              <a:cs typeface="+mn-cs"/>
            </a:rPr>
            <a:t>hese projections are consistent</a:t>
          </a:r>
          <a:r>
            <a:rPr lang="en-US" sz="1200" b="0" i="0" u="none" strike="noStrike" baseline="0">
              <a:effectLst/>
              <a:latin typeface="+mn-lt"/>
              <a:ea typeface="+mn-ea"/>
              <a:cs typeface="+mn-cs"/>
            </a:rPr>
            <a:t> with </a:t>
          </a:r>
          <a:r>
            <a:rPr lang="en-US" sz="1200" b="0" i="0" u="none" strike="noStrike">
              <a:effectLst/>
              <a:latin typeface="+mn-lt"/>
              <a:ea typeface="+mn-ea"/>
              <a:cs typeface="+mn-cs"/>
            </a:rPr>
            <a:t>ARB</a:t>
          </a:r>
          <a:r>
            <a:rPr lang="en-US" sz="1200" b="0" i="0" u="none" strike="noStrike" baseline="0">
              <a:effectLst/>
              <a:latin typeface="+mn-lt"/>
              <a:ea typeface="+mn-ea"/>
              <a:cs typeface="+mn-cs"/>
            </a:rPr>
            <a:t>'s Regulations for the </a:t>
          </a:r>
          <a:r>
            <a:rPr lang="en-US" sz="1100">
              <a:effectLst/>
              <a:latin typeface="+mn-lt"/>
              <a:ea typeface="+mn-ea"/>
              <a:cs typeface="+mn-cs"/>
            </a:rPr>
            <a:t>California Cap on Greenhouse Gas Emissions and Market-Based Compliance Mechanisms,</a:t>
          </a:r>
          <a:r>
            <a:rPr lang="en-US" sz="1100" baseline="0">
              <a:effectLst/>
              <a:latin typeface="+mn-lt"/>
              <a:ea typeface="+mn-ea"/>
              <a:cs typeface="+mn-cs"/>
            </a:rPr>
            <a:t> </a:t>
          </a:r>
          <a:r>
            <a:rPr lang="en-US" sz="1200"/>
            <a:t>approved by the Office of Administrative Law (OAL) on September 18, 2017</a:t>
          </a:r>
          <a:r>
            <a:rPr lang="en-US" sz="1200" b="0" i="0" u="none" strike="noStrike">
              <a:effectLst/>
              <a:latin typeface="+mn-lt"/>
              <a:ea typeface="+mn-ea"/>
              <a:cs typeface="+mn-cs"/>
            </a:rPr>
            <a:t>. T</a:t>
          </a:r>
          <a:r>
            <a:rPr lang="en-US" sz="1200"/>
            <a:t>itle 17, California Code of Regulations (CCR), sections 95801-96022.</a:t>
          </a:r>
          <a:r>
            <a:rPr lang="en-US" sz="1200">
              <a:latin typeface="+mn-lt"/>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The low consumption (high price) scenario assumes that prices reach the administratively set allowance price containment reserve (APCR) price by 2030. Because credits are bankable over time, economic theory predicts that the price in any given year will equal the present discounted value of the final equilibrium price, so in the low consumption case, prices increase at the rate which produces a final nominal price of $108. In the high consumption (low price) scenario, prices escalate from the most recent historic value at the rate of the auction reserve price (CPI +5%). In the mid case, the final price is assumed to be approximately half way between the high and low.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Sources of Data: </a:t>
          </a:r>
          <a:r>
            <a:rPr kumimoji="0" lang="en-US" sz="1200" b="0" i="0" u="none" strike="noStrike" kern="0" cap="none" spc="0" normalizeH="0" baseline="0" noProof="0">
              <a:ln>
                <a:noFill/>
              </a:ln>
              <a:solidFill>
                <a:sysClr val="windowText" lastClr="000000"/>
              </a:solidFill>
              <a:effectLst/>
              <a:uLnTx/>
              <a:uFillTx/>
              <a:latin typeface="Calibri"/>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The quarterly posted GHG auction price results: http://www.arb.ca.gov/cc/capandtrade/auction/auction.htm.  All prices are in USD.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2017 IEPR Deflator Series, using Moody's Analytics, June 2017 GDP Deflator and CPI Forecast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Key Caveats: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Calibri"/>
              <a:ea typeface="+mn-ea"/>
              <a:cs typeface="+mn-cs"/>
            </a:rPr>
            <a:t>This version uses assumptions consistent with ARB's currently adopted regulations but do not take into account AB 398 direction to set a price ceiling and price containment points. ARB will take up AB 398 implementation in 2018.</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Major Updates</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effectLst/>
              <a:latin typeface="+mn-lt"/>
              <a:ea typeface="+mn-ea"/>
              <a:cs typeface="+mn-cs"/>
            </a:rPr>
            <a:t>10-6-2015 An error in the conversion to real dollars was corrected</a:t>
          </a:r>
          <a:r>
            <a:rPr lang="en-US" sz="1200"/>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effectLst/>
              <a:latin typeface="+mn-lt"/>
              <a:ea typeface="+mn-ea"/>
              <a:cs typeface="+mn-cs"/>
            </a:rPr>
            <a:t>12-15-2015 Final</a:t>
          </a:r>
          <a:r>
            <a:rPr lang="en-US" sz="1100" b="0" i="0" u="none" strike="noStrike" baseline="0">
              <a:effectLst/>
              <a:latin typeface="+mn-lt"/>
              <a:ea typeface="+mn-ea"/>
              <a:cs typeface="+mn-cs"/>
            </a:rPr>
            <a:t> 2015 auction results used to revise 2015 starting value</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baseline="0">
              <a:effectLst/>
              <a:latin typeface="+mn-lt"/>
              <a:ea typeface="+mn-ea"/>
              <a:cs typeface="+mn-cs"/>
            </a:rPr>
            <a:t>12-15-2016 CPI and GDP Projections revised to be consistent with 2016 IEPR Update </a:t>
          </a:r>
          <a:endParaRPr lang="en-US" sz="1200"/>
        </a:p>
        <a:p>
          <a:pPr marL="0" marR="0" lvl="0" indent="0" defTabSz="914400" eaLnBrk="1" fontAlgn="auto" latinLnBrk="0" hangingPunct="1">
            <a:lnSpc>
              <a:spcPct val="100000"/>
            </a:lnSpc>
            <a:spcBef>
              <a:spcPts val="0"/>
            </a:spcBef>
            <a:spcAft>
              <a:spcPts val="0"/>
            </a:spcAft>
            <a:buClrTx/>
            <a:buSzTx/>
            <a:buFontTx/>
            <a:buNone/>
            <a:tabLst/>
            <a:defRPr/>
          </a:pPr>
          <a:r>
            <a:rPr lang="en-US" sz="1100" b="0" i="0">
              <a:effectLst/>
              <a:latin typeface="+mn-lt"/>
              <a:ea typeface="+mn-ea"/>
              <a:cs typeface="+mn-cs"/>
            </a:rPr>
            <a:t>12-15-2016 All 2016 </a:t>
          </a:r>
          <a:r>
            <a:rPr lang="en-US" sz="1100" b="0" i="0" baseline="0">
              <a:effectLst/>
              <a:latin typeface="+mn-lt"/>
              <a:ea typeface="+mn-ea"/>
              <a:cs typeface="+mn-cs"/>
            </a:rPr>
            <a:t>auction results included and used to revise 2016 starting value</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12-15-2016 Real year dollars revised to 2015$ from 2013$</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12-19-2016 Modify cap and floor calculations to reflect CARB proposed regulations for post-2020</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12-19-2016 Model mid case and high price scenario as exponential curve ending in scenario equilibrium price in 2030.</a:t>
          </a:r>
          <a:endParaRPr lang="en-US" sz="1200"/>
        </a:p>
        <a:p>
          <a:pPr eaLnBrk="1" fontAlgn="auto" latinLnBrk="0" hangingPunct="1"/>
          <a:r>
            <a:rPr lang="en-US" sz="1100" b="0" i="0" baseline="0">
              <a:effectLst/>
              <a:latin typeface="+mn-lt"/>
              <a:ea typeface="+mn-ea"/>
              <a:cs typeface="+mn-cs"/>
            </a:rPr>
            <a:t>2-27-2017 Minor edits to text only.</a:t>
          </a:r>
        </a:p>
        <a:p>
          <a:pPr eaLnBrk="1" fontAlgn="auto" latinLnBrk="0" hangingPunct="1"/>
          <a:r>
            <a:rPr lang="en-US" sz="1100" b="0" i="0" baseline="0">
              <a:effectLst/>
              <a:latin typeface="+mn-lt"/>
              <a:ea typeface="+mn-ea"/>
              <a:cs typeface="+mn-cs"/>
            </a:rPr>
            <a:t>12-06-2017 Updated forecast with 2017 auction results. Low price case now begins at 2017 price and escalates at CPI + 5%.</a:t>
          </a:r>
        </a:p>
        <a:p>
          <a:pPr eaLnBrk="1" fontAlgn="auto" latinLnBrk="0" hangingPunct="1"/>
          <a:r>
            <a:rPr lang="en-US" sz="1100" b="0" i="0" baseline="0">
              <a:effectLst/>
              <a:latin typeface="+mn-lt"/>
              <a:ea typeface="+mn-ea"/>
              <a:cs typeface="+mn-cs"/>
            </a:rPr>
            <a:t>01-16-18  Reviseions to documentation and footnotes only.</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Author</a:t>
          </a:r>
          <a:r>
            <a:rPr kumimoji="0" lang="en-US" sz="1200" b="0" i="0" u="none" strike="noStrike" kern="0" cap="none" spc="0" normalizeH="0" baseline="0" noProof="0">
              <a:ln>
                <a:noFill/>
              </a:ln>
              <a:solidFill>
                <a:sysClr val="windowText" lastClr="000000"/>
              </a:solidFill>
              <a:effectLst/>
              <a:uLnTx/>
              <a:uFillTx/>
              <a:latin typeface="Calibri"/>
              <a:ea typeface="+mn-ea"/>
              <a:cs typeface="+mn-cs"/>
            </a:rPr>
            <a:t>:</a:t>
          </a:r>
        </a:p>
        <a:p>
          <a:pPr eaLnBrk="1" fontAlgn="auto" latinLnBrk="0" hangingPunct="1"/>
          <a:r>
            <a:rPr lang="en-US" sz="1100" b="0" i="0" baseline="0">
              <a:effectLst/>
              <a:latin typeface="+mn-lt"/>
              <a:ea typeface="+mn-ea"/>
              <a:cs typeface="+mn-cs"/>
            </a:rPr>
            <a:t>Lynn Marshall, Supply Analysis Office, 916-654-4767. Lynn.Marshall@energy.ca.gov </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
  <sheetViews>
    <sheetView tabSelected="1" topLeftCell="B1" zoomScale="90" zoomScaleNormal="90" workbookViewId="0">
      <selection activeCell="W24" sqref="W24"/>
    </sheetView>
  </sheetViews>
  <sheetFormatPr defaultRowHeight="15" x14ac:dyDescent="0.25"/>
  <cols>
    <col min="1" max="1" width="2.42578125" hidden="1" customWidth="1"/>
  </cols>
  <sheetData>
    <row r="1" spans="2:2" x14ac:dyDescent="0.25">
      <c r="B1" t="s">
        <v>7</v>
      </c>
    </row>
    <row r="2" spans="2:2" x14ac:dyDescent="0.25">
      <c r="B2" t="s">
        <v>8</v>
      </c>
    </row>
  </sheetData>
  <pageMargins left="0.7" right="0.7" top="0.75" bottom="0.75" header="0.3" footer="0.3"/>
  <pageSetup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zoomScale="70" zoomScaleNormal="70" workbookViewId="0">
      <selection activeCell="K7" sqref="K7"/>
    </sheetView>
  </sheetViews>
  <sheetFormatPr defaultRowHeight="15" x14ac:dyDescent="0.25"/>
  <cols>
    <col min="1" max="1" width="54.42578125" customWidth="1"/>
    <col min="2" max="2" width="10" customWidth="1"/>
    <col min="3" max="3" width="8.42578125" customWidth="1"/>
    <col min="4" max="4" width="9.5703125" customWidth="1"/>
    <col min="5" max="19" width="9.7109375" customWidth="1"/>
    <col min="20" max="20" width="8.85546875" customWidth="1"/>
    <col min="21" max="21" width="16.85546875" bestFit="1" customWidth="1"/>
  </cols>
  <sheetData>
    <row r="1" spans="1:21" x14ac:dyDescent="0.25">
      <c r="F1" s="20"/>
      <c r="G1" s="20"/>
      <c r="H1" s="17"/>
      <c r="I1" s="20"/>
      <c r="J1" s="20"/>
      <c r="K1" s="20"/>
      <c r="L1" s="20"/>
      <c r="M1" s="20"/>
      <c r="N1" s="20"/>
      <c r="O1" s="20"/>
      <c r="P1" s="20"/>
      <c r="Q1" s="20"/>
      <c r="R1" s="20"/>
      <c r="S1" s="20"/>
    </row>
    <row r="2" spans="1:21" x14ac:dyDescent="0.25">
      <c r="A2" s="51"/>
      <c r="F2" s="18"/>
      <c r="G2" s="18"/>
      <c r="H2" s="18"/>
      <c r="I2" s="18"/>
      <c r="J2" s="18"/>
      <c r="K2" s="18"/>
      <c r="L2" s="18"/>
      <c r="M2" s="18"/>
      <c r="N2" s="18"/>
      <c r="O2" s="18"/>
      <c r="P2" s="18"/>
      <c r="Q2" s="18"/>
      <c r="R2" s="18"/>
      <c r="S2" s="18"/>
    </row>
    <row r="3" spans="1:21" x14ac:dyDescent="0.25">
      <c r="A3" s="51" t="s">
        <v>49</v>
      </c>
      <c r="F3" s="19"/>
      <c r="G3" s="19"/>
      <c r="H3" s="19"/>
      <c r="I3" s="19"/>
      <c r="J3" s="19"/>
      <c r="K3" s="19"/>
      <c r="L3" s="19"/>
      <c r="M3" s="19"/>
      <c r="N3" s="19"/>
      <c r="O3" s="19"/>
      <c r="P3" s="19"/>
      <c r="Q3" s="19"/>
      <c r="R3" s="19"/>
      <c r="S3" s="19"/>
    </row>
    <row r="4" spans="1:21" x14ac:dyDescent="0.25">
      <c r="A4" s="51"/>
      <c r="F4" s="19"/>
      <c r="G4" s="19"/>
      <c r="H4" s="19"/>
      <c r="I4" s="19"/>
      <c r="J4" s="19"/>
      <c r="K4" s="19"/>
      <c r="L4" s="19"/>
      <c r="M4" s="19"/>
      <c r="N4" s="19"/>
      <c r="O4" s="19"/>
      <c r="P4" s="19"/>
      <c r="Q4" s="19"/>
      <c r="R4" s="19"/>
      <c r="S4" s="19"/>
    </row>
    <row r="5" spans="1:21" x14ac:dyDescent="0.25">
      <c r="B5">
        <v>2013</v>
      </c>
      <c r="C5">
        <v>2014</v>
      </c>
      <c r="D5">
        <v>2015</v>
      </c>
      <c r="E5">
        <v>2016</v>
      </c>
      <c r="F5">
        <v>2017</v>
      </c>
      <c r="G5">
        <v>2018</v>
      </c>
      <c r="H5">
        <v>2019</v>
      </c>
      <c r="I5">
        <v>2020</v>
      </c>
      <c r="J5">
        <v>2021</v>
      </c>
      <c r="K5">
        <v>2022</v>
      </c>
      <c r="L5">
        <v>2023</v>
      </c>
      <c r="M5">
        <v>2024</v>
      </c>
      <c r="N5">
        <v>2025</v>
      </c>
      <c r="O5">
        <v>2026</v>
      </c>
      <c r="P5">
        <v>2027</v>
      </c>
      <c r="Q5">
        <v>2028</v>
      </c>
      <c r="R5">
        <v>2029</v>
      </c>
      <c r="S5">
        <v>2030</v>
      </c>
    </row>
    <row r="6" spans="1:21" ht="18.75" x14ac:dyDescent="0.35">
      <c r="A6" s="1" t="s">
        <v>60</v>
      </c>
      <c r="B6" s="2"/>
      <c r="C6" s="6"/>
      <c r="S6" s="3"/>
    </row>
    <row r="7" spans="1:21" ht="17.25" x14ac:dyDescent="0.25">
      <c r="A7" s="2" t="s">
        <v>4</v>
      </c>
      <c r="B7" s="6">
        <f>+B11</f>
        <v>12.002742366814928</v>
      </c>
      <c r="C7" s="6">
        <f t="shared" ref="C7:E7" si="0">+C11</f>
        <v>11.663986959374096</v>
      </c>
      <c r="D7" s="6">
        <f t="shared" si="0"/>
        <v>12.437281556525077</v>
      </c>
      <c r="E7" s="6">
        <f t="shared" si="0"/>
        <v>12.73</v>
      </c>
      <c r="F7" s="50">
        <f>+F8</f>
        <v>14.487</v>
      </c>
      <c r="G7" s="3">
        <f t="shared" ref="G7:S7" si="1">F7*(1+G15+0.05)</f>
        <v>15.604043701065585</v>
      </c>
      <c r="H7" s="3">
        <f t="shared" si="1"/>
        <v>16.8134123030006</v>
      </c>
      <c r="I7" s="3">
        <f t="shared" si="1"/>
        <v>18.079566622613928</v>
      </c>
      <c r="J7" s="3">
        <f t="shared" si="1"/>
        <v>19.410946056041546</v>
      </c>
      <c r="K7" s="3">
        <f t="shared" si="1"/>
        <v>20.831971247472207</v>
      </c>
      <c r="L7" s="3">
        <f t="shared" si="1"/>
        <v>22.349824406261011</v>
      </c>
      <c r="M7" s="3">
        <f t="shared" si="1"/>
        <v>23.969703625629471</v>
      </c>
      <c r="N7" s="3">
        <f t="shared" si="1"/>
        <v>25.697409550931013</v>
      </c>
      <c r="O7" s="3">
        <f t="shared" si="1"/>
        <v>27.5567560590661</v>
      </c>
      <c r="P7" s="3">
        <f t="shared" si="1"/>
        <v>29.564748254411764</v>
      </c>
      <c r="Q7" s="3">
        <f t="shared" si="1"/>
        <v>31.731318924167088</v>
      </c>
      <c r="R7" s="3">
        <f t="shared" si="1"/>
        <v>34.057010759721877</v>
      </c>
      <c r="S7" s="3">
        <f t="shared" si="1"/>
        <v>36.546057747403445</v>
      </c>
      <c r="T7" s="3"/>
    </row>
    <row r="8" spans="1:21" ht="17.25" x14ac:dyDescent="0.25">
      <c r="A8" s="2" t="s">
        <v>6</v>
      </c>
      <c r="B8" s="2"/>
      <c r="C8" s="3"/>
      <c r="D8" s="3"/>
      <c r="E8" s="3"/>
      <c r="F8" s="5">
        <v>14.487</v>
      </c>
      <c r="G8" s="5">
        <f>EXP($E$39*(G$18-2016)+$F$39)</f>
        <v>14.509656406605915</v>
      </c>
      <c r="H8" s="5">
        <f>EXP($E$39*(H$18-2016)+$F$39)</f>
        <v>16.56225612259863</v>
      </c>
      <c r="I8" s="5">
        <f>EXP($E$39*(I$18-2016)+$F$39)</f>
        <v>18.905225608627738</v>
      </c>
      <c r="J8" s="5">
        <f>EXP($E$39*(J$18-2016)+$F$39)</f>
        <v>21.579641847552619</v>
      </c>
      <c r="K8" s="5">
        <f>EXP($E$39*(K$18-2016)+$F$39)</f>
        <v>24.632392752621925</v>
      </c>
      <c r="L8" s="5">
        <f>EXP($E$39*(L$18-2016)+$F$39)</f>
        <v>28.116999207205751</v>
      </c>
      <c r="M8" s="5">
        <f>EXP($E$39*(M$18-2016)+$F$39)</f>
        <v>32.094553393878464</v>
      </c>
      <c r="N8" s="5">
        <f>EXP($E$39*(N$18-2016)+$F$39)</f>
        <v>36.634789863654206</v>
      </c>
      <c r="O8" s="5">
        <f>EXP($E$39*(O$18-2016)+$F$39)</f>
        <v>41.817308123380478</v>
      </c>
      <c r="P8" s="5">
        <f>EXP($E$39*(P$18-2016)+$F$39)</f>
        <v>47.732968175713069</v>
      </c>
      <c r="Q8" s="5">
        <f>EXP($E$39*(Q$18-2016)+$F$39)</f>
        <v>54.485483478304999</v>
      </c>
      <c r="R8" s="5">
        <f>EXP($E$39*(R$18-2016)+$F$39)</f>
        <v>62.193239249997688</v>
      </c>
      <c r="S8" s="5">
        <f>EXP($E$39*(S$18-2016)+$F$39)</f>
        <v>70.991368002591145</v>
      </c>
      <c r="T8" s="3"/>
    </row>
    <row r="9" spans="1:21" ht="17.25" x14ac:dyDescent="0.25">
      <c r="A9" s="2" t="s">
        <v>5</v>
      </c>
      <c r="B9" s="2"/>
      <c r="C9" s="3"/>
      <c r="D9" s="3"/>
      <c r="E9" s="3"/>
      <c r="F9" s="5">
        <f>+F8</f>
        <v>14.487</v>
      </c>
      <c r="G9" s="5">
        <f>EXP($E$45*(G$18-2016)+$F$45)</f>
        <v>14.763982910336701</v>
      </c>
      <c r="H9" s="5">
        <f>EXP($E$45*(H$18-2016)+$F$45)</f>
        <v>17.425218001933036</v>
      </c>
      <c r="I9" s="5">
        <f>EXP($E$45*(I$18-2016)+$F$45)</f>
        <v>20.566145616594085</v>
      </c>
      <c r="J9" s="5">
        <f>EXP($E$45*(J$18-2016)+$F$45)</f>
        <v>24.273231214440536</v>
      </c>
      <c r="K9" s="5">
        <f>EXP($E$45*(K$18-2016)+$F$45)</f>
        <v>28.648525813913047</v>
      </c>
      <c r="L9" s="5">
        <f>EXP($E$45*(L$18-2016)+$F$45)</f>
        <v>33.812475317343498</v>
      </c>
      <c r="M9" s="5">
        <f>EXP($E$45*(M$18-2016)+$F$45)</f>
        <v>39.907236222630758</v>
      </c>
      <c r="N9" s="5">
        <f>EXP($E$45*(N$18-2016)+$F$45)</f>
        <v>47.100588998048408</v>
      </c>
      <c r="O9" s="5">
        <f>EXP($E$45*(O$18-2016)+$F$45)</f>
        <v>55.590556850063763</v>
      </c>
      <c r="P9" s="5">
        <f>EXP($E$45*(P$18-2016)+$F$45)</f>
        <v>65.61085703255678</v>
      </c>
      <c r="Q9" s="5">
        <f>EXP($E$45*(Q$18-2016)+$F$45)</f>
        <v>77.437334764558457</v>
      </c>
      <c r="R9" s="5">
        <f>EXP($E$45*(R$18-2016)+$F$45)</f>
        <v>91.395556873502628</v>
      </c>
      <c r="S9" s="5">
        <f>EXP($E$45*(S$18-2016)+$F$45)</f>
        <v>107.86977420664954</v>
      </c>
      <c r="T9" s="3"/>
      <c r="U9" s="9"/>
    </row>
    <row r="10" spans="1:21" s="14" customFormat="1" x14ac:dyDescent="0.25">
      <c r="A10"/>
      <c r="B10"/>
      <c r="C10"/>
      <c r="D10"/>
      <c r="E10"/>
      <c r="F10" s="3"/>
      <c r="G10"/>
      <c r="H10"/>
      <c r="I10"/>
      <c r="J10"/>
      <c r="K10"/>
      <c r="L10"/>
      <c r="M10"/>
      <c r="N10"/>
      <c r="O10"/>
      <c r="P10"/>
      <c r="Q10"/>
      <c r="R10"/>
      <c r="S10" s="3"/>
      <c r="T10"/>
    </row>
    <row r="11" spans="1:21" s="14" customFormat="1" ht="17.25" x14ac:dyDescent="0.25">
      <c r="A11" t="s">
        <v>56</v>
      </c>
      <c r="B11" s="50">
        <f>VLOOKUP(B$5,'2018 Auction Data'!$E$29:$H$33,4,FALSE)</f>
        <v>12.002742366814928</v>
      </c>
      <c r="C11" s="50">
        <f>VLOOKUP(C$5,'2018 Auction Data'!$E$29:$H$33,4,FALSE)</f>
        <v>11.663986959374096</v>
      </c>
      <c r="D11" s="50">
        <f>VLOOKUP(D$5,'2018 Auction Data'!$E$29:$H$33,4,FALSE)</f>
        <v>12.437281556525077</v>
      </c>
      <c r="E11" s="50">
        <f>VLOOKUP(E$5,'2018 Auction Data'!$E$29:$H$33,4,FALSE)</f>
        <v>12.73</v>
      </c>
      <c r="F11" s="50">
        <f>VLOOKUP(F$5,'2018 Auction Data'!$E$29:$H$33,4,FALSE)</f>
        <v>14.486740520427819</v>
      </c>
      <c r="G11"/>
      <c r="H11"/>
      <c r="I11" s="11"/>
      <c r="J11"/>
      <c r="K11"/>
      <c r="L11"/>
      <c r="M11"/>
      <c r="N11"/>
      <c r="O11"/>
      <c r="P11"/>
      <c r="Q11"/>
      <c r="R11"/>
      <c r="S11"/>
      <c r="T11"/>
    </row>
    <row r="12" spans="1:21" s="14" customFormat="1" ht="17.25" x14ac:dyDescent="0.25">
      <c r="A12" s="2" t="s">
        <v>58</v>
      </c>
      <c r="B12"/>
      <c r="C12"/>
      <c r="D12"/>
      <c r="E12" s="50">
        <f>VLOOKUP(E$5,'2018 Auction Data'!$E$29:$H$33,4,FALSE)</f>
        <v>12.73</v>
      </c>
      <c r="F12" s="3">
        <f>E12*(1+F15+0.05)</f>
        <v>13.679235212078204</v>
      </c>
      <c r="G12" s="3">
        <f t="shared" ref="G12:S12" si="2">F12*(1+G15+0.05)</f>
        <v>14.733994895176604</v>
      </c>
      <c r="H12" s="3">
        <f t="shared" si="2"/>
        <v>15.875931635976718</v>
      </c>
      <c r="I12" s="3">
        <f t="shared" si="2"/>
        <v>17.071487841732193</v>
      </c>
      <c r="J12" s="3">
        <f t="shared" si="2"/>
        <v>18.328632345520401</v>
      </c>
      <c r="K12" s="3">
        <f t="shared" si="2"/>
        <v>19.670424147540725</v>
      </c>
      <c r="L12" s="3">
        <f t="shared" si="2"/>
        <v>21.103644992192336</v>
      </c>
      <c r="M12" s="3">
        <f t="shared" si="2"/>
        <v>22.6332031379022</v>
      </c>
      <c r="N12" s="3">
        <f t="shared" si="2"/>
        <v>24.264575798183902</v>
      </c>
      <c r="O12" s="3">
        <f t="shared" si="2"/>
        <v>26.020249038022108</v>
      </c>
      <c r="P12" s="3">
        <f t="shared" si="2"/>
        <v>27.916279792778138</v>
      </c>
      <c r="Q12" s="3">
        <f t="shared" si="2"/>
        <v>29.962047018233569</v>
      </c>
      <c r="R12" s="3">
        <f t="shared" si="2"/>
        <v>32.158063146442572</v>
      </c>
      <c r="S12" s="3">
        <f t="shared" si="2"/>
        <v>34.508326085519734</v>
      </c>
      <c r="T12"/>
    </row>
    <row r="13" spans="1:21" s="2" customFormat="1" ht="17.25" x14ac:dyDescent="0.25">
      <c r="A13" s="2" t="s">
        <v>59</v>
      </c>
      <c r="B13" s="8"/>
      <c r="C13" s="15">
        <v>40</v>
      </c>
      <c r="D13" s="15">
        <f t="shared" ref="D13:I13" si="3">C13*1.05+D15</f>
        <v>42.001186976209787</v>
      </c>
      <c r="E13" s="15">
        <f t="shared" si="3"/>
        <v>44.113211237029979</v>
      </c>
      <c r="F13" s="15">
        <f t="shared" si="3"/>
        <v>46.343438586947329</v>
      </c>
      <c r="G13" s="15">
        <f t="shared" si="3"/>
        <v>48.68771714299902</v>
      </c>
      <c r="H13" s="21">
        <f t="shared" si="3"/>
        <v>51.149606538661395</v>
      </c>
      <c r="I13" s="15">
        <f t="shared" si="3"/>
        <v>53.732393073328836</v>
      </c>
      <c r="J13" s="15">
        <f t="shared" ref="J13:S13" si="4">J12+60*(J$14/$J14)</f>
        <v>78.328632345520404</v>
      </c>
      <c r="K13" s="15">
        <f t="shared" si="4"/>
        <v>81.062869072155948</v>
      </c>
      <c r="L13" s="15">
        <f t="shared" si="4"/>
        <v>83.89962651606541</v>
      </c>
      <c r="M13" s="15">
        <f t="shared" si="4"/>
        <v>86.840737027155882</v>
      </c>
      <c r="N13" s="15">
        <f t="shared" si="4"/>
        <v>89.88973083900791</v>
      </c>
      <c r="O13" s="15">
        <f t="shared" si="4"/>
        <v>93.112481081292231</v>
      </c>
      <c r="P13" s="15">
        <f t="shared" si="4"/>
        <v>96.542744117484176</v>
      </c>
      <c r="Q13" s="15">
        <f t="shared" si="4"/>
        <v>100.18628844223738</v>
      </c>
      <c r="R13" s="15">
        <f t="shared" si="4"/>
        <v>104.01805614510484</v>
      </c>
      <c r="S13" s="15">
        <f t="shared" si="4"/>
        <v>108.02718667444935</v>
      </c>
    </row>
    <row r="14" spans="1:21" s="2" customFormat="1" ht="17.25" x14ac:dyDescent="0.25">
      <c r="A14" s="2" t="s">
        <v>62</v>
      </c>
      <c r="B14" s="15">
        <v>98.298875293518378</v>
      </c>
      <c r="C14" s="15">
        <v>99.881643155873078</v>
      </c>
      <c r="D14" s="15">
        <v>100</v>
      </c>
      <c r="E14" s="15">
        <v>101.19649120097006</v>
      </c>
      <c r="F14" s="15">
        <v>103.68256395331142</v>
      </c>
      <c r="G14" s="15">
        <v>106.49304851014134</v>
      </c>
      <c r="H14" s="15">
        <v>109.42198417114497</v>
      </c>
      <c r="I14" s="15">
        <v>112.19103963328659</v>
      </c>
      <c r="J14" s="15">
        <v>114.84323672451153</v>
      </c>
      <c r="K14" s="15">
        <v>117.50845142623538</v>
      </c>
      <c r="L14" s="15">
        <v>120.19489619157012</v>
      </c>
      <c r="M14" s="15">
        <v>122.89668356567762</v>
      </c>
      <c r="N14" s="15">
        <v>125.6100869239354</v>
      </c>
      <c r="O14" s="15">
        <v>128.41815144868548</v>
      </c>
      <c r="P14" s="15">
        <v>131.35475480014102</v>
      </c>
      <c r="Q14" s="15">
        <v>134.41298636093532</v>
      </c>
      <c r="R14" s="15">
        <v>137.54390311611851</v>
      </c>
      <c r="S14" s="15">
        <v>140.71906517218011</v>
      </c>
    </row>
    <row r="15" spans="1:21" s="2" customFormat="1" x14ac:dyDescent="0.25">
      <c r="A15" s="2" t="s">
        <v>9</v>
      </c>
      <c r="B15" s="7">
        <v>1.4647595320435247E-2</v>
      </c>
      <c r="C15" s="7">
        <v>1.6221877857286904E-2</v>
      </c>
      <c r="D15" s="7">
        <v>1.1869762097864722E-3</v>
      </c>
      <c r="E15" s="7">
        <v>1.1964912009700512E-2</v>
      </c>
      <c r="F15" s="7">
        <v>2.4566788065844669E-2</v>
      </c>
      <c r="G15" s="7">
        <v>2.7106626704326953E-2</v>
      </c>
      <c r="H15" s="7">
        <v>2.7503538512419601E-2</v>
      </c>
      <c r="I15" s="7">
        <v>2.5306207734367092E-2</v>
      </c>
      <c r="J15" s="7">
        <v>2.3640008149439007E-2</v>
      </c>
      <c r="K15" s="7">
        <v>2.3207415410253729E-2</v>
      </c>
      <c r="L15" s="7">
        <v>2.2861715329651311E-2</v>
      </c>
      <c r="M15" s="7">
        <v>2.2478386850979915E-2</v>
      </c>
      <c r="N15" s="7">
        <v>2.2078735402226712E-2</v>
      </c>
      <c r="O15" s="7">
        <v>2.2355406269645606E-2</v>
      </c>
      <c r="P15" s="7">
        <v>2.2867509914507478E-2</v>
      </c>
      <c r="Q15" s="7">
        <v>2.3282229603697635E-2</v>
      </c>
      <c r="R15" s="7">
        <v>2.329326086674266E-2</v>
      </c>
      <c r="S15" s="7">
        <v>2.3084716836783592E-2</v>
      </c>
    </row>
    <row r="16" spans="1:21" x14ac:dyDescent="0.25">
      <c r="A16" s="2"/>
      <c r="B16" s="3"/>
      <c r="C16" s="3"/>
      <c r="D16" s="3"/>
      <c r="E16" s="3"/>
    </row>
    <row r="18" spans="1:21" x14ac:dyDescent="0.25">
      <c r="B18">
        <v>2013</v>
      </c>
      <c r="C18">
        <v>2014</v>
      </c>
      <c r="D18">
        <v>2015</v>
      </c>
      <c r="E18">
        <v>2016</v>
      </c>
      <c r="F18">
        <v>2017</v>
      </c>
      <c r="G18">
        <v>2018</v>
      </c>
      <c r="H18">
        <v>2019</v>
      </c>
      <c r="I18">
        <v>2020</v>
      </c>
      <c r="J18">
        <v>2021</v>
      </c>
      <c r="K18">
        <v>2022</v>
      </c>
      <c r="L18">
        <v>2023</v>
      </c>
      <c r="M18">
        <v>2024</v>
      </c>
      <c r="N18">
        <v>2025</v>
      </c>
      <c r="O18">
        <v>2026</v>
      </c>
      <c r="P18">
        <v>2027</v>
      </c>
      <c r="Q18">
        <v>2028</v>
      </c>
      <c r="R18">
        <v>2029</v>
      </c>
      <c r="S18">
        <v>2030</v>
      </c>
    </row>
    <row r="19" spans="1:21" ht="18" x14ac:dyDescent="0.35">
      <c r="A19" s="1" t="s">
        <v>50</v>
      </c>
      <c r="B19" s="2"/>
    </row>
    <row r="20" spans="1:21" x14ac:dyDescent="0.25">
      <c r="A20" s="2" t="s">
        <v>4</v>
      </c>
      <c r="B20" s="5">
        <f>+B11/B$25*100</f>
        <v>12.511493224760265</v>
      </c>
      <c r="C20" s="5">
        <f t="shared" ref="C20:S20" si="5">+C7/C$25*100</f>
        <v>11.944646562748581</v>
      </c>
      <c r="D20" s="5">
        <f t="shared" si="5"/>
        <v>12.600639140891756</v>
      </c>
      <c r="E20" s="5">
        <f t="shared" si="5"/>
        <v>12.73</v>
      </c>
      <c r="F20" s="5">
        <f t="shared" si="5"/>
        <v>14.208215992779882</v>
      </c>
      <c r="G20" s="5">
        <f t="shared" si="5"/>
        <v>14.940316914665623</v>
      </c>
      <c r="H20" s="5">
        <f t="shared" si="5"/>
        <v>15.684566315038339</v>
      </c>
      <c r="I20" s="5">
        <f t="shared" si="5"/>
        <v>16.458721572974152</v>
      </c>
      <c r="J20" s="5">
        <f t="shared" si="5"/>
        <v>17.297392400185348</v>
      </c>
      <c r="K20" s="5">
        <f t="shared" si="5"/>
        <v>18.215231439034561</v>
      </c>
      <c r="L20" s="5">
        <f t="shared" si="5"/>
        <v>19.169355319654535</v>
      </c>
      <c r="M20" s="5">
        <f t="shared" si="5"/>
        <v>20.162071018628097</v>
      </c>
      <c r="N20" s="5">
        <f t="shared" si="5"/>
        <v>21.20419970033306</v>
      </c>
      <c r="O20" s="5">
        <f t="shared" si="5"/>
        <v>22.304305777050523</v>
      </c>
      <c r="P20" s="5">
        <f t="shared" si="5"/>
        <v>23.468060650345475</v>
      </c>
      <c r="Q20" s="5">
        <f t="shared" si="5"/>
        <v>24.700284831061431</v>
      </c>
      <c r="R20" s="5">
        <f t="shared" si="5"/>
        <v>25.997138179341135</v>
      </c>
      <c r="S20" s="5">
        <f t="shared" si="5"/>
        <v>27.365087891954648</v>
      </c>
      <c r="T20" s="10"/>
    </row>
    <row r="21" spans="1:21" x14ac:dyDescent="0.25">
      <c r="A21" s="2" t="s">
        <v>6</v>
      </c>
      <c r="B21" s="5"/>
      <c r="C21" s="5"/>
      <c r="D21" s="5"/>
      <c r="E21" s="5"/>
      <c r="F21" s="5">
        <f t="shared" ref="F21:S21" si="6">+F8/F$25*100</f>
        <v>14.208215992779882</v>
      </c>
      <c r="G21" s="5">
        <f t="shared" si="6"/>
        <v>13.892480000091073</v>
      </c>
      <c r="H21" s="5">
        <f t="shared" si="6"/>
        <v>15.450272663282508</v>
      </c>
      <c r="I21" s="5">
        <f t="shared" si="6"/>
        <v>17.21035968735395</v>
      </c>
      <c r="J21" s="5">
        <f t="shared" si="6"/>
        <v>19.229950555470211</v>
      </c>
      <c r="K21" s="5">
        <f t="shared" si="6"/>
        <v>21.538275449600107</v>
      </c>
      <c r="L21" s="5">
        <f t="shared" si="6"/>
        <v>24.115838161770185</v>
      </c>
      <c r="M21" s="5">
        <f t="shared" si="6"/>
        <v>26.996273084771428</v>
      </c>
      <c r="N21" s="5">
        <f t="shared" si="6"/>
        <v>30.229171493300083</v>
      </c>
      <c r="O21" s="5">
        <f t="shared" si="6"/>
        <v>33.846728009560444</v>
      </c>
      <c r="P21" s="5">
        <f t="shared" si="6"/>
        <v>37.889725375946142</v>
      </c>
      <c r="Q21" s="5">
        <f t="shared" si="6"/>
        <v>42.41257554684362</v>
      </c>
      <c r="R21" s="5">
        <f t="shared" si="6"/>
        <v>47.474696062145426</v>
      </c>
      <c r="S21" s="5">
        <f t="shared" si="6"/>
        <v>53.157170559635226</v>
      </c>
    </row>
    <row r="22" spans="1:21" x14ac:dyDescent="0.25">
      <c r="A22" s="2" t="s">
        <v>5</v>
      </c>
      <c r="B22" s="5"/>
      <c r="C22" s="5"/>
      <c r="D22" s="5"/>
      <c r="E22" s="5"/>
      <c r="F22" s="5">
        <f t="shared" ref="F22:S22" si="7">+F9/F$25*100</f>
        <v>14.208215992779882</v>
      </c>
      <c r="G22" s="5">
        <f t="shared" si="7"/>
        <v>14.135988582759126</v>
      </c>
      <c r="H22" s="5">
        <f t="shared" si="7"/>
        <v>16.255295616377822</v>
      </c>
      <c r="I22" s="5">
        <f t="shared" si="7"/>
        <v>18.72237712320927</v>
      </c>
      <c r="J22" s="5">
        <f t="shared" si="7"/>
        <v>21.630249444020549</v>
      </c>
      <c r="K22" s="5">
        <f t="shared" si="7"/>
        <v>25.049935116001233</v>
      </c>
      <c r="L22" s="5">
        <f t="shared" si="7"/>
        <v>29.000825322530577</v>
      </c>
      <c r="M22" s="5">
        <f t="shared" si="7"/>
        <v>33.567896518233191</v>
      </c>
      <c r="N22" s="5">
        <f t="shared" si="7"/>
        <v>38.865018403450122</v>
      </c>
      <c r="O22" s="5">
        <f t="shared" si="7"/>
        <v>44.994729265036483</v>
      </c>
      <c r="P22" s="5">
        <f t="shared" si="7"/>
        <v>52.080929589225235</v>
      </c>
      <c r="Q22" s="5">
        <f t="shared" si="7"/>
        <v>60.278749516021144</v>
      </c>
      <c r="R22" s="5">
        <f t="shared" si="7"/>
        <v>69.766044289134285</v>
      </c>
      <c r="S22" s="5">
        <f t="shared" si="7"/>
        <v>80.771115518198229</v>
      </c>
      <c r="T22" s="5"/>
      <c r="U22" s="5"/>
    </row>
    <row r="23" spans="1:21" x14ac:dyDescent="0.25">
      <c r="A23" s="2" t="s">
        <v>51</v>
      </c>
      <c r="C23" s="5"/>
      <c r="D23" s="5"/>
      <c r="E23" s="5">
        <f t="shared" ref="E23:S23" si="8">+E12/E$25*100</f>
        <v>12.73</v>
      </c>
      <c r="F23" s="5">
        <f t="shared" si="8"/>
        <v>13.415995617398165</v>
      </c>
      <c r="G23" s="5">
        <f t="shared" si="8"/>
        <v>14.107276124711918</v>
      </c>
      <c r="H23" s="5">
        <f t="shared" si="8"/>
        <v>14.810027736788028</v>
      </c>
      <c r="I23" s="5">
        <f t="shared" si="8"/>
        <v>15.54101771842474</v>
      </c>
      <c r="J23" s="5">
        <f t="shared" si="8"/>
        <v>16.332926016273166</v>
      </c>
      <c r="K23" s="5">
        <f t="shared" si="8"/>
        <v>17.199588272036685</v>
      </c>
      <c r="L23" s="5">
        <f t="shared" si="8"/>
        <v>18.100512202765024</v>
      </c>
      <c r="M23" s="5">
        <f t="shared" si="8"/>
        <v>19.037876152856967</v>
      </c>
      <c r="N23" s="5">
        <f t="shared" si="8"/>
        <v>20.021897921221374</v>
      </c>
      <c r="O23" s="5">
        <f t="shared" si="8"/>
        <v>21.060664386442241</v>
      </c>
      <c r="P23" s="5">
        <f t="shared" si="8"/>
        <v>22.159530724607762</v>
      </c>
      <c r="Q23" s="5">
        <f t="shared" si="8"/>
        <v>23.323048664969733</v>
      </c>
      <c r="R23" s="5">
        <f t="shared" si="8"/>
        <v>24.547592185829071</v>
      </c>
      <c r="S23" s="5">
        <f t="shared" si="8"/>
        <v>25.839267886604588</v>
      </c>
    </row>
    <row r="24" spans="1:21" x14ac:dyDescent="0.25">
      <c r="A24" s="2" t="s">
        <v>61</v>
      </c>
      <c r="C24" s="5">
        <f t="shared" ref="C24:S24" si="9">+C13/C$25*100</f>
        <v>40.9624825691319</v>
      </c>
      <c r="D24" s="5">
        <f t="shared" si="9"/>
        <v>42.552851937221078</v>
      </c>
      <c r="E24" s="5">
        <f t="shared" si="9"/>
        <v>44.113211237029979</v>
      </c>
      <c r="F24" s="5">
        <f t="shared" si="9"/>
        <v>45.451617677329835</v>
      </c>
      <c r="G24" s="5">
        <f t="shared" si="9"/>
        <v>46.616757675340878</v>
      </c>
      <c r="H24" s="5">
        <f t="shared" si="9"/>
        <v>47.715441772672065</v>
      </c>
      <c r="I24" s="5">
        <f t="shared" si="9"/>
        <v>48.915248661843378</v>
      </c>
      <c r="J24" s="5">
        <f t="shared" si="9"/>
        <v>69.799848288621575</v>
      </c>
      <c r="K24" s="5">
        <f t="shared" si="9"/>
        <v>70.880422391167059</v>
      </c>
      <c r="L24" s="5">
        <f t="shared" si="9"/>
        <v>71.960375286985368</v>
      </c>
      <c r="M24" s="5">
        <f t="shared" si="9"/>
        <v>73.045922244086299</v>
      </c>
      <c r="N24" s="5">
        <f t="shared" si="9"/>
        <v>74.172449170093699</v>
      </c>
      <c r="O24" s="5">
        <f t="shared" si="9"/>
        <v>75.364794217631044</v>
      </c>
      <c r="P24" s="5">
        <f t="shared" si="9"/>
        <v>76.634204857868554</v>
      </c>
      <c r="Q24" s="5">
        <f t="shared" si="9"/>
        <v>77.986983982737101</v>
      </c>
      <c r="R24" s="5">
        <f t="shared" si="9"/>
        <v>79.401324967395297</v>
      </c>
      <c r="S24" s="5">
        <f t="shared" si="9"/>
        <v>80.888983389102506</v>
      </c>
    </row>
    <row r="25" spans="1:21" ht="17.25" x14ac:dyDescent="0.25">
      <c r="A25" t="s">
        <v>63</v>
      </c>
      <c r="B25" s="3">
        <v>95.933731899094838</v>
      </c>
      <c r="C25" s="3">
        <v>97.650331452671281</v>
      </c>
      <c r="D25" s="3">
        <v>98.703576996848128</v>
      </c>
      <c r="E25" s="3">
        <v>100</v>
      </c>
      <c r="F25" s="3">
        <v>101.96213238426124</v>
      </c>
      <c r="G25" s="3">
        <v>104.44252146852682</v>
      </c>
      <c r="H25" s="3">
        <v>107.19717692723148</v>
      </c>
      <c r="I25" s="3">
        <v>109.84794014804446</v>
      </c>
      <c r="J25" s="3">
        <v>112.21891489166626</v>
      </c>
      <c r="K25" s="3">
        <v>114.36566873825205</v>
      </c>
      <c r="L25" s="3">
        <v>116.59142435189517</v>
      </c>
      <c r="M25" s="3">
        <v>118.88512645096544</v>
      </c>
      <c r="N25" s="3">
        <v>121.19018833107565</v>
      </c>
      <c r="O25" s="3">
        <v>123.54904176134438</v>
      </c>
      <c r="P25" s="3">
        <v>125.97865965535817</v>
      </c>
      <c r="Q25" s="3">
        <v>128.4653968211083</v>
      </c>
      <c r="R25" s="3">
        <v>131.00292241699739</v>
      </c>
      <c r="S25" s="3">
        <v>133.54993739357954</v>
      </c>
    </row>
    <row r="26" spans="1:21" ht="6.75" customHeight="1" x14ac:dyDescent="0.25">
      <c r="C26" s="13"/>
      <c r="D26" s="13"/>
      <c r="E26" s="13"/>
      <c r="F26" s="13"/>
      <c r="G26" s="13"/>
      <c r="H26" s="13"/>
      <c r="I26" s="13"/>
      <c r="J26" s="11"/>
      <c r="K26" s="13"/>
      <c r="L26" s="13"/>
      <c r="M26" s="13"/>
      <c r="N26" s="13"/>
      <c r="O26" s="13"/>
      <c r="P26" s="13"/>
      <c r="Q26" s="13"/>
      <c r="R26" s="13"/>
      <c r="S26" s="13"/>
      <c r="T26" s="11"/>
    </row>
    <row r="27" spans="1:21" ht="7.5" customHeight="1" x14ac:dyDescent="0.25">
      <c r="J27" s="6"/>
    </row>
    <row r="28" spans="1:21" ht="62.25" customHeight="1" x14ac:dyDescent="0.25">
      <c r="A28" s="55" t="s">
        <v>66</v>
      </c>
      <c r="B28" s="56"/>
      <c r="C28" s="56"/>
      <c r="D28" s="56"/>
      <c r="E28" s="56"/>
      <c r="F28" s="56"/>
      <c r="G28" s="56"/>
      <c r="H28" s="56"/>
      <c r="I28" s="56"/>
      <c r="J28" s="57"/>
      <c r="K28" s="57"/>
      <c r="L28" s="57"/>
      <c r="M28" s="57"/>
      <c r="S28" s="3"/>
    </row>
    <row r="29" spans="1:21" ht="18" customHeight="1" x14ac:dyDescent="0.25">
      <c r="A29" s="53" t="s">
        <v>55</v>
      </c>
      <c r="B29" s="53"/>
      <c r="C29" s="53"/>
      <c r="D29" s="53"/>
      <c r="E29" s="53"/>
      <c r="F29" s="53"/>
      <c r="G29" s="53"/>
      <c r="H29" s="53"/>
      <c r="I29" s="53"/>
      <c r="J29" s="53"/>
      <c r="K29" s="53"/>
      <c r="L29" s="53"/>
      <c r="M29" s="53"/>
    </row>
    <row r="30" spans="1:21" ht="30.75" customHeight="1" x14ac:dyDescent="0.25">
      <c r="A30" s="53" t="s">
        <v>57</v>
      </c>
      <c r="B30" s="53"/>
      <c r="C30" s="53"/>
      <c r="D30" s="53"/>
      <c r="E30" s="53"/>
      <c r="F30" s="53"/>
      <c r="G30" s="53"/>
      <c r="H30" s="53"/>
      <c r="I30" s="53"/>
      <c r="J30" s="53"/>
      <c r="K30" s="53"/>
      <c r="L30" s="53"/>
      <c r="M30" s="53"/>
    </row>
    <row r="31" spans="1:21" ht="84.75" customHeight="1" x14ac:dyDescent="0.25">
      <c r="A31" s="52" t="s">
        <v>65</v>
      </c>
      <c r="B31" s="54"/>
      <c r="C31" s="54"/>
      <c r="D31" s="54"/>
      <c r="E31" s="54"/>
      <c r="F31" s="54"/>
      <c r="G31" s="54"/>
      <c r="H31" s="54"/>
      <c r="I31" s="54"/>
      <c r="J31" s="54"/>
      <c r="K31" s="54"/>
      <c r="L31" s="54"/>
      <c r="M31" s="54"/>
    </row>
    <row r="32" spans="1:21" ht="18" x14ac:dyDescent="0.25">
      <c r="A32" s="4" t="s">
        <v>64</v>
      </c>
    </row>
    <row r="33" spans="1:19" ht="31.5" customHeight="1" x14ac:dyDescent="0.25">
      <c r="N33" s="16"/>
      <c r="O33" s="16"/>
      <c r="P33" s="16"/>
      <c r="Q33" s="16"/>
      <c r="R33" s="16"/>
      <c r="S33" s="16"/>
    </row>
    <row r="35" spans="1:19" ht="20.25" customHeight="1" x14ac:dyDescent="0.25"/>
    <row r="36" spans="1:19" x14ac:dyDescent="0.25">
      <c r="A36" s="22" t="s">
        <v>10</v>
      </c>
      <c r="B36" s="23"/>
      <c r="C36" s="23"/>
      <c r="D36" s="23"/>
      <c r="E36" s="23"/>
      <c r="F36" s="24"/>
    </row>
    <row r="37" spans="1:19" x14ac:dyDescent="0.25">
      <c r="A37" s="25"/>
      <c r="B37" s="26" t="s">
        <v>12</v>
      </c>
      <c r="C37" s="27"/>
      <c r="D37" s="26" t="s">
        <v>11</v>
      </c>
      <c r="E37" s="26" t="s">
        <v>2</v>
      </c>
      <c r="F37" s="28"/>
    </row>
    <row r="38" spans="1:19" x14ac:dyDescent="0.25">
      <c r="A38" s="25"/>
      <c r="B38" s="27" t="s">
        <v>13</v>
      </c>
      <c r="C38" s="27" t="s">
        <v>1</v>
      </c>
      <c r="D38" s="27"/>
      <c r="E38" s="27"/>
      <c r="F38" s="28"/>
    </row>
    <row r="39" spans="1:19" x14ac:dyDescent="0.25">
      <c r="A39" s="29">
        <v>2016</v>
      </c>
      <c r="B39" s="59">
        <f>+B45</f>
        <v>12.73</v>
      </c>
      <c r="C39" s="12">
        <v>1</v>
      </c>
      <c r="D39" s="62">
        <f>LN(B39)</f>
        <v>2.5439614125693151</v>
      </c>
      <c r="E39" s="63">
        <f t="array" ref="E39:F41">LINEST(D39:D41,C39:C41,1,TRUE)</f>
        <v>0.13231199211428599</v>
      </c>
      <c r="F39" s="64">
        <v>2.4101904026218834</v>
      </c>
    </row>
    <row r="40" spans="1:19" x14ac:dyDescent="0.25">
      <c r="A40" s="29">
        <v>2017</v>
      </c>
      <c r="B40" s="59">
        <f>+F11</f>
        <v>14.486740520427819</v>
      </c>
      <c r="C40" s="12">
        <v>2</v>
      </c>
      <c r="D40" s="62">
        <f t="shared" ref="D40:D41" si="10">LN(B40)</f>
        <v>2.6732337841978797</v>
      </c>
      <c r="E40" s="62">
        <v>2.1059108467988075E-4</v>
      </c>
      <c r="F40" s="65">
        <v>1.7237623187160878E-3</v>
      </c>
    </row>
    <row r="41" spans="1:19" x14ac:dyDescent="0.25">
      <c r="A41" s="29">
        <v>2030</v>
      </c>
      <c r="B41" s="60">
        <v>71</v>
      </c>
      <c r="C41" s="12">
        <v>14</v>
      </c>
      <c r="D41" s="62">
        <f t="shared" si="10"/>
        <v>4.2626798770413155</v>
      </c>
      <c r="E41" s="62">
        <v>0.99999746673603063</v>
      </c>
      <c r="F41" s="65">
        <v>2.1544884894291183E-3</v>
      </c>
    </row>
    <row r="42" spans="1:19" x14ac:dyDescent="0.25">
      <c r="A42" s="30"/>
      <c r="B42" s="60">
        <v>55</v>
      </c>
      <c r="C42" s="27"/>
      <c r="D42" s="66"/>
      <c r="E42" s="66"/>
      <c r="F42" s="67"/>
    </row>
    <row r="43" spans="1:19" x14ac:dyDescent="0.25">
      <c r="A43" s="30"/>
      <c r="B43" s="59">
        <f>53*S25/100</f>
        <v>70.781466818597153</v>
      </c>
      <c r="C43" s="27"/>
      <c r="D43" s="68"/>
      <c r="E43" s="68"/>
      <c r="F43" s="68"/>
      <c r="G43" s="6"/>
    </row>
    <row r="44" spans="1:19" x14ac:dyDescent="0.25">
      <c r="A44" s="30"/>
      <c r="B44" s="59" t="s">
        <v>0</v>
      </c>
      <c r="C44" s="27" t="s">
        <v>1</v>
      </c>
      <c r="D44" s="69" t="s">
        <v>3</v>
      </c>
      <c r="E44" s="66" t="s">
        <v>2</v>
      </c>
      <c r="F44" s="67"/>
    </row>
    <row r="45" spans="1:19" x14ac:dyDescent="0.25">
      <c r="A45" s="29">
        <v>2016</v>
      </c>
      <c r="B45" s="59">
        <f>+E11</f>
        <v>12.73</v>
      </c>
      <c r="C45" s="12">
        <v>1</v>
      </c>
      <c r="D45" s="62">
        <f>LN(B45)</f>
        <v>2.5439614125693151</v>
      </c>
      <c r="E45" s="62">
        <f t="array" ref="E45:F47">LINEST(D45:D47,C45:C47,1,TRUE)</f>
        <v>0.16572783979515648</v>
      </c>
      <c r="F45" s="65">
        <v>2.3607349480541941</v>
      </c>
    </row>
    <row r="46" spans="1:19" x14ac:dyDescent="0.25">
      <c r="A46" s="29">
        <v>2017</v>
      </c>
      <c r="B46" s="59">
        <f>+F11</f>
        <v>14.486740520427819</v>
      </c>
      <c r="C46" s="12">
        <v>2</v>
      </c>
      <c r="D46" s="62">
        <f t="shared" ref="D46:D47" si="11">LN(B46)</f>
        <v>2.6732337841978797</v>
      </c>
      <c r="E46" s="62">
        <v>2.525708923129877E-3</v>
      </c>
      <c r="F46" s="65">
        <v>2.067381853488412E-2</v>
      </c>
    </row>
    <row r="47" spans="1:19" x14ac:dyDescent="0.25">
      <c r="A47" s="31">
        <v>2030</v>
      </c>
      <c r="B47" s="61">
        <f>+S13</f>
        <v>108.02718667444935</v>
      </c>
      <c r="C47" s="32">
        <v>14</v>
      </c>
      <c r="D47" s="70">
        <f t="shared" si="11"/>
        <v>4.6823829239130488</v>
      </c>
      <c r="E47" s="70">
        <v>0.99976779327126064</v>
      </c>
      <c r="F47" s="71">
        <v>2.5839701670199E-2</v>
      </c>
    </row>
  </sheetData>
  <mergeCells count="4">
    <mergeCell ref="A30:M30"/>
    <mergeCell ref="A31:M31"/>
    <mergeCell ref="A28:M28"/>
    <mergeCell ref="A29:M29"/>
  </mergeCells>
  <pageMargins left="0" right="0" top="0.25" bottom="0.25" header="0" footer="0"/>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topLeftCell="A7" workbookViewId="0">
      <selection activeCell="B1" sqref="B1:B2"/>
    </sheetView>
  </sheetViews>
  <sheetFormatPr defaultRowHeight="12.75" x14ac:dyDescent="0.25"/>
  <cols>
    <col min="1" max="1" width="9.140625" style="33"/>
    <col min="2" max="2" width="40" style="33" customWidth="1"/>
    <col min="3" max="4" width="17.85546875" style="33" customWidth="1"/>
    <col min="5" max="5" width="13.85546875" style="33" customWidth="1"/>
    <col min="6" max="6" width="16.85546875" style="33" customWidth="1"/>
    <col min="7" max="8" width="17.85546875" style="33" customWidth="1"/>
    <col min="9" max="9" width="13.85546875" style="33" customWidth="1"/>
    <col min="10" max="16384" width="9.140625" style="33"/>
  </cols>
  <sheetData>
    <row r="1" spans="1:9" ht="17.100000000000001" customHeight="1" x14ac:dyDescent="0.25">
      <c r="B1" s="58" t="s">
        <v>14</v>
      </c>
    </row>
    <row r="2" spans="1:9" ht="17.100000000000001" customHeight="1" x14ac:dyDescent="0.25">
      <c r="B2" s="58" t="s">
        <v>15</v>
      </c>
    </row>
    <row r="3" spans="1:9" ht="15" customHeight="1" x14ac:dyDescent="0.25">
      <c r="B3" s="34" t="s">
        <v>16</v>
      </c>
    </row>
    <row r="4" spans="1:9" ht="60.95" customHeight="1" x14ac:dyDescent="0.25">
      <c r="A4" s="35" t="s">
        <v>17</v>
      </c>
      <c r="B4" s="36" t="s">
        <v>18</v>
      </c>
      <c r="C4" s="37" t="s">
        <v>19</v>
      </c>
      <c r="D4" s="37" t="s">
        <v>20</v>
      </c>
      <c r="E4" s="37" t="s">
        <v>21</v>
      </c>
      <c r="F4" s="37" t="s">
        <v>22</v>
      </c>
      <c r="G4" s="37" t="s">
        <v>23</v>
      </c>
      <c r="H4" s="37" t="s">
        <v>24</v>
      </c>
      <c r="I4" s="37" t="s">
        <v>25</v>
      </c>
    </row>
    <row r="5" spans="1:9" ht="21" customHeight="1" x14ac:dyDescent="0.25">
      <c r="A5" s="33">
        <v>2017</v>
      </c>
      <c r="B5" s="38" t="s">
        <v>26</v>
      </c>
      <c r="C5" s="39">
        <v>79548286</v>
      </c>
      <c r="D5" s="39">
        <v>79548286</v>
      </c>
      <c r="E5" s="40">
        <v>15.06</v>
      </c>
      <c r="F5" s="40">
        <f>D5*E5</f>
        <v>1197997187.1600001</v>
      </c>
      <c r="G5" s="39">
        <v>9723500</v>
      </c>
      <c r="H5" s="39">
        <v>9723500</v>
      </c>
      <c r="I5" s="41">
        <v>14.76</v>
      </c>
    </row>
    <row r="6" spans="1:9" ht="21" customHeight="1" x14ac:dyDescent="0.25">
      <c r="A6" s="33">
        <f>+A5</f>
        <v>2017</v>
      </c>
      <c r="B6" s="42" t="s">
        <v>27</v>
      </c>
      <c r="C6" s="43">
        <v>63887833</v>
      </c>
      <c r="D6" s="43">
        <v>63887833</v>
      </c>
      <c r="E6" s="44">
        <v>14.75</v>
      </c>
      <c r="F6" s="40">
        <f t="shared" ref="F6:F25" si="0">D6*E6</f>
        <v>942345536.75</v>
      </c>
      <c r="G6" s="43">
        <v>9723500</v>
      </c>
      <c r="H6" s="43">
        <v>9723500</v>
      </c>
      <c r="I6" s="45">
        <v>14.55</v>
      </c>
    </row>
    <row r="7" spans="1:9" ht="21" customHeight="1" x14ac:dyDescent="0.25">
      <c r="A7" s="33">
        <f t="shared" ref="A7:A8" si="1">+A6</f>
        <v>2017</v>
      </c>
      <c r="B7" s="38" t="s">
        <v>28</v>
      </c>
      <c r="C7" s="39">
        <v>75311960</v>
      </c>
      <c r="D7" s="39">
        <v>75311960</v>
      </c>
      <c r="E7" s="40">
        <v>13.8</v>
      </c>
      <c r="F7" s="40">
        <f t="shared" si="0"/>
        <v>1039305048</v>
      </c>
      <c r="G7" s="39">
        <v>9723500</v>
      </c>
      <c r="H7" s="39">
        <v>2117000</v>
      </c>
      <c r="I7" s="41">
        <v>13.57</v>
      </c>
    </row>
    <row r="8" spans="1:9" ht="21" customHeight="1" x14ac:dyDescent="0.25">
      <c r="A8" s="33">
        <f t="shared" si="1"/>
        <v>2017</v>
      </c>
      <c r="B8" s="42" t="s">
        <v>29</v>
      </c>
      <c r="C8" s="43">
        <v>65104273</v>
      </c>
      <c r="D8" s="43">
        <v>11673000</v>
      </c>
      <c r="E8" s="44">
        <v>13.57</v>
      </c>
      <c r="F8" s="40">
        <f t="shared" si="0"/>
        <v>158402610</v>
      </c>
      <c r="G8" s="43">
        <v>9723500</v>
      </c>
      <c r="H8" s="43">
        <v>701000</v>
      </c>
      <c r="I8" s="45">
        <v>13.57</v>
      </c>
    </row>
    <row r="9" spans="1:9" ht="21" customHeight="1" x14ac:dyDescent="0.25">
      <c r="A9" s="33">
        <f>+A5-1</f>
        <v>2016</v>
      </c>
      <c r="B9" s="38" t="s">
        <v>30</v>
      </c>
      <c r="C9" s="39">
        <v>87069495</v>
      </c>
      <c r="D9" s="39">
        <v>76960000</v>
      </c>
      <c r="E9" s="40">
        <v>12.73</v>
      </c>
      <c r="F9" s="40">
        <f t="shared" si="0"/>
        <v>979700800</v>
      </c>
      <c r="G9" s="39">
        <v>10078750</v>
      </c>
      <c r="H9" s="39">
        <v>1020000</v>
      </c>
      <c r="I9" s="41">
        <v>12.73</v>
      </c>
    </row>
    <row r="10" spans="1:9" ht="21" customHeight="1" x14ac:dyDescent="0.25">
      <c r="A10" s="33">
        <f t="shared" ref="A10:A24" si="2">+A6-1</f>
        <v>2016</v>
      </c>
      <c r="B10" s="42" t="s">
        <v>31</v>
      </c>
      <c r="C10" s="43">
        <v>86278410</v>
      </c>
      <c r="D10" s="43">
        <v>30021000</v>
      </c>
      <c r="E10" s="44">
        <v>12.73</v>
      </c>
      <c r="F10" s="40">
        <f t="shared" si="0"/>
        <v>382167330</v>
      </c>
      <c r="G10" s="43">
        <v>10078750</v>
      </c>
      <c r="H10" s="43">
        <v>769000</v>
      </c>
      <c r="I10" s="45">
        <v>12.73</v>
      </c>
    </row>
    <row r="11" spans="1:9" ht="21" customHeight="1" x14ac:dyDescent="0.25">
      <c r="A11" s="33">
        <f t="shared" si="2"/>
        <v>2016</v>
      </c>
      <c r="B11" s="38" t="s">
        <v>32</v>
      </c>
      <c r="C11" s="39">
        <v>67675951</v>
      </c>
      <c r="D11" s="39">
        <v>7260000</v>
      </c>
      <c r="E11" s="40">
        <v>12.73</v>
      </c>
      <c r="F11" s="40">
        <f t="shared" si="0"/>
        <v>92419800</v>
      </c>
      <c r="G11" s="39">
        <v>10078750</v>
      </c>
      <c r="H11" s="39">
        <v>914000</v>
      </c>
      <c r="I11" s="41">
        <v>12.73</v>
      </c>
    </row>
    <row r="12" spans="1:9" ht="21" customHeight="1" x14ac:dyDescent="0.25">
      <c r="A12" s="33">
        <f t="shared" si="2"/>
        <v>2016</v>
      </c>
      <c r="B12" s="42" t="s">
        <v>33</v>
      </c>
      <c r="C12" s="43">
        <v>71555827</v>
      </c>
      <c r="D12" s="43">
        <v>68026000</v>
      </c>
      <c r="E12" s="44">
        <v>12.73</v>
      </c>
      <c r="F12" s="40">
        <f t="shared" si="0"/>
        <v>865970980</v>
      </c>
      <c r="G12" s="43">
        <v>10078750</v>
      </c>
      <c r="H12" s="43">
        <v>9361000</v>
      </c>
      <c r="I12" s="45">
        <v>12.73</v>
      </c>
    </row>
    <row r="13" spans="1:9" ht="21" customHeight="1" x14ac:dyDescent="0.25">
      <c r="A13" s="33">
        <f t="shared" si="2"/>
        <v>2015</v>
      </c>
      <c r="B13" s="38" t="s">
        <v>34</v>
      </c>
      <c r="C13" s="39">
        <v>75113008</v>
      </c>
      <c r="D13" s="39">
        <v>75113008</v>
      </c>
      <c r="E13" s="40">
        <v>12.73</v>
      </c>
      <c r="F13" s="40">
        <f t="shared" si="0"/>
        <v>956188591.84000003</v>
      </c>
      <c r="G13" s="39">
        <v>10431500</v>
      </c>
      <c r="H13" s="39">
        <v>10431500</v>
      </c>
      <c r="I13" s="41">
        <v>12.65</v>
      </c>
    </row>
    <row r="14" spans="1:9" ht="21" customHeight="1" x14ac:dyDescent="0.25">
      <c r="A14" s="33">
        <f t="shared" si="2"/>
        <v>2015</v>
      </c>
      <c r="B14" s="42" t="s">
        <v>35</v>
      </c>
      <c r="C14" s="43">
        <v>73429360</v>
      </c>
      <c r="D14" s="43">
        <v>73429360</v>
      </c>
      <c r="E14" s="44">
        <v>12.52</v>
      </c>
      <c r="F14" s="40">
        <f t="shared" si="0"/>
        <v>919335587.19999993</v>
      </c>
      <c r="G14" s="43">
        <v>10431500</v>
      </c>
      <c r="H14" s="43">
        <v>10431500</v>
      </c>
      <c r="I14" s="45">
        <v>12.3</v>
      </c>
    </row>
    <row r="15" spans="1:9" ht="21" customHeight="1" x14ac:dyDescent="0.25">
      <c r="A15" s="33">
        <f t="shared" si="2"/>
        <v>2015</v>
      </c>
      <c r="B15" s="38" t="s">
        <v>36</v>
      </c>
      <c r="C15" s="39">
        <v>76931627</v>
      </c>
      <c r="D15" s="39">
        <v>76931627</v>
      </c>
      <c r="E15" s="40">
        <v>12.29</v>
      </c>
      <c r="F15" s="40">
        <f t="shared" si="0"/>
        <v>945489695.82999992</v>
      </c>
      <c r="G15" s="39">
        <v>10431500</v>
      </c>
      <c r="H15" s="39">
        <v>9812000</v>
      </c>
      <c r="I15" s="41">
        <v>12.1</v>
      </c>
    </row>
    <row r="16" spans="1:9" ht="21" customHeight="1" x14ac:dyDescent="0.25">
      <c r="A16" s="33">
        <f t="shared" si="2"/>
        <v>2015</v>
      </c>
      <c r="B16" s="42" t="s">
        <v>37</v>
      </c>
      <c r="C16" s="43">
        <v>73610528</v>
      </c>
      <c r="D16" s="43">
        <v>73610528</v>
      </c>
      <c r="E16" s="44">
        <v>12.21</v>
      </c>
      <c r="F16" s="40">
        <f t="shared" si="0"/>
        <v>898784546.88000011</v>
      </c>
      <c r="G16" s="43">
        <v>10431500</v>
      </c>
      <c r="H16" s="43">
        <v>10431500</v>
      </c>
      <c r="I16" s="45">
        <v>12.1</v>
      </c>
    </row>
    <row r="17" spans="1:9" ht="21" customHeight="1" x14ac:dyDescent="0.25">
      <c r="A17" s="33">
        <f t="shared" si="2"/>
        <v>2014</v>
      </c>
      <c r="B17" s="38" t="s">
        <v>38</v>
      </c>
      <c r="C17" s="39">
        <v>23070987</v>
      </c>
      <c r="D17" s="39">
        <v>23070987</v>
      </c>
      <c r="E17" s="40">
        <v>12.1</v>
      </c>
      <c r="F17" s="40">
        <f t="shared" si="0"/>
        <v>279158942.69999999</v>
      </c>
      <c r="G17" s="39">
        <v>10787000</v>
      </c>
      <c r="H17" s="39">
        <v>10787000</v>
      </c>
      <c r="I17" s="41">
        <v>11.86</v>
      </c>
    </row>
    <row r="18" spans="1:9" ht="21" customHeight="1" x14ac:dyDescent="0.25">
      <c r="A18" s="33">
        <f t="shared" si="2"/>
        <v>2014</v>
      </c>
      <c r="B18" s="46" t="s">
        <v>39</v>
      </c>
      <c r="C18" s="47"/>
      <c r="D18" s="43">
        <v>22473043</v>
      </c>
      <c r="E18" s="44">
        <v>11.5</v>
      </c>
      <c r="F18" s="40">
        <f t="shared" si="0"/>
        <v>258439994.5</v>
      </c>
      <c r="G18" s="43">
        <v>9260000</v>
      </c>
      <c r="H18" s="43">
        <v>6470000</v>
      </c>
      <c r="I18" s="45">
        <v>11.34</v>
      </c>
    </row>
    <row r="19" spans="1:9" ht="21" customHeight="1" x14ac:dyDescent="0.25">
      <c r="A19" s="33">
        <f t="shared" si="2"/>
        <v>2014</v>
      </c>
      <c r="B19" s="48" t="s">
        <v>40</v>
      </c>
      <c r="C19" s="49"/>
      <c r="D19" s="39">
        <v>16947080</v>
      </c>
      <c r="E19" s="40">
        <v>11.5</v>
      </c>
      <c r="F19" s="40">
        <f t="shared" si="0"/>
        <v>194891420</v>
      </c>
      <c r="G19" s="39">
        <v>9260000</v>
      </c>
      <c r="H19" s="39">
        <v>4036000</v>
      </c>
      <c r="I19" s="41">
        <v>11.34</v>
      </c>
    </row>
    <row r="20" spans="1:9" ht="21" customHeight="1" x14ac:dyDescent="0.25">
      <c r="A20" s="33">
        <f t="shared" si="2"/>
        <v>2014</v>
      </c>
      <c r="B20" s="46" t="s">
        <v>41</v>
      </c>
      <c r="C20" s="47"/>
      <c r="D20" s="43">
        <v>19538695</v>
      </c>
      <c r="E20" s="44">
        <v>11.48</v>
      </c>
      <c r="F20" s="40">
        <f t="shared" si="0"/>
        <v>224304218.59999999</v>
      </c>
      <c r="G20" s="43">
        <v>9260000</v>
      </c>
      <c r="H20" s="43">
        <v>9260000</v>
      </c>
      <c r="I20" s="45">
        <v>11.38</v>
      </c>
    </row>
    <row r="21" spans="1:9" ht="21" customHeight="1" x14ac:dyDescent="0.25">
      <c r="A21" s="33">
        <f t="shared" si="2"/>
        <v>2013</v>
      </c>
      <c r="B21" s="48" t="s">
        <v>42</v>
      </c>
      <c r="C21" s="49"/>
      <c r="D21" s="39">
        <v>16614526</v>
      </c>
      <c r="E21" s="40">
        <v>11.48</v>
      </c>
      <c r="F21" s="40">
        <f t="shared" si="0"/>
        <v>190734758.48000002</v>
      </c>
      <c r="G21" s="39">
        <v>9560000</v>
      </c>
      <c r="H21" s="39">
        <v>9560000</v>
      </c>
      <c r="I21" s="41">
        <v>11.1</v>
      </c>
    </row>
    <row r="22" spans="1:9" ht="21" customHeight="1" x14ac:dyDescent="0.25">
      <c r="A22" s="33">
        <f t="shared" si="2"/>
        <v>2013</v>
      </c>
      <c r="B22" s="46" t="s">
        <v>43</v>
      </c>
      <c r="C22" s="47"/>
      <c r="D22" s="43">
        <v>13865422</v>
      </c>
      <c r="E22" s="44">
        <v>12.22</v>
      </c>
      <c r="F22" s="40">
        <f t="shared" si="0"/>
        <v>169435456.84</v>
      </c>
      <c r="G22" s="43">
        <v>9560000</v>
      </c>
      <c r="H22" s="43">
        <v>9560000</v>
      </c>
      <c r="I22" s="45">
        <v>11.1</v>
      </c>
    </row>
    <row r="23" spans="1:9" ht="21" customHeight="1" x14ac:dyDescent="0.25">
      <c r="A23" s="33">
        <f t="shared" si="2"/>
        <v>2013</v>
      </c>
      <c r="B23" s="48" t="s">
        <v>44</v>
      </c>
      <c r="C23" s="49"/>
      <c r="D23" s="39">
        <v>14522048</v>
      </c>
      <c r="E23" s="40">
        <v>14</v>
      </c>
      <c r="F23" s="40">
        <f t="shared" si="0"/>
        <v>203308672</v>
      </c>
      <c r="G23" s="39">
        <v>9560000</v>
      </c>
      <c r="H23" s="39">
        <v>7515000</v>
      </c>
      <c r="I23" s="41">
        <v>10.71</v>
      </c>
    </row>
    <row r="24" spans="1:9" ht="21" customHeight="1" x14ac:dyDescent="0.25">
      <c r="A24" s="33">
        <f t="shared" si="2"/>
        <v>2013</v>
      </c>
      <c r="B24" s="46" t="s">
        <v>45</v>
      </c>
      <c r="C24" s="47"/>
      <c r="D24" s="43">
        <v>12924822</v>
      </c>
      <c r="E24" s="44">
        <v>13.62</v>
      </c>
      <c r="F24" s="40">
        <f t="shared" si="0"/>
        <v>176036075.63999999</v>
      </c>
      <c r="G24" s="43">
        <v>9560000</v>
      </c>
      <c r="H24" s="43">
        <v>4440000</v>
      </c>
      <c r="I24" s="45">
        <v>10.71</v>
      </c>
    </row>
    <row r="25" spans="1:9" ht="21" customHeight="1" x14ac:dyDescent="0.25">
      <c r="A25" s="33">
        <v>2013</v>
      </c>
      <c r="B25" s="48" t="s">
        <v>46</v>
      </c>
      <c r="C25" s="49"/>
      <c r="D25" s="39">
        <v>23126110</v>
      </c>
      <c r="E25" s="40">
        <v>10.09</v>
      </c>
      <c r="F25" s="40">
        <f t="shared" si="0"/>
        <v>233342449.90000001</v>
      </c>
      <c r="G25" s="39">
        <v>39450000</v>
      </c>
      <c r="H25" s="39">
        <v>5576000</v>
      </c>
      <c r="I25" s="41">
        <v>10</v>
      </c>
    </row>
    <row r="27" spans="1:9" x14ac:dyDescent="0.25">
      <c r="A27" s="33" t="s">
        <v>54</v>
      </c>
      <c r="H27" s="33" t="s">
        <v>53</v>
      </c>
    </row>
    <row r="28" spans="1:9" x14ac:dyDescent="0.25">
      <c r="E28" s="33">
        <v>2012</v>
      </c>
      <c r="F28" s="35" t="s">
        <v>47</v>
      </c>
      <c r="G28" s="35" t="s">
        <v>48</v>
      </c>
      <c r="H28" s="33" t="s">
        <v>52</v>
      </c>
    </row>
    <row r="29" spans="1:9" x14ac:dyDescent="0.25">
      <c r="E29" s="33">
        <v>2013</v>
      </c>
      <c r="F29" s="33">
        <f t="shared" ref="F29:F33" si="3">SUMIF($A$5:$A$25,$E29,D$5:D$25)</f>
        <v>81052928</v>
      </c>
      <c r="G29" s="33">
        <f t="shared" ref="G29:G33" si="4">SUMIF($A$5:$A$25,$E29,F$5:F$25)</f>
        <v>972857412.86000001</v>
      </c>
      <c r="H29" s="33">
        <f t="shared" ref="H29:H33" si="5">+G29/F29</f>
        <v>12.002742366814928</v>
      </c>
    </row>
    <row r="30" spans="1:9" x14ac:dyDescent="0.25">
      <c r="E30" s="33">
        <f t="shared" ref="E30:E33" si="6">+E29+1</f>
        <v>2014</v>
      </c>
      <c r="F30" s="33">
        <f t="shared" si="3"/>
        <v>82029805</v>
      </c>
      <c r="G30" s="33">
        <f t="shared" si="4"/>
        <v>956794575.80000007</v>
      </c>
      <c r="H30" s="33">
        <f t="shared" si="5"/>
        <v>11.663986959374096</v>
      </c>
    </row>
    <row r="31" spans="1:9" x14ac:dyDescent="0.25">
      <c r="E31" s="33">
        <f t="shared" si="6"/>
        <v>2015</v>
      </c>
      <c r="F31" s="33">
        <f t="shared" si="3"/>
        <v>299084523</v>
      </c>
      <c r="G31" s="33">
        <f t="shared" si="4"/>
        <v>3719798421.75</v>
      </c>
      <c r="H31" s="33">
        <f t="shared" si="5"/>
        <v>12.437281556525077</v>
      </c>
    </row>
    <row r="32" spans="1:9" x14ac:dyDescent="0.25">
      <c r="E32" s="33">
        <f t="shared" si="6"/>
        <v>2016</v>
      </c>
      <c r="F32" s="33">
        <f t="shared" si="3"/>
        <v>182267000</v>
      </c>
      <c r="G32" s="33">
        <f t="shared" si="4"/>
        <v>2320258910</v>
      </c>
      <c r="H32" s="33">
        <f t="shared" si="5"/>
        <v>12.73</v>
      </c>
    </row>
    <row r="33" spans="5:8" x14ac:dyDescent="0.25">
      <c r="E33" s="33">
        <f t="shared" si="6"/>
        <v>2017</v>
      </c>
      <c r="F33" s="33">
        <f t="shared" si="3"/>
        <v>230421079</v>
      </c>
      <c r="G33" s="33">
        <f t="shared" si="4"/>
        <v>3338050381.9099998</v>
      </c>
      <c r="H33" s="33">
        <f t="shared" si="5"/>
        <v>14.486740520427819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Z5JXHV6S7NA6-3-113951</_dlc_DocId>
    <_dlc_DocIdUrl xmlns="8eef3743-c7b3-4cbe-8837-b6e805be353c">
      <Url>http://efilingspinternal/_layouts/DocIdRedir.aspx?ID=Z5JXHV6S7NA6-3-113951</Url>
      <Description>Z5JXHV6S7NA6-3-113951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E83B71-EA46-44FD-B933-F5725FB73194}"/>
</file>

<file path=customXml/itemProps2.xml><?xml version="1.0" encoding="utf-8"?>
<ds:datastoreItem xmlns:ds="http://schemas.openxmlformats.org/officeDocument/2006/customXml" ds:itemID="{CB6138D0-CF2B-48B8-A381-04323F788BBF}"/>
</file>

<file path=customXml/itemProps3.xml><?xml version="1.0" encoding="utf-8"?>
<ds:datastoreItem xmlns:ds="http://schemas.openxmlformats.org/officeDocument/2006/customXml" ds:itemID="{97286A6E-D31B-4B10-8DC5-812C72CEEB9F}"/>
</file>

<file path=customXml/itemProps4.xml><?xml version="1.0" encoding="utf-8"?>
<ds:datastoreItem xmlns:ds="http://schemas.openxmlformats.org/officeDocument/2006/customXml" ds:itemID="{D7E5647E-4B15-49FC-9E0F-A49D8B0E632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Cover</vt:lpstr>
      <vt:lpstr>GHG Price Calculations 2017</vt:lpstr>
      <vt:lpstr>2018 Auction Data</vt:lpstr>
      <vt:lpstr>'GHG Price Calculations 2017'!Print_Area</vt:lpstr>
      <vt:lpstr>'GHG Price Calculations 2017'!Print_Titles</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IEPR Revised Carbon Allowance Price Projections</dc:title>
  <dc:creator>AngelaT</dc:creator>
  <cp:lastModifiedBy>Marshall, Lynn@Energy</cp:lastModifiedBy>
  <cp:lastPrinted>2018-01-16T20:13:02Z</cp:lastPrinted>
  <dcterms:created xsi:type="dcterms:W3CDTF">2013-03-06T20:05:34Z</dcterms:created>
  <dcterms:modified xsi:type="dcterms:W3CDTF">2018-01-16T20:25:51Z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88730cd6-dede-401d-bdfb-6d7b3f335086</vt:lpwstr>
  </property>
  <property fmtid="{D5CDD505-2E9C-101B-9397-08002B2CF9AE}" pid="4" name="Subject_x0020_Areas">
    <vt:lpwstr/>
  </property>
  <property fmtid="{D5CDD505-2E9C-101B-9397-08002B2CF9AE}" pid="5" name="_CopySource">
    <vt:lpwstr>http://efilingspinternal/PendingDocuments/17-IEPR-03/20180116T123231_2017_IEPR_Revised_Carbon_Allowance_Price_Projections.xlsx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2555500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