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1.xml" ContentType="application/vnd.openxmlformats-officedocument.spreadsheetml.pivotTable+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pivotCache/pivotCacheRecords1.xml" ContentType="application/vnd.openxmlformats-officedocument.spreadsheetml.pivotCacheRecords+xml"/>
  <Override PartName="/xl/customProperty1.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pivotCache/pivotCacheDefinition1.xml" ContentType="application/vnd.openxmlformats-officedocument.spreadsheetml.pivotCacheDefini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ustomProperty14.bin" ContentType="application/vnd.openxmlformats-officedocument.spreadsheetml.customProperty"/>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16" yWindow="-168" windowWidth="28836" windowHeight="6660" tabRatio="816"/>
  </bookViews>
  <sheets>
    <sheet name="Introduction" sheetId="21" r:id="rId1"/>
    <sheet name="Summary" sheetId="18" r:id="rId2"/>
    <sheet name="All Scenarios" sheetId="19" r:id="rId3"/>
    <sheet name="Axial Housed" sheetId="17" r:id="rId4"/>
    <sheet name="Axial Unhoused" sheetId="16" r:id="rId5"/>
    <sheet name="Centrif Housed" sheetId="15" r:id="rId6"/>
    <sheet name="Centrif Unhous" sheetId="14" r:id="rId7"/>
    <sheet name="Inline-Mixed" sheetId="13" r:id="rId8"/>
    <sheet name="Radial" sheetId="12" r:id="rId9"/>
    <sheet name="Power Roof Vent" sheetId="11" r:id="rId10"/>
    <sheet name="Shipments" sheetId="9" r:id="rId11"/>
    <sheet name="Price Index" sheetId="8" r:id="rId12"/>
    <sheet name="Energy Index" sheetId="7" state="hidden" r:id="rId13"/>
    <sheet name="Energy Factors" sheetId="25" state="hidden" r:id="rId14"/>
    <sheet name="Lifetime" sheetId="6" r:id="rId15"/>
    <sheet name="Energy Prices" sheetId="5" r:id="rId16"/>
    <sheet name="Tables" sheetId="2" state="hidden" r:id="rId17"/>
    <sheet name="LCC Inputs" sheetId="10" r:id="rId18"/>
    <sheet name="Sheet1" sheetId="26" state="hidden" r:id="rId19"/>
  </sheets>
  <externalReferences>
    <externalReference r:id="rId20"/>
    <externalReference r:id="rId21"/>
    <externalReference r:id="rId22"/>
  </externalReferences>
  <definedNames>
    <definedName name="_base">{0,0,0,0,0,0,0}</definedName>
    <definedName name="_doName">Tables!$C$6:$I$12</definedName>
    <definedName name="_doShort">Tables!$C$14:$I$20</definedName>
    <definedName name="_effDistrib">"RollUp"</definedName>
    <definedName name="_EIdx">Tables!$C$38:$D$38</definedName>
    <definedName name="_fuel">{"Electricity"}</definedName>
    <definedName name="_maxLT">60</definedName>
    <definedName name="_mDO">7</definedName>
    <definedName name="_nPC">7</definedName>
    <definedName name="_nUnit">1000</definedName>
    <definedName name="_pcName">Tables!$B$6:$B$12</definedName>
    <definedName name="_pcShort">Tables!$B$14:$B$20</definedName>
    <definedName name="_PIdx">Tables!$C$41:$E$41</definedName>
    <definedName name="_segDolFuelPC">"AllPC"</definedName>
    <definedName name="_segDynMSP">"AllPCDO"</definedName>
    <definedName name="_segEnergyTrend">"AllPCDO"</definedName>
    <definedName name="_segPSurvPC">"byPC"</definedName>
    <definedName name="_SScen">{"AEO Reference","AEO Low","AEO High"}</definedName>
    <definedName name="_t">{1,2,3,4,5,6,7,8,9,10,11,12,13,14,15,16,17,18,19,20,21,22,23,24,25,26,27,28,29,30,31,32,33,34,35,36,37,38,39,40,41,42,43,44,45,46,47,48,49,50,51,52,53,54,55,56,57,58,59,60}</definedName>
    <definedName name="_TSL">OFFSET(_tslMap,-1,0,1)</definedName>
    <definedName name="_tslMap">Tables!$C$26:$H$32</definedName>
    <definedName name="_year1">2018</definedName>
    <definedName name="_year1x">2021</definedName>
    <definedName name="_yearD">2014</definedName>
    <definedName name="_yearDol">2013</definedName>
    <definedName name="_yearL">2047</definedName>
    <definedName name="_yearLx">2050</definedName>
    <definedName name="_yL">{2018,2019,2020,2021,2022,2023,2024,2025,2026,2027,2028,2029,2030,2031,2032,2033,2034,2035,2036,2037,2038,2039,2040,2041,2042,2043,2044,2045,2046,2047,2048,2049,2050,2051,2052,2053,2054,2055,2056,2057,2058,2059,2060,2061,2062,2063,2064,2065,2066,2067,2068,2069,2070,2071,2072,2073,2074,2075,2076,2077,2078,2079,2080,2081,2082,2083,2084,2085,2086,2087,2088,2089,2090,2091,2092,2093,2094,2095,2096,2097,2098,2099,2100,2101,2102,2103,2104,2105,2106,2107,2108,2109}</definedName>
    <definedName name="_yS">{2018,2019,2020,2021,2022,2023,2024,2025,2026,2027,2028,2029,2030,2031,2032,2033,2034,2035,2036,2037,2038,2039,2040,2041,2042,2043,2044,2045,2046,2047,2048,2049,2050}</definedName>
    <definedName name="AEO_elec">'[1]Electricity Price Trend'!$G$12:$I$38</definedName>
    <definedName name="ageMax">[2]Lifetime!$F$4</definedName>
    <definedName name="allOnes">_t/_t</definedName>
    <definedName name="apd">'[1]LCC &amp; Payback'!$C$9</definedName>
    <definedName name="apd_on">'[1]LCC &amp; Payback'!$C$10</definedName>
    <definedName name="apd_on_trend">'[1]LCC &amp; Payback'!$AI$10:$AI$42</definedName>
    <definedName name="apd_power">'[1]LCC &amp; Payback'!$C$41:$C$44</definedName>
    <definedName name="apd_sleep">'[1]LCC &amp; Payback'!$C$11</definedName>
    <definedName name="apd_sleep_trend">'[1]LCC &amp; Payback'!$AJ$10:$AJ$42</definedName>
    <definedName name="apd_trend">'[1]LCC &amp; Payback'!$AH$10:$AH$42</definedName>
    <definedName name="asf">'[3]Simulation Inputs'!$E$2</definedName>
    <definedName name="baseCSL" localSheetId="3">INDEX(_base,1)</definedName>
    <definedName name="baseCSL" localSheetId="4">INDEX(_base,2)</definedName>
    <definedName name="baseCSL" localSheetId="5">INDEX(_base,3)</definedName>
    <definedName name="baseCSL" localSheetId="6">INDEX(_base,4)</definedName>
    <definedName name="baseCSL" localSheetId="7">INDEX(_base,5)</definedName>
    <definedName name="baseCSL" localSheetId="9">INDEX(_base,7)</definedName>
    <definedName name="baseCSL" localSheetId="8">INDEX(_base,6)</definedName>
    <definedName name="baseEff">'[2]Efficiency Dist.'!$C$10:$F$10</definedName>
    <definedName name="bcAxH">'LCC Inputs'!$E$47:$K$47</definedName>
    <definedName name="bcAxU">'LCC Inputs'!$Q$47:$W$47</definedName>
    <definedName name="bcCnH">'LCC Inputs'!$AC$47:$AI$47</definedName>
    <definedName name="bcCnU">'LCC Inputs'!$AO$47:$AU$47</definedName>
    <definedName name="bcEff" localSheetId="3">'Axial Housed'!$E$41:$AK$47</definedName>
    <definedName name="bcEff" localSheetId="4">'Axial Unhoused'!$E$41:$AK$47</definedName>
    <definedName name="bcEff" localSheetId="5">'Centrif Housed'!$E$41:$AK$47</definedName>
    <definedName name="bcEff" localSheetId="6">'Centrif Unhous'!$E$41:$AK$47</definedName>
    <definedName name="bcEff" localSheetId="7">'Inline-Mixed'!$E$41:$AK$47</definedName>
    <definedName name="bcEff" localSheetId="9">'Power Roof Vent'!$E$41:$AK$47</definedName>
    <definedName name="bcEff" localSheetId="8">Radial!$E$41:$AK$47</definedName>
    <definedName name="bcInMx">'LCC Inputs'!$BA$47:$BG$47</definedName>
    <definedName name="bcPRV">'LCC Inputs'!$BY$47:$CE$47</definedName>
    <definedName name="bcRad">'LCC Inputs'!$BM$47:$BS$47</definedName>
    <definedName name="bEIdx">TRUE</definedName>
    <definedName name="bElec">TRUE</definedName>
    <definedName name="bPIdx">TRUE</definedName>
    <definedName name="bSScen">TRUE</definedName>
    <definedName name="BuilderVersion">"myGen v2014.4e.xlsm"</definedName>
    <definedName name="BuildingDate">"Sep, 16 2014 03:28:06 PM"</definedName>
    <definedName name="bVAdAll">FALSE</definedName>
    <definedName name="bVarComp">TRUE</definedName>
    <definedName name="carbon">#REF!</definedName>
    <definedName name="CBWorkbookPriority" hidden="1">-1985642600</definedName>
    <definedName name="choice_Eff">'[1]Simulation Inputs'!$H$2</definedName>
    <definedName name="choice_PC">'[1]Simulation Inputs'!$F$2</definedName>
    <definedName name="choice_PriceTrend">'[1]Simulation Inputs'!$C$2</definedName>
    <definedName name="choiceEcon">'[2]Simulation Inputs'!$D$2</definedName>
    <definedName name="convFactor">OFFSET('Energy Factors'!$E$7:$CR$7,0,COLUMN()-5,1,_maxLT)</definedName>
    <definedName name="dFactor">Tables!$C$36:$BJ$36</definedName>
    <definedName name="discRate">[2]Summary!$C$10</definedName>
    <definedName name="dRate">Summary!$D$5</definedName>
    <definedName name="ecs" localSheetId="3">OFFSET('Axial Housed'!tecs,0,yShift,1,nPer)</definedName>
    <definedName name="ecs" localSheetId="4">OFFSET('Axial Unhoused'!tecs,0,yShift,1,nPer)</definedName>
    <definedName name="ecs" localSheetId="5">OFFSET('Centrif Housed'!tecs,0,yShift,1,nPer)</definedName>
    <definedName name="ecs" localSheetId="6">OFFSET('Centrif Unhous'!tecs,0,yShift,1,nPer)</definedName>
    <definedName name="ecs" localSheetId="7">OFFSET('Inline-Mixed'!tecs,0,yShift,1,nPer)</definedName>
    <definedName name="ecs" localSheetId="9">OFFSET('Power Roof Vent'!tecs,0,yShift,1,nPer)</definedName>
    <definedName name="ecs" localSheetId="8">OFFSET(Radial!tecs,0,yShift,1,nPer)</definedName>
    <definedName name="effBase">'[1]Base Case Distribution'!$C$5</definedName>
    <definedName name="elec_year">'[1]Electricity Prices'!$G$4</definedName>
    <definedName name="elecAxH">'LCC Inputs'!$E$40:$K$46</definedName>
    <definedName name="elecAxU">'LCC Inputs'!$Q$40:$W$46</definedName>
    <definedName name="elecCnH">'LCC Inputs'!$AC$40:$AI$46</definedName>
    <definedName name="elecCnU">'LCC Inputs'!$AO$40:$AU$46</definedName>
    <definedName name="elecFFC" localSheetId="13">'Energy Factors'!$E$11:$CR$11</definedName>
    <definedName name="elecInMx">'LCC Inputs'!$BA$40:$BG$46</definedName>
    <definedName name="elecPrices">'[2]Electricity Prices'!$B$6:$E$77</definedName>
    <definedName name="elecPrim" localSheetId="13">'Energy Factors'!$E$10:$CR$10</definedName>
    <definedName name="elecPRV">'LCC Inputs'!$BY$40:$CE$46</definedName>
    <definedName name="elecRad">'LCC Inputs'!$BM$40:$BS$46</definedName>
    <definedName name="elecSecNIAp">Tables!$C$23</definedName>
    <definedName name="elecSeries">'[1]LCC &amp; Payback'!$AM$10:$AM$42</definedName>
    <definedName name="elecSite" localSheetId="13">'Energy Factors'!$E$9:$CR$9</definedName>
    <definedName name="FC_Stat">'[1]Forecast Cells'!$W$1</definedName>
    <definedName name="fSurv">[2]Lifetime!$G$30</definedName>
    <definedName name="iAEO">MATCH(sAEO,{"Reference","Low","High"},0)</definedName>
    <definedName name="iCSL">'[2]Efficiency Dist.'!$D$3</definedName>
    <definedName name="iec" localSheetId="3">OFFSET('Axial Housed'!tiec,0,yShift,1,nPer)</definedName>
    <definedName name="iec" localSheetId="4">OFFSET('Axial Unhoused'!tiec,0,yShift,1,nPer)</definedName>
    <definedName name="iec" localSheetId="5">OFFSET('Centrif Housed'!tiec,0,yShift,1,nPer)</definedName>
    <definedName name="iec" localSheetId="6">OFFSET('Centrif Unhous'!tiec,0,yShift,1,nPer)</definedName>
    <definedName name="iec" localSheetId="7">OFFSET('Inline-Mixed'!tiec,0,yShift,1,nPer)</definedName>
    <definedName name="iec" localSheetId="9">OFFSET('Power Roof Vent'!tiec,0,yShift,1,nPer)</definedName>
    <definedName name="iec" localSheetId="8">OFFSET(Radial!tiec,0,yShift,1,nPer)</definedName>
    <definedName name="iEcon">'[2]Simulation Inputs'!$D$3</definedName>
    <definedName name="iEff">'[2]Simulation Inputs'!$H$3</definedName>
    <definedName name="iEIdx">MATCH(sEIdx,_EIdx,0)</definedName>
    <definedName name="iEnergy" localSheetId="13">MATCH(sEnergy,{"Site","Primary","FFC"},0)</definedName>
    <definedName name="iFuelPC">{1,0,0,0;1,0,0,0;1,0,0,0;1,0,0,0;1,0,0,0;1,0,0,0;1,0,0,0}</definedName>
    <definedName name="inputAEU">'[2]Model Data'!$D$40:$G$40</definedName>
    <definedName name="inputTIC">'[2]Model Data'!$C$5:$F$5</definedName>
    <definedName name="instAxH">'LCC Inputs'!$E$23:$K$29</definedName>
    <definedName name="instAxU">'LCC Inputs'!$Q$23:$W$29</definedName>
    <definedName name="instCnH">'LCC Inputs'!$AC$23:$AI$29</definedName>
    <definedName name="instCnU">'LCC Inputs'!$AO$23:$AU$29</definedName>
    <definedName name="instInMx">'LCC Inputs'!$BA$23:$BG$29</definedName>
    <definedName name="instPRV">'LCC Inputs'!$BY$23:$CE$29</definedName>
    <definedName name="instRad">'LCC Inputs'!$BM$23:$BS$29</definedName>
    <definedName name="iPC">'[1]Simulation Inputs'!$F$3</definedName>
    <definedName name="iPIdx">MATCH(sPIdx,_PIdx,0)</definedName>
    <definedName name="iPrd">'[2]Simulation Inputs'!$F$3</definedName>
    <definedName name="iShip">'[2]Simulation Inputs'!$I$3</definedName>
    <definedName name="iSScen">MATCH(sSScen,_SScen,0)</definedName>
    <definedName name="iTSL" localSheetId="0">'[2]Simulation Inputs'!$E$3</definedName>
    <definedName name="iTSL">Summary!$D$11</definedName>
    <definedName name="iTSLBox">'[2]Simulation Inputs'!$E$2</definedName>
    <definedName name="kFuel">{"Elec"}</definedName>
    <definedName name="labelEff">'[2]Simulation Inputs'!$H$2</definedName>
    <definedName name="lccTables">"LCCbyCSL"</definedName>
    <definedName name="life">[1]Lifetime!$D$4</definedName>
    <definedName name="list_Econ">'[2]Simulation Inputs'!$D$5:$D$7</definedName>
    <definedName name="list_Eff">'[2]Simulation Inputs'!$H$5:$H$9</definedName>
    <definedName name="list_iTSL">'[2]Simulation Inputs'!$E$5:$E$7</definedName>
    <definedName name="list_nTrials">'[1]Simulation Inputs'!$D$5:$D$10</definedName>
    <definedName name="list_PC">'[2]TSL-CSL Mapping'!$B$5:$B$21</definedName>
    <definedName name="list_PriceTrend">'[1]Simulation Inputs'!$C$5:$C$7</definedName>
    <definedName name="list_ship">'[2]Simulation Inputs'!$I$5:$I$7</definedName>
    <definedName name="list_StartYear">'[2]Simulation Inputs'!$C$5:$C$7</definedName>
    <definedName name="mrAxH">'LCC Inputs'!$E$31:$K$37</definedName>
    <definedName name="mrAxU">'LCC Inputs'!$Q$31:$W$37</definedName>
    <definedName name="mrCnH">'LCC Inputs'!$AC$31:$AI$37</definedName>
    <definedName name="mrCnU">'LCC Inputs'!$AO$31:$AU$37</definedName>
    <definedName name="mrInMx">'LCC Inputs'!$BA$31:$BG$37</definedName>
    <definedName name="mRoll" localSheetId="3">IF({0,1,2,3,4,5,6}&lt;'Axial Housed'!stdCSL,IF({0;1;2;3;4;5;6}='Axial Housed'!stdCSL,'Axial Housed'!polRoll,IF({0,1,2,3,4,5,6}={0;1;2;3;4;5;6},1-'Axial Housed'!polRoll,0)),IF({0,1,2,3,4,5,6}={0;1;2;3;4;5;6},1,0))</definedName>
    <definedName name="mRoll" localSheetId="4">IF({0,1,2,3,4,5,6}&lt;'Axial Unhoused'!stdCSL,IF({0;1;2;3;4;5;6}='Axial Unhoused'!stdCSL,'Axial Unhoused'!polRoll,IF({0,1,2,3,4,5,6}={0;1;2;3;4;5;6},1-'Axial Unhoused'!polRoll,0)),IF({0,1,2,3,4,5,6}={0;1;2;3;4;5;6},1,0))</definedName>
    <definedName name="mRoll" localSheetId="5">IF({0,1,2,3,4,5,6}&lt;'Centrif Housed'!stdCSL,IF({0;1;2;3;4;5;6}='Centrif Housed'!stdCSL,'Centrif Housed'!polRoll,IF({0,1,2,3,4,5,6}={0;1;2;3;4;5;6},1-'Centrif Housed'!polRoll,0)),IF({0,1,2,3,4,5,6}={0;1;2;3;4;5;6},1,0))</definedName>
    <definedName name="mRoll" localSheetId="6">IF({0,1,2,3,4,5,6}&lt;'Centrif Unhous'!stdCSL,IF({0;1;2;3;4;5;6}='Centrif Unhous'!stdCSL,'Centrif Unhous'!polRoll,IF({0,1,2,3,4,5,6}={0;1;2;3;4;5;6},1-'Centrif Unhous'!polRoll,0)),IF({0,1,2,3,4,5,6}={0;1;2;3;4;5;6},1,0))</definedName>
    <definedName name="mRoll" localSheetId="7">IF({0,1,2,3,4,5,6}&lt;'Inline-Mixed'!stdCSL,IF({0;1;2;3;4;5;6}='Inline-Mixed'!stdCSL,'Inline-Mixed'!polRoll,IF({0,1,2,3,4,5,6}={0;1;2;3;4;5;6},1-'Inline-Mixed'!polRoll,0)),IF({0,1,2,3,4,5,6}={0;1;2;3;4;5;6},1,0))</definedName>
    <definedName name="mRoll" localSheetId="9">IF({0,1,2,3,4,5,6}&lt;'Power Roof Vent'!stdCSL,IF({0;1;2;3;4;5;6}='Power Roof Vent'!stdCSL,'Power Roof Vent'!polRoll,IF({0,1,2,3,4,5,6}={0;1;2;3;4;5;6},1-'Power Roof Vent'!polRoll,0)),IF({0,1,2,3,4,5,6}={0;1;2;3;4;5;6},1,0))</definedName>
    <definedName name="mRoll" localSheetId="8">IF({0,1,2,3,4,5,6}&lt;Radial!stdCSL,IF({0;1;2;3;4;5;6}=Radial!stdCSL,Radial!polRoll,IF({0,1,2,3,4,5,6}={0;1;2;3;4;5;6},1-Radial!polRoll,0)),IF({0,1,2,3,4,5,6}={0;1;2;3;4;5;6},1,0))</definedName>
    <definedName name="mrPRV">'LCC Inputs'!$BY$31:$CE$37</definedName>
    <definedName name="mrRad">'LCC Inputs'!$BM$31:$BS$37</definedName>
    <definedName name="mspAxH">'LCC Inputs'!$E$7:$K$13</definedName>
    <definedName name="mspAxU">'LCC Inputs'!$Q$7:$W$13</definedName>
    <definedName name="mspCnH">'LCC Inputs'!$AC$7:$AI$13</definedName>
    <definedName name="mspCnU">'LCC Inputs'!$AO$7:$AU$13</definedName>
    <definedName name="mspInMx">'LCC Inputs'!$BA$7:$BG$13</definedName>
    <definedName name="mspPRV">'LCC Inputs'!$BY$7:$CE$13</definedName>
    <definedName name="mspRad">'LCC Inputs'!$BM$7:$BS$13</definedName>
    <definedName name="multi">'[1]LCC &amp; Payback'!$C$7</definedName>
    <definedName name="multi_base">'[1]Household Sample'!$C$6</definedName>
    <definedName name="multi_power">'[1]LCC &amp; Payback'!$C$31:$C$34</definedName>
    <definedName name="multi_server">'[1]Household Sample'!$C$9</definedName>
    <definedName name="multi_trend">'[1]LCC &amp; Payback'!$AC$10:$AC$42</definedName>
    <definedName name="nDO">{7,7,7,7,7,7,7}</definedName>
    <definedName name="nPer">Summary!$D$13</definedName>
    <definedName name="nTrials" comment="Number of simulation trials">'[1]Simulation Inputs'!$D$2</definedName>
    <definedName name="num_TVs">'[1]Household Sample'!$C$20</definedName>
    <definedName name="numYrs">[2]Summary!$C$14</definedName>
    <definedName name="on">'[1]LCC &amp; Payback'!$C$6</definedName>
    <definedName name="on_base">'[1]Household Sample'!$C$5</definedName>
    <definedName name="on_power">'[1]LCC &amp; Payback'!$C$26:$C$29</definedName>
    <definedName name="on_server">'[1]Household Sample'!$C$8</definedName>
    <definedName name="on_trend">'[1]LCC &amp; Payback'!$X$10:$X$42</definedName>
    <definedName name="pc_name">'[2]Simulation Inputs'!$G$2</definedName>
    <definedName name="pc_nameList">'[2]Simulation Inputs'!$G$5:$G$21</definedName>
    <definedName name="polEff" localSheetId="3">'Axial Housed'!$E$32:$AK$38</definedName>
    <definedName name="polEff" localSheetId="4">'Axial Unhoused'!$E$32:$AK$38</definedName>
    <definedName name="polEff" localSheetId="5">'Centrif Housed'!$E$32:$AK$38</definedName>
    <definedName name="polEff" localSheetId="6">'Centrif Unhous'!$E$32:$AK$38</definedName>
    <definedName name="polEff" localSheetId="7">'Inline-Mixed'!$E$32:$AK$38</definedName>
    <definedName name="polEff" localSheetId="9">'Power Roof Vent'!$E$32:$AK$38</definedName>
    <definedName name="polEff" localSheetId="8">Radial!$E$32:$AK$38</definedName>
    <definedName name="polRoll" localSheetId="3">1</definedName>
    <definedName name="polRoll" localSheetId="4">1</definedName>
    <definedName name="polRoll" localSheetId="5">1</definedName>
    <definedName name="polRoll" localSheetId="6">1</definedName>
    <definedName name="polRoll" localSheetId="7">1</definedName>
    <definedName name="polRoll" localSheetId="9">1</definedName>
    <definedName name="polRoll" localSheetId="8">1</definedName>
    <definedName name="powerplant">#REF!</definedName>
    <definedName name="priceElec">'[1]Electricity Prices'!$C$8</definedName>
    <definedName name="priceTrend_Energy">'[1]Electricity Price Trend'!$B$11:$C$48</definedName>
    <definedName name="refCSL" localSheetId="3">('Axial Housed'!stdCSL&gt;'Axial Housed'!baseCSL)*'Axial Housed'!baseCSL</definedName>
    <definedName name="refCSL" localSheetId="4">('Axial Unhoused'!stdCSL&gt;'Axial Unhoused'!baseCSL)*'Axial Unhoused'!baseCSL</definedName>
    <definedName name="refCSL" localSheetId="5">('Centrif Housed'!stdCSL&gt;'Centrif Housed'!baseCSL)*'Centrif Housed'!baseCSL</definedName>
    <definedName name="refCSL" localSheetId="6">('Centrif Unhous'!stdCSL&gt;'Centrif Unhous'!baseCSL)*'Centrif Unhous'!baseCSL</definedName>
    <definedName name="refCSL" localSheetId="7">('Inline-Mixed'!stdCSL&gt;'Inline-Mixed'!baseCSL)*'Inline-Mixed'!baseCSL</definedName>
    <definedName name="refCSL" localSheetId="9">('Power Roof Vent'!stdCSL&gt;'Power Roof Vent'!baseCSL)*'Power Roof Vent'!baseCSL</definedName>
    <definedName name="refCSL" localSheetId="8">(Radial!stdCSL&gt;Radial!baseCSL)*Radial!baseCSL</definedName>
    <definedName name="refEff" localSheetId="3">'Axial Housed'!$E$41:$AK$47</definedName>
    <definedName name="refEff" localSheetId="4">'Axial Unhoused'!$E$41:$AK$47</definedName>
    <definedName name="refEff" localSheetId="5">'Centrif Housed'!$E$41:$AK$47</definedName>
    <definedName name="refEff" localSheetId="6">'Centrif Unhous'!$E$41:$AK$47</definedName>
    <definedName name="refEff" localSheetId="7">'Inline-Mixed'!$E$41:$AK$47</definedName>
    <definedName name="refEff" localSheetId="9">'Power Roof Vent'!$E$41:$AK$47</definedName>
    <definedName name="refEff" localSheetId="8">Radial!$E$41:$AK$47</definedName>
    <definedName name="region">'[1]Electricity Price Trend'!$D$5</definedName>
    <definedName name="sAEO">Summary!$D$4</definedName>
    <definedName name="salesTax">'[2]Model Data'!$L$26:$L$33</definedName>
    <definedName name="sampleMap">'[2]Model Data'!$M$36:$M$52</definedName>
    <definedName name="savElec" localSheetId="3">OFFSET('Axial Housed'!tsavElec7,0,yShift,1,nPer)</definedName>
    <definedName name="savElec" localSheetId="4">OFFSET('Axial Unhoused'!tsavElec7,0,yShift,1,nPer)</definedName>
    <definedName name="savElec" localSheetId="5">OFFSET('Centrif Housed'!tsavElec7,0,yShift,1,nPer)</definedName>
    <definedName name="savElec" localSheetId="6">OFFSET('Centrif Unhous'!tsavElec7,0,yShift,1,nPer)</definedName>
    <definedName name="savElec" localSheetId="7">OFFSET('Inline-Mixed'!tsavElec7,0,yShift,1,nPer)</definedName>
    <definedName name="savElec" localSheetId="9">OFFSET('Power Roof Vent'!tsavElec7,0,yShift,1,nPer)</definedName>
    <definedName name="savElec" localSheetId="8">OFFSET(Radial!tsavElec7,0,yShift,1,nPer)</definedName>
    <definedName name="segmName">""</definedName>
    <definedName name="sEIdx">"Constant"</definedName>
    <definedName name="sEIdxRef">Tables!$C$39</definedName>
    <definedName name="sEnergy">Summary!$D$8</definedName>
    <definedName name="server">'[1]Household Sample'!$C$19</definedName>
    <definedName name="sFuelPC">{"Elec","","","";"Elec","","","";"Elec","","","";"Elec","","","";"Elec","","","";"Elec","","","";"Elec","","",""}</definedName>
    <definedName name="sgmEff">FALSE</definedName>
    <definedName name="sgmEnrg">FALSE</definedName>
    <definedName name="sgmFuel">FALSE</definedName>
    <definedName name="sgmInst">FALSE</definedName>
    <definedName name="sgmMR">FALSE</definedName>
    <definedName name="sgmMSP">FALSE</definedName>
    <definedName name="sgmPSurv">FALSE</definedName>
    <definedName name="sgmShipm">FALSE</definedName>
    <definedName name="sgmVAd">FALSE</definedName>
    <definedName name="ship_name">'[2]Simulation Inputs'!$I$2</definedName>
    <definedName name="shipmTrend">"AEO"</definedName>
    <definedName name="sleep">'[1]LCC &amp; Payback'!$C$8</definedName>
    <definedName name="sleep_dist">'[1]Household Sample'!$C$45</definedName>
    <definedName name="sleep_power">'[1]LCC &amp; Payback'!$C$36:$C$39</definedName>
    <definedName name="sleep_trend">'[1]LCC &amp; Payback'!$AG$10:$AG$42</definedName>
    <definedName name="sPC">{"AxH","AxU","CnH","CnU","InMx","Rad","PRV"}</definedName>
    <definedName name="sPer">Summary!$D$6</definedName>
    <definedName name="sPIdx">Summary!$D$7</definedName>
    <definedName name="sPIdxHigh">Tables!$C$45</definedName>
    <definedName name="sPIdxLow">Tables!$C$44</definedName>
    <definedName name="sPIdxRef">Tables!$C$43</definedName>
    <definedName name="sSScen">"AEO "&amp;sAEO</definedName>
    <definedName name="sSScenHigh">"AEO High"</definedName>
    <definedName name="sSScenLow">"AEO Low"</definedName>
    <definedName name="sSScenRef">"AEO Reference"</definedName>
    <definedName name="StartYear">'[2]Simulation Inputs'!$C$3</definedName>
    <definedName name="StartYearBox">'[2]Simulation Inputs'!$C$2</definedName>
    <definedName name="State">'[1]Household Sample'!$C$26</definedName>
    <definedName name="stdCSL" localSheetId="3">INDEX(_tslMap,1,iTSL)</definedName>
    <definedName name="stdCSL" localSheetId="4">INDEX(_tslMap,2,iTSL)</definedName>
    <definedName name="stdCSL" localSheetId="5">INDEX(_tslMap,3,iTSL)</definedName>
    <definedName name="stdCSL" localSheetId="6">INDEX(_tslMap,4,iTSL)</definedName>
    <definedName name="stdCSL" localSheetId="7">INDEX(_tslMap,5,iTSL)</definedName>
    <definedName name="stdCSL" localSheetId="9">INDEX(_tslMap,7,iTSL)</definedName>
    <definedName name="stdCSL" localSheetId="8">INDEX(_tslMap,6,iTSL)</definedName>
    <definedName name="stdsEff">'[2]Efficiency Dist.'!$J$10:$M$10</definedName>
    <definedName name="Summ">Summary!$H$5:$N$9</definedName>
    <definedName name="summSens">0</definedName>
    <definedName name="t">'LCC Inputs'!$BY$47:$CE$47</definedName>
    <definedName name="tbcEff0" localSheetId="3">'Axial Housed'!$E$41:$AK$41</definedName>
    <definedName name="tbcEff0" localSheetId="4">'Axial Unhoused'!$E$41:$AK$41</definedName>
    <definedName name="tbcEff0" localSheetId="5">'Centrif Housed'!$E$41:$AK$41</definedName>
    <definedName name="tbcEff0" localSheetId="6">'Centrif Unhous'!$E$41:$AK$41</definedName>
    <definedName name="tbcEff0" localSheetId="7">'Inline-Mixed'!$E$41:$AK$41</definedName>
    <definedName name="tbcEff0" localSheetId="9">'Power Roof Vent'!$E$41:$AK$41</definedName>
    <definedName name="tbcEff0" localSheetId="8">Radial!$E$41:$AK$41</definedName>
    <definedName name="tbcEff1" localSheetId="3">'Axial Housed'!$E$42:$AK$42</definedName>
    <definedName name="tbcEff1" localSheetId="4">'Axial Unhoused'!$E$42:$AK$42</definedName>
    <definedName name="tbcEff1" localSheetId="5">'Centrif Housed'!$E$42:$AK$42</definedName>
    <definedName name="tbcEff1" localSheetId="6">'Centrif Unhous'!$E$42:$AK$42</definedName>
    <definedName name="tbcEff1" localSheetId="7">'Inline-Mixed'!$E$42:$AK$42</definedName>
    <definedName name="tbcEff1" localSheetId="9">'Power Roof Vent'!$E$42:$AK$42</definedName>
    <definedName name="tbcEff1" localSheetId="8">Radial!$E$42:$AK$42</definedName>
    <definedName name="tbcEff2" localSheetId="3">'Axial Housed'!$E$43:$AK$43</definedName>
    <definedName name="tbcEff2" localSheetId="4">'Axial Unhoused'!$E$43:$AK$43</definedName>
    <definedName name="tbcEff2" localSheetId="5">'Centrif Housed'!$E$43:$AK$43</definedName>
    <definedName name="tbcEff2" localSheetId="6">'Centrif Unhous'!$E$43:$AK$43</definedName>
    <definedName name="tbcEff2" localSheetId="7">'Inline-Mixed'!$E$43:$AK$43</definedName>
    <definedName name="tbcEff2" localSheetId="9">'Power Roof Vent'!$E$43:$AK$43</definedName>
    <definedName name="tbcEff2" localSheetId="8">Radial!$E$43:$AK$43</definedName>
    <definedName name="tbcEff3" localSheetId="3">'Axial Housed'!$E$44:$AK$44</definedName>
    <definedName name="tbcEff3" localSheetId="4">'Axial Unhoused'!$E$44:$AK$44</definedName>
    <definedName name="tbcEff3" localSheetId="5">'Centrif Housed'!$E$44:$AK$44</definedName>
    <definedName name="tbcEff3" localSheetId="6">'Centrif Unhous'!$E$44:$AK$44</definedName>
    <definedName name="tbcEff3" localSheetId="7">'Inline-Mixed'!$E$44:$AK$44</definedName>
    <definedName name="tbcEff3" localSheetId="9">'Power Roof Vent'!$E$44:$AK$44</definedName>
    <definedName name="tbcEff3" localSheetId="8">Radial!$E$44:$AK$44</definedName>
    <definedName name="tbcEff4" localSheetId="3">'Axial Housed'!$E$45:$AK$45</definedName>
    <definedName name="tbcEff4" localSheetId="4">'Axial Unhoused'!$E$45:$AK$45</definedName>
    <definedName name="tbcEff4" localSheetId="5">'Centrif Housed'!$E$45:$AK$45</definedName>
    <definedName name="tbcEff4" localSheetId="6">'Centrif Unhous'!$E$45:$AK$45</definedName>
    <definedName name="tbcEff4" localSheetId="7">'Inline-Mixed'!$E$45:$AK$45</definedName>
    <definedName name="tbcEff4" localSheetId="9">'Power Roof Vent'!$E$45:$AK$45</definedName>
    <definedName name="tbcEff4" localSheetId="8">Radial!$E$45:$AK$45</definedName>
    <definedName name="tbcEff5" localSheetId="3">'Axial Housed'!$E$46:$AK$46</definedName>
    <definedName name="tbcEff5" localSheetId="4">'Axial Unhoused'!$E$46:$AK$46</definedName>
    <definedName name="tbcEff5" localSheetId="5">'Centrif Housed'!$E$46:$AK$46</definedName>
    <definedName name="tbcEff5" localSheetId="6">'Centrif Unhous'!$E$46:$AK$46</definedName>
    <definedName name="tbcEff5" localSheetId="7">'Inline-Mixed'!$E$46:$AK$46</definedName>
    <definedName name="tbcEff5" localSheetId="9">'Power Roof Vent'!$E$46:$AK$46</definedName>
    <definedName name="tbcEff5" localSheetId="8">Radial!$E$46:$AK$46</definedName>
    <definedName name="tbcEff6" localSheetId="3">'Axial Housed'!$E$47:$AK$47</definedName>
    <definedName name="tbcEff6" localSheetId="4">'Axial Unhoused'!$E$47:$AK$47</definedName>
    <definedName name="tbcEff6" localSheetId="5">'Centrif Housed'!$E$47:$AK$47</definedName>
    <definedName name="tbcEff6" localSheetId="6">'Centrif Unhous'!$E$47:$AK$47</definedName>
    <definedName name="tbcEff6" localSheetId="7">'Inline-Mixed'!$E$47:$AK$47</definedName>
    <definedName name="tbcEff6" localSheetId="9">'Power Roof Vent'!$E$47:$AK$47</definedName>
    <definedName name="tbcEff6" localSheetId="8">Radial!$E$47:$AK$47</definedName>
    <definedName name="tblDiscRate">'[1]Discount Rate'!$M$5:$M$16</definedName>
    <definedName name="tecs" localSheetId="3">'Axial Housed'!$E$7:$AK$7</definedName>
    <definedName name="tecs" localSheetId="4">'Axial Unhoused'!$E$7:$AK$7</definedName>
    <definedName name="tecs" localSheetId="5">'Centrif Housed'!$E$7:$AK$7</definedName>
    <definedName name="tecs" localSheetId="6">'Centrif Unhous'!$E$7:$AK$7</definedName>
    <definedName name="tecs" localSheetId="7">'Inline-Mixed'!$E$7:$AK$7</definedName>
    <definedName name="tecs" localSheetId="9">'Power Roof Vent'!$E$7:$AK$7</definedName>
    <definedName name="tecs" localSheetId="8">Radial!$E$7:$AK$7</definedName>
    <definedName name="tecsU" localSheetId="3">'Axial Housed'!$E$15:$AK$15</definedName>
    <definedName name="tecsU" localSheetId="4">'Axial Unhoused'!$E$15:$AK$15</definedName>
    <definedName name="tecsU" localSheetId="5">'Centrif Housed'!$E$15:$AK$15</definedName>
    <definedName name="tecsU" localSheetId="6">'Centrif Unhous'!$E$15:$AK$15</definedName>
    <definedName name="tecsU" localSheetId="7">'Inline-Mixed'!$E$15:$AK$15</definedName>
    <definedName name="tecsU" localSheetId="9">'Power Roof Vent'!$E$15:$AK$15</definedName>
    <definedName name="tecsU" localSheetId="8">Radial!$E$15:$AK$15</definedName>
    <definedName name="tEIdxElec">'Energy Index'!$D$6:$AJ$6</definedName>
    <definedName name="tEIdxElec1">'Energy Index'!$D$10:$AJ$10</definedName>
    <definedName name="tEIdxElec2">'Energy Index'!$D$14:$AJ$14</definedName>
    <definedName name="tiec" localSheetId="3">'Axial Housed'!$E$6:$AK$6</definedName>
    <definedName name="tiec" localSheetId="4">'Axial Unhoused'!$E$6:$AK$6</definedName>
    <definedName name="tiec" localSheetId="5">'Centrif Housed'!$E$6:$AK$6</definedName>
    <definedName name="tiec" localSheetId="6">'Centrif Unhous'!$E$6:$AK$6</definedName>
    <definedName name="tiec" localSheetId="7">'Inline-Mixed'!$E$6:$AK$6</definedName>
    <definedName name="tiec" localSheetId="9">'Power Roof Vent'!$E$6:$AK$6</definedName>
    <definedName name="tiec" localSheetId="8">Radial!$E$6:$AK$6</definedName>
    <definedName name="tiecU" localSheetId="3">'Axial Housed'!$E$14:$AK$14</definedName>
    <definedName name="tiecU" localSheetId="4">'Axial Unhoused'!$E$14:$AK$14</definedName>
    <definedName name="tiecU" localSheetId="5">'Centrif Housed'!$E$14:$AK$14</definedName>
    <definedName name="tiecU" localSheetId="6">'Centrif Unhous'!$E$14:$AK$14</definedName>
    <definedName name="tiecU" localSheetId="7">'Inline-Mixed'!$E$14:$AK$14</definedName>
    <definedName name="tiecU" localSheetId="9">'Power Roof Vent'!$E$14:$AK$14</definedName>
    <definedName name="tiecU" localSheetId="8">Radial!$E$14:$AK$14</definedName>
    <definedName name="tlccEFubcElec0" localSheetId="3">'Axial Housed'!$E$108:$AK$108</definedName>
    <definedName name="tlccEFubcElec0" localSheetId="4">'Axial Unhoused'!$E$108:$AK$108</definedName>
    <definedName name="tlccEFubcElec0" localSheetId="5">'Centrif Housed'!$E$108:$AK$108</definedName>
    <definedName name="tlccEFubcElec0" localSheetId="6">'Centrif Unhous'!$E$108:$AK$108</definedName>
    <definedName name="tlccEFubcElec0" localSheetId="7">'Inline-Mixed'!$E$108:$AK$108</definedName>
    <definedName name="tlccEFubcElec0" localSheetId="9">'Power Roof Vent'!$E$108:$AK$108</definedName>
    <definedName name="tlccEFubcElec0" localSheetId="8">Radial!$E$108:$AK$108</definedName>
    <definedName name="tlccEFubcElec1" localSheetId="3">'Axial Housed'!$E$114:$AK$114</definedName>
    <definedName name="tlccEFubcElec1" localSheetId="4">'Axial Unhoused'!$E$114:$AK$114</definedName>
    <definedName name="tlccEFubcElec1" localSheetId="5">'Centrif Housed'!$E$114:$AK$114</definedName>
    <definedName name="tlccEFubcElec1" localSheetId="6">'Centrif Unhous'!$E$114:$AK$114</definedName>
    <definedName name="tlccEFubcElec1" localSheetId="7">'Inline-Mixed'!$E$114:$AK$114</definedName>
    <definedName name="tlccEFubcElec1" localSheetId="9">'Power Roof Vent'!$E$114:$AK$114</definedName>
    <definedName name="tlccEFubcElec1" localSheetId="8">Radial!$E$114:$AK$114</definedName>
    <definedName name="tlccEFubcElec2" localSheetId="3">'Axial Housed'!$E$120:$AK$120</definedName>
    <definedName name="tlccEFubcElec2" localSheetId="4">'Axial Unhoused'!$E$120:$AK$120</definedName>
    <definedName name="tlccEFubcElec2" localSheetId="5">'Centrif Housed'!$E$120:$AK$120</definedName>
    <definedName name="tlccEFubcElec2" localSheetId="6">'Centrif Unhous'!$E$120:$AK$120</definedName>
    <definedName name="tlccEFubcElec2" localSheetId="7">'Inline-Mixed'!$E$120:$AK$120</definedName>
    <definedName name="tlccEFubcElec2" localSheetId="9">'Power Roof Vent'!$E$120:$AK$120</definedName>
    <definedName name="tlccEFubcElec2" localSheetId="8">Radial!$E$120:$AK$120</definedName>
    <definedName name="tlccEFubcElec3" localSheetId="3">'Axial Housed'!$E$126:$AK$126</definedName>
    <definedName name="tlccEFubcElec3" localSheetId="4">'Axial Unhoused'!$E$126:$AK$126</definedName>
    <definedName name="tlccEFubcElec3" localSheetId="5">'Centrif Housed'!$E$126:$AK$126</definedName>
    <definedName name="tlccEFubcElec3" localSheetId="6">'Centrif Unhous'!$E$126:$AK$126</definedName>
    <definedName name="tlccEFubcElec3" localSheetId="7">'Inline-Mixed'!$E$126:$AK$126</definedName>
    <definedName name="tlccEFubcElec3" localSheetId="9">'Power Roof Vent'!$E$126:$AK$126</definedName>
    <definedName name="tlccEFubcElec3" localSheetId="8">Radial!$E$126:$AK$126</definedName>
    <definedName name="tlccEFubcElec4" localSheetId="3">'Axial Housed'!$E$132:$AK$132</definedName>
    <definedName name="tlccEFubcElec4" localSheetId="4">'Axial Unhoused'!$E$132:$AK$132</definedName>
    <definedName name="tlccEFubcElec4" localSheetId="5">'Centrif Housed'!$E$132:$AK$132</definedName>
    <definedName name="tlccEFubcElec4" localSheetId="6">'Centrif Unhous'!$E$132:$AK$132</definedName>
    <definedName name="tlccEFubcElec4" localSheetId="7">'Inline-Mixed'!$E$132:$AK$132</definedName>
    <definedName name="tlccEFubcElec4" localSheetId="9">'Power Roof Vent'!$E$132:$AK$132</definedName>
    <definedName name="tlccEFubcElec4" localSheetId="8">Radial!$E$132:$AK$132</definedName>
    <definedName name="tlccEFubcElec5" localSheetId="3">'Axial Housed'!$E$138:$AK$138</definedName>
    <definedName name="tlccEFubcElec5" localSheetId="4">'Axial Unhoused'!$E$138:$AK$138</definedName>
    <definedName name="tlccEFubcElec5" localSheetId="5">'Centrif Housed'!$E$138:$AK$138</definedName>
    <definedName name="tlccEFubcElec5" localSheetId="6">'Centrif Unhous'!$E$138:$AK$138</definedName>
    <definedName name="tlccEFubcElec5" localSheetId="7">'Inline-Mixed'!$E$138:$AK$138</definedName>
    <definedName name="tlccEFubcElec5" localSheetId="9">'Power Roof Vent'!$E$138:$AK$138</definedName>
    <definedName name="tlccEFubcElec5" localSheetId="8">Radial!$E$138:$AK$138</definedName>
    <definedName name="tlccEFubcElec6" localSheetId="3">'Axial Housed'!$E$144:$AK$144</definedName>
    <definedName name="tlccEFubcElec6" localSheetId="4">'Axial Unhoused'!$E$144:$AK$144</definedName>
    <definedName name="tlccEFubcElec6" localSheetId="5">'Centrif Housed'!$E$144:$AK$144</definedName>
    <definedName name="tlccEFubcElec6" localSheetId="6">'Centrif Unhous'!$E$144:$AK$144</definedName>
    <definedName name="tlccEFubcElec6" localSheetId="7">'Inline-Mixed'!$E$144:$AK$144</definedName>
    <definedName name="tlccEFubcElec6" localSheetId="9">'Power Roof Vent'!$E$144:$AK$144</definedName>
    <definedName name="tlccEFubcElec6" localSheetId="8">Radial!$E$144:$AK$144</definedName>
    <definedName name="tlccEFupolElec0" localSheetId="3">'Axial Housed'!$E$151:$AK$151</definedName>
    <definedName name="tlccEFupolElec0" localSheetId="4">'Axial Unhoused'!$E$151:$AK$151</definedName>
    <definedName name="tlccEFupolElec0" localSheetId="5">'Centrif Housed'!$E$151:$AK$151</definedName>
    <definedName name="tlccEFupolElec0" localSheetId="6">'Centrif Unhous'!$E$151:$AK$151</definedName>
    <definedName name="tlccEFupolElec0" localSheetId="7">'Inline-Mixed'!$E$151:$AK$151</definedName>
    <definedName name="tlccEFupolElec0" localSheetId="9">'Power Roof Vent'!$E$151:$AK$151</definedName>
    <definedName name="tlccEFupolElec0" localSheetId="8">Radial!$E$151:$AK$151</definedName>
    <definedName name="tlccEFupolElec1" localSheetId="3">'Axial Housed'!$E$157:$AK$157</definedName>
    <definedName name="tlccEFupolElec1" localSheetId="4">'Axial Unhoused'!$E$157:$AK$157</definedName>
    <definedName name="tlccEFupolElec1" localSheetId="5">'Centrif Housed'!$E$157:$AK$157</definedName>
    <definedName name="tlccEFupolElec1" localSheetId="6">'Centrif Unhous'!$E$157:$AK$157</definedName>
    <definedName name="tlccEFupolElec1" localSheetId="7">'Inline-Mixed'!$E$157:$AK$157</definedName>
    <definedName name="tlccEFupolElec1" localSheetId="9">'Power Roof Vent'!$E$157:$AK$157</definedName>
    <definedName name="tlccEFupolElec1" localSheetId="8">Radial!$E$157:$AK$157</definedName>
    <definedName name="tlccEFupolElec2" localSheetId="3">'Axial Housed'!$E$163:$AK$163</definedName>
    <definedName name="tlccEFupolElec2" localSheetId="4">'Axial Unhoused'!$E$163:$AK$163</definedName>
    <definedName name="tlccEFupolElec2" localSheetId="5">'Centrif Housed'!$E$163:$AK$163</definedName>
    <definedName name="tlccEFupolElec2" localSheetId="6">'Centrif Unhous'!$E$163:$AK$163</definedName>
    <definedName name="tlccEFupolElec2" localSheetId="7">'Inline-Mixed'!$E$163:$AK$163</definedName>
    <definedName name="tlccEFupolElec2" localSheetId="9">'Power Roof Vent'!$E$163:$AK$163</definedName>
    <definedName name="tlccEFupolElec2" localSheetId="8">Radial!$E$163:$AK$163</definedName>
    <definedName name="tlccEFupolElec3" localSheetId="3">'Axial Housed'!$E$169:$AK$169</definedName>
    <definedName name="tlccEFupolElec3" localSheetId="4">'Axial Unhoused'!$E$169:$AK$169</definedName>
    <definedName name="tlccEFupolElec3" localSheetId="5">'Centrif Housed'!$E$169:$AK$169</definedName>
    <definedName name="tlccEFupolElec3" localSheetId="6">'Centrif Unhous'!$E$169:$AK$169</definedName>
    <definedName name="tlccEFupolElec3" localSheetId="7">'Inline-Mixed'!$E$169:$AK$169</definedName>
    <definedName name="tlccEFupolElec3" localSheetId="9">'Power Roof Vent'!$E$169:$AK$169</definedName>
    <definedName name="tlccEFupolElec3" localSheetId="8">Radial!$E$169:$AK$169</definedName>
    <definedName name="tlccEFupolElec4" localSheetId="3">'Axial Housed'!$E$175:$AK$175</definedName>
    <definedName name="tlccEFupolElec4" localSheetId="4">'Axial Unhoused'!$E$175:$AK$175</definedName>
    <definedName name="tlccEFupolElec4" localSheetId="5">'Centrif Housed'!$E$175:$AK$175</definedName>
    <definedName name="tlccEFupolElec4" localSheetId="6">'Centrif Unhous'!$E$175:$AK$175</definedName>
    <definedName name="tlccEFupolElec4" localSheetId="7">'Inline-Mixed'!$E$175:$AK$175</definedName>
    <definedName name="tlccEFupolElec4" localSheetId="9">'Power Roof Vent'!$E$175:$AK$175</definedName>
    <definedName name="tlccEFupolElec4" localSheetId="8">Radial!$E$175:$AK$175</definedName>
    <definedName name="tlccEFupolElec5" localSheetId="3">'Axial Housed'!$E$181:$AK$181</definedName>
    <definedName name="tlccEFupolElec5" localSheetId="4">'Axial Unhoused'!$E$181:$AK$181</definedName>
    <definedName name="tlccEFupolElec5" localSheetId="5">'Centrif Housed'!$E$181:$AK$181</definedName>
    <definedName name="tlccEFupolElec5" localSheetId="6">'Centrif Unhous'!$E$181:$AK$181</definedName>
    <definedName name="tlccEFupolElec5" localSheetId="7">'Inline-Mixed'!$E$181:$AK$181</definedName>
    <definedName name="tlccEFupolElec5" localSheetId="9">'Power Roof Vent'!$E$181:$AK$181</definedName>
    <definedName name="tlccEFupolElec5" localSheetId="8">Radial!$E$181:$AK$181</definedName>
    <definedName name="tlccEFupolElec6" localSheetId="3">'Axial Housed'!$E$187:$AK$187</definedName>
    <definedName name="tlccEFupolElec6" localSheetId="4">'Axial Unhoused'!$E$187:$AK$187</definedName>
    <definedName name="tlccEFupolElec6" localSheetId="5">'Centrif Housed'!$E$187:$AK$187</definedName>
    <definedName name="tlccEFupolElec6" localSheetId="6">'Centrif Unhous'!$E$187:$AK$187</definedName>
    <definedName name="tlccEFupolElec6" localSheetId="7">'Inline-Mixed'!$E$187:$AK$187</definedName>
    <definedName name="tlccEFupolElec6" localSheetId="9">'Power Roof Vent'!$E$187:$AK$187</definedName>
    <definedName name="tlccEFupolElec6" localSheetId="8">Radial!$E$187:$AK$187</definedName>
    <definedName name="tlccEmbc" localSheetId="3">'Axial Housed'!$E$22:$AK$22</definedName>
    <definedName name="tlccEmbc" localSheetId="4">'Axial Unhoused'!$E$22:$AK$22</definedName>
    <definedName name="tlccEmbc" localSheetId="5">'Centrif Housed'!$E$22:$AK$22</definedName>
    <definedName name="tlccEmbc" localSheetId="6">'Centrif Unhous'!$E$22:$AK$22</definedName>
    <definedName name="tlccEmbc" localSheetId="7">'Inline-Mixed'!$E$22:$AK$22</definedName>
    <definedName name="tlccEmbc" localSheetId="9">'Power Roof Vent'!$E$22:$AK$22</definedName>
    <definedName name="tlccEmbc" localSheetId="8">Radial!$E$22:$AK$22</definedName>
    <definedName name="tlccEmpol" localSheetId="3">'Axial Housed'!$E$27:$AK$27</definedName>
    <definedName name="tlccEmpol" localSheetId="4">'Axial Unhoused'!$E$27:$AK$27</definedName>
    <definedName name="tlccEmpol" localSheetId="5">'Centrif Housed'!$E$27:$AK$27</definedName>
    <definedName name="tlccEmpol" localSheetId="6">'Centrif Unhous'!$E$27:$AK$27</definedName>
    <definedName name="tlccEmpol" localSheetId="7">'Inline-Mixed'!$E$27:$AK$27</definedName>
    <definedName name="tlccEmpol" localSheetId="9">'Power Roof Vent'!$E$27:$AK$27</definedName>
    <definedName name="tlccEmpol" localSheetId="8">Radial!$E$27:$AK$27</definedName>
    <definedName name="tlccEubc" localSheetId="3">'Axial Housed'!$E$59:$AK$65</definedName>
    <definedName name="tlccEubc" localSheetId="4">'Axial Unhoused'!$E$59:$AK$65</definedName>
    <definedName name="tlccEubc" localSheetId="5">'Centrif Housed'!$E$59:$AK$65</definedName>
    <definedName name="tlccEubc" localSheetId="6">'Centrif Unhous'!$E$59:$AK$65</definedName>
    <definedName name="tlccEubc" localSheetId="7">'Inline-Mixed'!$E$59:$AK$65</definedName>
    <definedName name="tlccEubc" localSheetId="9">'Power Roof Vent'!$E$59:$AK$65</definedName>
    <definedName name="tlccEubc" localSheetId="8">Radial!$E$59:$AK$65</definedName>
    <definedName name="tlccEubc0" localSheetId="3">'Axial Housed'!$E$107:$AK$107</definedName>
    <definedName name="tlccEubc0" localSheetId="4">'Axial Unhoused'!$E$107:$AK$107</definedName>
    <definedName name="tlccEubc0" localSheetId="5">'Centrif Housed'!$E$107:$AK$107</definedName>
    <definedName name="tlccEubc0" localSheetId="6">'Centrif Unhous'!$E$107:$AK$107</definedName>
    <definedName name="tlccEubc0" localSheetId="7">'Inline-Mixed'!$E$107:$AK$107</definedName>
    <definedName name="tlccEubc0" localSheetId="9">'Power Roof Vent'!$E$107:$AK$107</definedName>
    <definedName name="tlccEubc0" localSheetId="8">Radial!$E$107:$AK$107</definedName>
    <definedName name="tlccEubc1" localSheetId="3">'Axial Housed'!$E$113:$AK$113</definedName>
    <definedName name="tlccEubc1" localSheetId="4">'Axial Unhoused'!$E$113:$AK$113</definedName>
    <definedName name="tlccEubc1" localSheetId="5">'Centrif Housed'!$E$113:$AK$113</definedName>
    <definedName name="tlccEubc1" localSheetId="6">'Centrif Unhous'!$E$113:$AK$113</definedName>
    <definedName name="tlccEubc1" localSheetId="7">'Inline-Mixed'!$E$113:$AK$113</definedName>
    <definedName name="tlccEubc1" localSheetId="9">'Power Roof Vent'!$E$113:$AK$113</definedName>
    <definedName name="tlccEubc1" localSheetId="8">Radial!$E$113:$AK$113</definedName>
    <definedName name="tlccEubc2" localSheetId="3">'Axial Housed'!$E$119:$AK$119</definedName>
    <definedName name="tlccEubc2" localSheetId="4">'Axial Unhoused'!$E$119:$AK$119</definedName>
    <definedName name="tlccEubc2" localSheetId="5">'Centrif Housed'!$E$119:$AK$119</definedName>
    <definedName name="tlccEubc2" localSheetId="6">'Centrif Unhous'!$E$119:$AK$119</definedName>
    <definedName name="tlccEubc2" localSheetId="7">'Inline-Mixed'!$E$119:$AK$119</definedName>
    <definedName name="tlccEubc2" localSheetId="9">'Power Roof Vent'!$E$119:$AK$119</definedName>
    <definedName name="tlccEubc2" localSheetId="8">Radial!$E$119:$AK$119</definedName>
    <definedName name="tlccEubc3" localSheetId="3">'Axial Housed'!$E$125:$AK$125</definedName>
    <definedName name="tlccEubc3" localSheetId="4">'Axial Unhoused'!$E$125:$AK$125</definedName>
    <definedName name="tlccEubc3" localSheetId="5">'Centrif Housed'!$E$125:$AK$125</definedName>
    <definedName name="tlccEubc3" localSheetId="6">'Centrif Unhous'!$E$125:$AK$125</definedName>
    <definedName name="tlccEubc3" localSheetId="7">'Inline-Mixed'!$E$125:$AK$125</definedName>
    <definedName name="tlccEubc3" localSheetId="9">'Power Roof Vent'!$E$125:$AK$125</definedName>
    <definedName name="tlccEubc3" localSheetId="8">Radial!$E$125:$AK$125</definedName>
    <definedName name="tlccEubc4" localSheetId="3">'Axial Housed'!$E$131:$AK$131</definedName>
    <definedName name="tlccEubc4" localSheetId="4">'Axial Unhoused'!$E$131:$AK$131</definedName>
    <definedName name="tlccEubc4" localSheetId="5">'Centrif Housed'!$E$131:$AK$131</definedName>
    <definedName name="tlccEubc4" localSheetId="6">'Centrif Unhous'!$E$131:$AK$131</definedName>
    <definedName name="tlccEubc4" localSheetId="7">'Inline-Mixed'!$E$131:$AK$131</definedName>
    <definedName name="tlccEubc4" localSheetId="9">'Power Roof Vent'!$E$131:$AK$131</definedName>
    <definedName name="tlccEubc4" localSheetId="8">Radial!$E$131:$AK$131</definedName>
    <definedName name="tlccEubc5" localSheetId="3">'Axial Housed'!$E$137:$AK$137</definedName>
    <definedName name="tlccEubc5" localSheetId="4">'Axial Unhoused'!$E$137:$AK$137</definedName>
    <definedName name="tlccEubc5" localSheetId="5">'Centrif Housed'!$E$137:$AK$137</definedName>
    <definedName name="tlccEubc5" localSheetId="6">'Centrif Unhous'!$E$137:$AK$137</definedName>
    <definedName name="tlccEubc5" localSheetId="7">'Inline-Mixed'!$E$137:$AK$137</definedName>
    <definedName name="tlccEubc5" localSheetId="9">'Power Roof Vent'!$E$137:$AK$137</definedName>
    <definedName name="tlccEubc5" localSheetId="8">Radial!$E$137:$AK$137</definedName>
    <definedName name="tlccEubc6" localSheetId="3">'Axial Housed'!$E$143:$AK$143</definedName>
    <definedName name="tlccEubc6" localSheetId="4">'Axial Unhoused'!$E$143:$AK$143</definedName>
    <definedName name="tlccEubc6" localSheetId="5">'Centrif Housed'!$E$143:$AK$143</definedName>
    <definedName name="tlccEubc6" localSheetId="6">'Centrif Unhous'!$E$143:$AK$143</definedName>
    <definedName name="tlccEubc6" localSheetId="7">'Inline-Mixed'!$E$143:$AK$143</definedName>
    <definedName name="tlccEubc6" localSheetId="9">'Power Roof Vent'!$E$143:$AK$143</definedName>
    <definedName name="tlccEubc6" localSheetId="8">Radial!$E$143:$AK$143</definedName>
    <definedName name="tlccEupol" localSheetId="3">'Axial Housed'!$E$86:$AK$92</definedName>
    <definedName name="tlccEupol" localSheetId="4">'Axial Unhoused'!$E$86:$AK$92</definedName>
    <definedName name="tlccEupol" localSheetId="5">'Centrif Housed'!$E$86:$AK$92</definedName>
    <definedName name="tlccEupol" localSheetId="6">'Centrif Unhous'!$E$86:$AK$92</definedName>
    <definedName name="tlccEupol" localSheetId="7">'Inline-Mixed'!$E$86:$AK$92</definedName>
    <definedName name="tlccEupol" localSheetId="9">'Power Roof Vent'!$E$86:$AK$92</definedName>
    <definedName name="tlccEupol" localSheetId="8">Radial!$E$86:$AK$92</definedName>
    <definedName name="tlccEupol0" localSheetId="3">'Axial Housed'!$E$150:$AK$150</definedName>
    <definedName name="tlccEupol0" localSheetId="4">'Axial Unhoused'!$E$150:$AK$150</definedName>
    <definedName name="tlccEupol0" localSheetId="5">'Centrif Housed'!$E$150:$AK$150</definedName>
    <definedName name="tlccEupol0" localSheetId="6">'Centrif Unhous'!$E$150:$AK$150</definedName>
    <definedName name="tlccEupol0" localSheetId="7">'Inline-Mixed'!$E$150:$AK$150</definedName>
    <definedName name="tlccEupol0" localSheetId="9">'Power Roof Vent'!$E$150:$AK$150</definedName>
    <definedName name="tlccEupol0" localSheetId="8">Radial!$E$150:$AK$150</definedName>
    <definedName name="tlccEupol1" localSheetId="3">'Axial Housed'!$E$156:$AK$156</definedName>
    <definedName name="tlccEupol1" localSheetId="4">'Axial Unhoused'!$E$156:$AK$156</definedName>
    <definedName name="tlccEupol1" localSheetId="5">'Centrif Housed'!$E$156:$AK$156</definedName>
    <definedName name="tlccEupol1" localSheetId="6">'Centrif Unhous'!$E$156:$AK$156</definedName>
    <definedName name="tlccEupol1" localSheetId="7">'Inline-Mixed'!$E$156:$AK$156</definedName>
    <definedName name="tlccEupol1" localSheetId="9">'Power Roof Vent'!$E$156:$AK$156</definedName>
    <definedName name="tlccEupol1" localSheetId="8">Radial!$E$156:$AK$156</definedName>
    <definedName name="tlccEupol2" localSheetId="3">'Axial Housed'!$E$162:$AK$162</definedName>
    <definedName name="tlccEupol2" localSheetId="4">'Axial Unhoused'!$E$162:$AK$162</definedName>
    <definedName name="tlccEupol2" localSheetId="5">'Centrif Housed'!$E$162:$AK$162</definedName>
    <definedName name="tlccEupol2" localSheetId="6">'Centrif Unhous'!$E$162:$AK$162</definedName>
    <definedName name="tlccEupol2" localSheetId="7">'Inline-Mixed'!$E$162:$AK$162</definedName>
    <definedName name="tlccEupol2" localSheetId="9">'Power Roof Vent'!$E$162:$AK$162</definedName>
    <definedName name="tlccEupol2" localSheetId="8">Radial!$E$162:$AK$162</definedName>
    <definedName name="tlccEupol3" localSheetId="3">'Axial Housed'!$E$168:$AK$168</definedName>
    <definedName name="tlccEupol3" localSheetId="4">'Axial Unhoused'!$E$168:$AK$168</definedName>
    <definedName name="tlccEupol3" localSheetId="5">'Centrif Housed'!$E$168:$AK$168</definedName>
    <definedName name="tlccEupol3" localSheetId="6">'Centrif Unhous'!$E$168:$AK$168</definedName>
    <definedName name="tlccEupol3" localSheetId="7">'Inline-Mixed'!$E$168:$AK$168</definedName>
    <definedName name="tlccEupol3" localSheetId="9">'Power Roof Vent'!$E$168:$AK$168</definedName>
    <definedName name="tlccEupol3" localSheetId="8">Radial!$E$168:$AK$168</definedName>
    <definedName name="tlccEupol4" localSheetId="3">'Axial Housed'!$E$174:$AK$174</definedName>
    <definedName name="tlccEupol4" localSheetId="4">'Axial Unhoused'!$E$174:$AK$174</definedName>
    <definedName name="tlccEupol4" localSheetId="5">'Centrif Housed'!$E$174:$AK$174</definedName>
    <definedName name="tlccEupol4" localSheetId="6">'Centrif Unhous'!$E$174:$AK$174</definedName>
    <definedName name="tlccEupol4" localSheetId="7">'Inline-Mixed'!$E$174:$AK$174</definedName>
    <definedName name="tlccEupol4" localSheetId="9">'Power Roof Vent'!$E$174:$AK$174</definedName>
    <definedName name="tlccEupol4" localSheetId="8">Radial!$E$174:$AK$174</definedName>
    <definedName name="tlccEupol5" localSheetId="3">'Axial Housed'!$E$180:$AK$180</definedName>
    <definedName name="tlccEupol5" localSheetId="4">'Axial Unhoused'!$E$180:$AK$180</definedName>
    <definedName name="tlccEupol5" localSheetId="5">'Centrif Housed'!$E$180:$AK$180</definedName>
    <definedName name="tlccEupol5" localSheetId="6">'Centrif Unhous'!$E$180:$AK$180</definedName>
    <definedName name="tlccEupol5" localSheetId="7">'Inline-Mixed'!$E$180:$AK$180</definedName>
    <definedName name="tlccEupol5" localSheetId="9">'Power Roof Vent'!$E$180:$AK$180</definedName>
    <definedName name="tlccEupol5" localSheetId="8">Radial!$E$180:$AK$180</definedName>
    <definedName name="tlccEupol6" localSheetId="3">'Axial Housed'!$E$186:$AK$186</definedName>
    <definedName name="tlccEupol6" localSheetId="4">'Axial Unhoused'!$E$186:$AK$186</definedName>
    <definedName name="tlccEupol6" localSheetId="5">'Centrif Housed'!$E$186:$AK$186</definedName>
    <definedName name="tlccEupol6" localSheetId="6">'Centrif Unhous'!$E$186:$AK$186</definedName>
    <definedName name="tlccEupol6" localSheetId="7">'Inline-Mixed'!$E$186:$AK$186</definedName>
    <definedName name="tlccEupol6" localSheetId="9">'Power Roof Vent'!$E$186:$AK$186</definedName>
    <definedName name="tlccEupol6" localSheetId="8">Radial!$E$186:$AK$186</definedName>
    <definedName name="tlccFmElecbc" localSheetId="3">'Axial Housed'!$E$24:$AK$24</definedName>
    <definedName name="tlccFmElecbc" localSheetId="4">'Axial Unhoused'!$E$24:$AK$24</definedName>
    <definedName name="tlccFmElecbc" localSheetId="5">'Centrif Housed'!$E$24:$AK$24</definedName>
    <definedName name="tlccFmElecbc" localSheetId="6">'Centrif Unhous'!$E$24:$AK$24</definedName>
    <definedName name="tlccFmElecbc" localSheetId="7">'Inline-Mixed'!$E$24:$AK$24</definedName>
    <definedName name="tlccFmElecbc" localSheetId="9">'Power Roof Vent'!$E$24:$AK$24</definedName>
    <definedName name="tlccFmElecbc" localSheetId="8">Radial!$E$24:$AK$24</definedName>
    <definedName name="tlccFmElecpol" localSheetId="3">'Axial Housed'!$E$29:$AK$29</definedName>
    <definedName name="tlccFmElecpol" localSheetId="4">'Axial Unhoused'!$E$29:$AK$29</definedName>
    <definedName name="tlccFmElecpol" localSheetId="5">'Centrif Housed'!$E$29:$AK$29</definedName>
    <definedName name="tlccFmElecpol" localSheetId="6">'Centrif Unhous'!$E$29:$AK$29</definedName>
    <definedName name="tlccFmElecpol" localSheetId="7">'Inline-Mixed'!$E$29:$AK$29</definedName>
    <definedName name="tlccFmElecpol" localSheetId="9">'Power Roof Vent'!$E$29:$AK$29</definedName>
    <definedName name="tlccFmElecpol" localSheetId="8">Radial!$E$29:$AK$29</definedName>
    <definedName name="tlccFubcElec" localSheetId="3">'Axial Housed'!$E$68:$AK$74</definedName>
    <definedName name="tlccFubcElec" localSheetId="4">'Axial Unhoused'!$E$68:$AK$74</definedName>
    <definedName name="tlccFubcElec" localSheetId="5">'Centrif Housed'!$E$68:$AK$74</definedName>
    <definedName name="tlccFubcElec" localSheetId="6">'Centrif Unhous'!$E$68:$AK$74</definedName>
    <definedName name="tlccFubcElec" localSheetId="7">'Inline-Mixed'!$E$68:$AK$74</definedName>
    <definedName name="tlccFubcElec" localSheetId="9">'Power Roof Vent'!$E$68:$AK$74</definedName>
    <definedName name="tlccFubcElec" localSheetId="8">Radial!$E$68:$AK$74</definedName>
    <definedName name="tlccFubcElec0" localSheetId="3">'Axial Housed'!$E$110:$AK$110</definedName>
    <definedName name="tlccFubcElec0" localSheetId="4">'Axial Unhoused'!$E$110:$AK$110</definedName>
    <definedName name="tlccFubcElec0" localSheetId="5">'Centrif Housed'!$E$110:$AK$110</definedName>
    <definedName name="tlccFubcElec0" localSheetId="6">'Centrif Unhous'!$E$110:$AK$110</definedName>
    <definedName name="tlccFubcElec0" localSheetId="7">'Inline-Mixed'!$E$110:$AK$110</definedName>
    <definedName name="tlccFubcElec0" localSheetId="9">'Power Roof Vent'!$E$110:$AK$110</definedName>
    <definedName name="tlccFubcElec0" localSheetId="8">Radial!$E$110:$AK$110</definedName>
    <definedName name="tlccFubcElec1" localSheetId="3">'Axial Housed'!$E$116:$AK$116</definedName>
    <definedName name="tlccFubcElec1" localSheetId="4">'Axial Unhoused'!$E$116:$AK$116</definedName>
    <definedName name="tlccFubcElec1" localSheetId="5">'Centrif Housed'!$E$116:$AK$116</definedName>
    <definedName name="tlccFubcElec1" localSheetId="6">'Centrif Unhous'!$E$116:$AK$116</definedName>
    <definedName name="tlccFubcElec1" localSheetId="7">'Inline-Mixed'!$E$116:$AK$116</definedName>
    <definedName name="tlccFubcElec1" localSheetId="9">'Power Roof Vent'!$E$116:$AK$116</definedName>
    <definedName name="tlccFubcElec1" localSheetId="8">Radial!$E$116:$AK$116</definedName>
    <definedName name="tlccFubcElec2" localSheetId="3">'Axial Housed'!$E$122:$AK$122</definedName>
    <definedName name="tlccFubcElec2" localSheetId="4">'Axial Unhoused'!$E$122:$AK$122</definedName>
    <definedName name="tlccFubcElec2" localSheetId="5">'Centrif Housed'!$E$122:$AK$122</definedName>
    <definedName name="tlccFubcElec2" localSheetId="6">'Centrif Unhous'!$E$122:$AK$122</definedName>
    <definedName name="tlccFubcElec2" localSheetId="7">'Inline-Mixed'!$E$122:$AK$122</definedName>
    <definedName name="tlccFubcElec2" localSheetId="9">'Power Roof Vent'!$E$122:$AK$122</definedName>
    <definedName name="tlccFubcElec2" localSheetId="8">Radial!$E$122:$AK$122</definedName>
    <definedName name="tlccFubcElec3" localSheetId="3">'Axial Housed'!$E$128:$AK$128</definedName>
    <definedName name="tlccFubcElec3" localSheetId="4">'Axial Unhoused'!$E$128:$AK$128</definedName>
    <definedName name="tlccFubcElec3" localSheetId="5">'Centrif Housed'!$E$128:$AK$128</definedName>
    <definedName name="tlccFubcElec3" localSheetId="6">'Centrif Unhous'!$E$128:$AK$128</definedName>
    <definedName name="tlccFubcElec3" localSheetId="7">'Inline-Mixed'!$E$128:$AK$128</definedName>
    <definedName name="tlccFubcElec3" localSheetId="9">'Power Roof Vent'!$E$128:$AK$128</definedName>
    <definedName name="tlccFubcElec3" localSheetId="8">Radial!$E$128:$AK$128</definedName>
    <definedName name="tlccFubcElec4" localSheetId="3">'Axial Housed'!$E$134:$AK$134</definedName>
    <definedName name="tlccFubcElec4" localSheetId="4">'Axial Unhoused'!$E$134:$AK$134</definedName>
    <definedName name="tlccFubcElec4" localSheetId="5">'Centrif Housed'!$E$134:$AK$134</definedName>
    <definedName name="tlccFubcElec4" localSheetId="6">'Centrif Unhous'!$E$134:$AK$134</definedName>
    <definedName name="tlccFubcElec4" localSheetId="7">'Inline-Mixed'!$E$134:$AK$134</definedName>
    <definedName name="tlccFubcElec4" localSheetId="9">'Power Roof Vent'!$E$134:$AK$134</definedName>
    <definedName name="tlccFubcElec4" localSheetId="8">Radial!$E$134:$AK$134</definedName>
    <definedName name="tlccFubcElec5" localSheetId="3">'Axial Housed'!$E$140:$AK$140</definedName>
    <definedName name="tlccFubcElec5" localSheetId="4">'Axial Unhoused'!$E$140:$AK$140</definedName>
    <definedName name="tlccFubcElec5" localSheetId="5">'Centrif Housed'!$E$140:$AK$140</definedName>
    <definedName name="tlccFubcElec5" localSheetId="6">'Centrif Unhous'!$E$140:$AK$140</definedName>
    <definedName name="tlccFubcElec5" localSheetId="7">'Inline-Mixed'!$E$140:$AK$140</definedName>
    <definedName name="tlccFubcElec5" localSheetId="9">'Power Roof Vent'!$E$140:$AK$140</definedName>
    <definedName name="tlccFubcElec5" localSheetId="8">Radial!$E$140:$AK$140</definedName>
    <definedName name="tlccFubcElec6" localSheetId="3">'Axial Housed'!$E$146:$AK$146</definedName>
    <definedName name="tlccFubcElec6" localSheetId="4">'Axial Unhoused'!$E$146:$AK$146</definedName>
    <definedName name="tlccFubcElec6" localSheetId="5">'Centrif Housed'!$E$146:$AK$146</definedName>
    <definedName name="tlccFubcElec6" localSheetId="6">'Centrif Unhous'!$E$146:$AK$146</definedName>
    <definedName name="tlccFubcElec6" localSheetId="7">'Inline-Mixed'!$E$146:$AK$146</definedName>
    <definedName name="tlccFubcElec6" localSheetId="9">'Power Roof Vent'!$E$146:$AK$146</definedName>
    <definedName name="tlccFubcElec6" localSheetId="8">Radial!$E$146:$AK$146</definedName>
    <definedName name="tlccFupolElec" localSheetId="3">'Axial Housed'!$E$95:$AK$101</definedName>
    <definedName name="tlccFupolElec" localSheetId="4">'Axial Unhoused'!$E$95:$AK$101</definedName>
    <definedName name="tlccFupolElec" localSheetId="5">'Centrif Housed'!$E$95:$AK$101</definedName>
    <definedName name="tlccFupolElec" localSheetId="6">'Centrif Unhous'!$E$95:$AK$101</definedName>
    <definedName name="tlccFupolElec" localSheetId="7">'Inline-Mixed'!$E$95:$AK$101</definedName>
    <definedName name="tlccFupolElec" localSheetId="9">'Power Roof Vent'!$E$95:$AK$101</definedName>
    <definedName name="tlccFupolElec" localSheetId="8">Radial!$E$95:$AK$101</definedName>
    <definedName name="tlccFupolElec0" localSheetId="3">'Axial Housed'!$E$153:$AK$153</definedName>
    <definedName name="tlccFupolElec0" localSheetId="4">'Axial Unhoused'!$E$153:$AK$153</definedName>
    <definedName name="tlccFupolElec0" localSheetId="5">'Centrif Housed'!$E$153:$AK$153</definedName>
    <definedName name="tlccFupolElec0" localSheetId="6">'Centrif Unhous'!$E$153:$AK$153</definedName>
    <definedName name="tlccFupolElec0" localSheetId="7">'Inline-Mixed'!$E$153:$AK$153</definedName>
    <definedName name="tlccFupolElec0" localSheetId="9">'Power Roof Vent'!$E$153:$AK$153</definedName>
    <definedName name="tlccFupolElec0" localSheetId="8">Radial!$E$153:$AK$153</definedName>
    <definedName name="tlccFupolElec1" localSheetId="3">'Axial Housed'!$E$159:$AK$159</definedName>
    <definedName name="tlccFupolElec1" localSheetId="4">'Axial Unhoused'!$E$159:$AK$159</definedName>
    <definedName name="tlccFupolElec1" localSheetId="5">'Centrif Housed'!$E$159:$AK$159</definedName>
    <definedName name="tlccFupolElec1" localSheetId="6">'Centrif Unhous'!$E$159:$AK$159</definedName>
    <definedName name="tlccFupolElec1" localSheetId="7">'Inline-Mixed'!$E$159:$AK$159</definedName>
    <definedName name="tlccFupolElec1" localSheetId="9">'Power Roof Vent'!$E$159:$AK$159</definedName>
    <definedName name="tlccFupolElec1" localSheetId="8">Radial!$E$159:$AK$159</definedName>
    <definedName name="tlccFupolElec2" localSheetId="3">'Axial Housed'!$E$165:$AK$165</definedName>
    <definedName name="tlccFupolElec2" localSheetId="4">'Axial Unhoused'!$E$165:$AK$165</definedName>
    <definedName name="tlccFupolElec2" localSheetId="5">'Centrif Housed'!$E$165:$AK$165</definedName>
    <definedName name="tlccFupolElec2" localSheetId="6">'Centrif Unhous'!$E$165:$AK$165</definedName>
    <definedName name="tlccFupolElec2" localSheetId="7">'Inline-Mixed'!$E$165:$AK$165</definedName>
    <definedName name="tlccFupolElec2" localSheetId="9">'Power Roof Vent'!$E$165:$AK$165</definedName>
    <definedName name="tlccFupolElec2" localSheetId="8">Radial!$E$165:$AK$165</definedName>
    <definedName name="tlccFupolElec3" localSheetId="3">'Axial Housed'!$E$171:$AK$171</definedName>
    <definedName name="tlccFupolElec3" localSheetId="4">'Axial Unhoused'!$E$171:$AK$171</definedName>
    <definedName name="tlccFupolElec3" localSheetId="5">'Centrif Housed'!$E$171:$AK$171</definedName>
    <definedName name="tlccFupolElec3" localSheetId="6">'Centrif Unhous'!$E$171:$AK$171</definedName>
    <definedName name="tlccFupolElec3" localSheetId="7">'Inline-Mixed'!$E$171:$AK$171</definedName>
    <definedName name="tlccFupolElec3" localSheetId="9">'Power Roof Vent'!$E$171:$AK$171</definedName>
    <definedName name="tlccFupolElec3" localSheetId="8">Radial!$E$171:$AK$171</definedName>
    <definedName name="tlccFupolElec4" localSheetId="3">'Axial Housed'!$E$177:$AK$177</definedName>
    <definedName name="tlccFupolElec4" localSheetId="4">'Axial Unhoused'!$E$177:$AK$177</definedName>
    <definedName name="tlccFupolElec4" localSheetId="5">'Centrif Housed'!$E$177:$AK$177</definedName>
    <definedName name="tlccFupolElec4" localSheetId="6">'Centrif Unhous'!$E$177:$AK$177</definedName>
    <definedName name="tlccFupolElec4" localSheetId="7">'Inline-Mixed'!$E$177:$AK$177</definedName>
    <definedName name="tlccFupolElec4" localSheetId="9">'Power Roof Vent'!$E$177:$AK$177</definedName>
    <definedName name="tlccFupolElec4" localSheetId="8">Radial!$E$177:$AK$177</definedName>
    <definedName name="tlccFupolElec5" localSheetId="3">'Axial Housed'!$E$183:$AK$183</definedName>
    <definedName name="tlccFupolElec5" localSheetId="4">'Axial Unhoused'!$E$183:$AK$183</definedName>
    <definedName name="tlccFupolElec5" localSheetId="5">'Centrif Housed'!$E$183:$AK$183</definedName>
    <definedName name="tlccFupolElec5" localSheetId="6">'Centrif Unhous'!$E$183:$AK$183</definedName>
    <definedName name="tlccFupolElec5" localSheetId="7">'Inline-Mixed'!$E$183:$AK$183</definedName>
    <definedName name="tlccFupolElec5" localSheetId="9">'Power Roof Vent'!$E$183:$AK$183</definedName>
    <definedName name="tlccFupolElec5" localSheetId="8">Radial!$E$183:$AK$183</definedName>
    <definedName name="tlccFupolElec6" localSheetId="3">'Axial Housed'!$E$189:$AK$189</definedName>
    <definedName name="tlccFupolElec6" localSheetId="4">'Axial Unhoused'!$E$189:$AK$189</definedName>
    <definedName name="tlccFupolElec6" localSheetId="5">'Centrif Housed'!$E$189:$AK$189</definedName>
    <definedName name="tlccFupolElec6" localSheetId="6">'Centrif Unhous'!$E$189:$AK$189</definedName>
    <definedName name="tlccFupolElec6" localSheetId="7">'Inline-Mixed'!$E$189:$AK$189</definedName>
    <definedName name="tlccFupolElec6" localSheetId="9">'Power Roof Vent'!$E$189:$AK$189</definedName>
    <definedName name="tlccFupolElec6" localSheetId="8">Radial!$E$189:$AK$189</definedName>
    <definedName name="tlccQmbc" localSheetId="3">'Axial Housed'!$E$21:$AK$21</definedName>
    <definedName name="tlccQmbc" localSheetId="4">'Axial Unhoused'!$E$21:$AK$21</definedName>
    <definedName name="tlccQmbc" localSheetId="5">'Centrif Housed'!$E$21:$AK$21</definedName>
    <definedName name="tlccQmbc" localSheetId="6">'Centrif Unhous'!$E$21:$AK$21</definedName>
    <definedName name="tlccQmbc" localSheetId="7">'Inline-Mixed'!$E$21:$AK$21</definedName>
    <definedName name="tlccQmbc" localSheetId="9">'Power Roof Vent'!$E$21:$AK$21</definedName>
    <definedName name="tlccQmbc" localSheetId="8">Radial!$E$21:$AK$21</definedName>
    <definedName name="tlccQmpol" localSheetId="3">'Axial Housed'!$E$26:$AK$26</definedName>
    <definedName name="tlccQmpol" localSheetId="4">'Axial Unhoused'!$E$26:$AK$26</definedName>
    <definedName name="tlccQmpol" localSheetId="5">'Centrif Housed'!$E$26:$AK$26</definedName>
    <definedName name="tlccQmpol" localSheetId="6">'Centrif Unhous'!$E$26:$AK$26</definedName>
    <definedName name="tlccQmpol" localSheetId="7">'Inline-Mixed'!$E$26:$AK$26</definedName>
    <definedName name="tlccQmpol" localSheetId="9">'Power Roof Vent'!$E$26:$AK$26</definedName>
    <definedName name="tlccQmpol" localSheetId="8">Radial!$E$26:$AK$26</definedName>
    <definedName name="tlccQubc" localSheetId="3">'Axial Housed'!$E$50:$AK$56</definedName>
    <definedName name="tlccQubc" localSheetId="4">'Axial Unhoused'!$E$50:$AK$56</definedName>
    <definedName name="tlccQubc" localSheetId="5">'Centrif Housed'!$E$50:$AK$56</definedName>
    <definedName name="tlccQubc" localSheetId="6">'Centrif Unhous'!$E$50:$AK$56</definedName>
    <definedName name="tlccQubc" localSheetId="7">'Inline-Mixed'!$E$50:$AK$56</definedName>
    <definedName name="tlccQubc" localSheetId="9">'Power Roof Vent'!$E$50:$AK$56</definedName>
    <definedName name="tlccQubc" localSheetId="8">Radial!$E$50:$AK$56</definedName>
    <definedName name="tlccQubc0" localSheetId="3">'Axial Housed'!$E$106:$AK$106</definedName>
    <definedName name="tlccQubc0" localSheetId="4">'Axial Unhoused'!$E$106:$AK$106</definedName>
    <definedName name="tlccQubc0" localSheetId="5">'Centrif Housed'!$E$106:$AK$106</definedName>
    <definedName name="tlccQubc0" localSheetId="6">'Centrif Unhous'!$E$106:$AK$106</definedName>
    <definedName name="tlccQubc0" localSheetId="7">'Inline-Mixed'!$E$106:$AK$106</definedName>
    <definedName name="tlccQubc0" localSheetId="9">'Power Roof Vent'!$E$106:$AK$106</definedName>
    <definedName name="tlccQubc0" localSheetId="8">Radial!$E$106:$AK$106</definedName>
    <definedName name="tlccQubc1" localSheetId="3">'Axial Housed'!$E$112:$AK$112</definedName>
    <definedName name="tlccQubc1" localSheetId="4">'Axial Unhoused'!$E$112:$AK$112</definedName>
    <definedName name="tlccQubc1" localSheetId="5">'Centrif Housed'!$E$112:$AK$112</definedName>
    <definedName name="tlccQubc1" localSheetId="6">'Centrif Unhous'!$E$112:$AK$112</definedName>
    <definedName name="tlccQubc1" localSheetId="7">'Inline-Mixed'!$E$112:$AK$112</definedName>
    <definedName name="tlccQubc1" localSheetId="9">'Power Roof Vent'!$E$112:$AK$112</definedName>
    <definedName name="tlccQubc1" localSheetId="8">Radial!$E$112:$AK$112</definedName>
    <definedName name="tlccQubc2" localSheetId="3">'Axial Housed'!$E$118:$AK$118</definedName>
    <definedName name="tlccQubc2" localSheetId="4">'Axial Unhoused'!$E$118:$AK$118</definedName>
    <definedName name="tlccQubc2" localSheetId="5">'Centrif Housed'!$E$118:$AK$118</definedName>
    <definedName name="tlccQubc2" localSheetId="6">'Centrif Unhous'!$E$118:$AK$118</definedName>
    <definedName name="tlccQubc2" localSheetId="7">'Inline-Mixed'!$E$118:$AK$118</definedName>
    <definedName name="tlccQubc2" localSheetId="9">'Power Roof Vent'!$E$118:$AK$118</definedName>
    <definedName name="tlccQubc2" localSheetId="8">Radial!$E$118:$AK$118</definedName>
    <definedName name="tlccQubc3" localSheetId="3">'Axial Housed'!$E$124:$AK$124</definedName>
    <definedName name="tlccQubc3" localSheetId="4">'Axial Unhoused'!$E$124:$AK$124</definedName>
    <definedName name="tlccQubc3" localSheetId="5">'Centrif Housed'!$E$124:$AK$124</definedName>
    <definedName name="tlccQubc3" localSheetId="6">'Centrif Unhous'!$E$124:$AK$124</definedName>
    <definedName name="tlccQubc3" localSheetId="7">'Inline-Mixed'!$E$124:$AK$124</definedName>
    <definedName name="tlccQubc3" localSheetId="9">'Power Roof Vent'!$E$124:$AK$124</definedName>
    <definedName name="tlccQubc3" localSheetId="8">Radial!$E$124:$AK$124</definedName>
    <definedName name="tlccQubc4" localSheetId="3">'Axial Housed'!$E$130:$AK$130</definedName>
    <definedName name="tlccQubc4" localSheetId="4">'Axial Unhoused'!$E$130:$AK$130</definedName>
    <definedName name="tlccQubc4" localSheetId="5">'Centrif Housed'!$E$130:$AK$130</definedName>
    <definedName name="tlccQubc4" localSheetId="6">'Centrif Unhous'!$E$130:$AK$130</definedName>
    <definedName name="tlccQubc4" localSheetId="7">'Inline-Mixed'!$E$130:$AK$130</definedName>
    <definedName name="tlccQubc4" localSheetId="9">'Power Roof Vent'!$E$130:$AK$130</definedName>
    <definedName name="tlccQubc4" localSheetId="8">Radial!$E$130:$AK$130</definedName>
    <definedName name="tlccQubc5" localSheetId="3">'Axial Housed'!$E$136:$AK$136</definedName>
    <definedName name="tlccQubc5" localSheetId="4">'Axial Unhoused'!$E$136:$AK$136</definedName>
    <definedName name="tlccQubc5" localSheetId="5">'Centrif Housed'!$E$136:$AK$136</definedName>
    <definedName name="tlccQubc5" localSheetId="6">'Centrif Unhous'!$E$136:$AK$136</definedName>
    <definedName name="tlccQubc5" localSheetId="7">'Inline-Mixed'!$E$136:$AK$136</definedName>
    <definedName name="tlccQubc5" localSheetId="9">'Power Roof Vent'!$E$136:$AK$136</definedName>
    <definedName name="tlccQubc5" localSheetId="8">Radial!$E$136:$AK$136</definedName>
    <definedName name="tlccQubc6" localSheetId="3">'Axial Housed'!$E$142:$AK$142</definedName>
    <definedName name="tlccQubc6" localSheetId="4">'Axial Unhoused'!$E$142:$AK$142</definedName>
    <definedName name="tlccQubc6" localSheetId="5">'Centrif Housed'!$E$142:$AK$142</definedName>
    <definedName name="tlccQubc6" localSheetId="6">'Centrif Unhous'!$E$142:$AK$142</definedName>
    <definedName name="tlccQubc6" localSheetId="7">'Inline-Mixed'!$E$142:$AK$142</definedName>
    <definedName name="tlccQubc6" localSheetId="9">'Power Roof Vent'!$E$142:$AK$142</definedName>
    <definedName name="tlccQubc6" localSheetId="8">Radial!$E$142:$AK$142</definedName>
    <definedName name="tlccQupol" localSheetId="3">'Axial Housed'!$E$77:$AK$83</definedName>
    <definedName name="tlccQupol" localSheetId="4">'Axial Unhoused'!$E$77:$AK$83</definedName>
    <definedName name="tlccQupol" localSheetId="5">'Centrif Housed'!$E$77:$AK$83</definedName>
    <definedName name="tlccQupol" localSheetId="6">'Centrif Unhous'!$E$77:$AK$83</definedName>
    <definedName name="tlccQupol" localSheetId="7">'Inline-Mixed'!$E$77:$AK$83</definedName>
    <definedName name="tlccQupol" localSheetId="9">'Power Roof Vent'!$E$77:$AK$83</definedName>
    <definedName name="tlccQupol" localSheetId="8">Radial!$E$77:$AK$83</definedName>
    <definedName name="tlccQupol0" localSheetId="3">'Axial Housed'!$E$149:$AK$149</definedName>
    <definedName name="tlccQupol0" localSheetId="4">'Axial Unhoused'!$E$149:$AK$149</definedName>
    <definedName name="tlccQupol0" localSheetId="5">'Centrif Housed'!$E$149:$AK$149</definedName>
    <definedName name="tlccQupol0" localSheetId="6">'Centrif Unhous'!$E$149:$AK$149</definedName>
    <definedName name="tlccQupol0" localSheetId="7">'Inline-Mixed'!$E$149:$AK$149</definedName>
    <definedName name="tlccQupol0" localSheetId="9">'Power Roof Vent'!$E$149:$AK$149</definedName>
    <definedName name="tlccQupol0" localSheetId="8">Radial!$E$149:$AK$149</definedName>
    <definedName name="tlccQupol1" localSheetId="3">'Axial Housed'!$E$155:$AK$155</definedName>
    <definedName name="tlccQupol1" localSheetId="4">'Axial Unhoused'!$E$155:$AK$155</definedName>
    <definedName name="tlccQupol1" localSheetId="5">'Centrif Housed'!$E$155:$AK$155</definedName>
    <definedName name="tlccQupol1" localSheetId="6">'Centrif Unhous'!$E$155:$AK$155</definedName>
    <definedName name="tlccQupol1" localSheetId="7">'Inline-Mixed'!$E$155:$AK$155</definedName>
    <definedName name="tlccQupol1" localSheetId="9">'Power Roof Vent'!$E$155:$AK$155</definedName>
    <definedName name="tlccQupol1" localSheetId="8">Radial!$E$155:$AK$155</definedName>
    <definedName name="tlccQupol2" localSheetId="3">'Axial Housed'!$E$161:$AK$161</definedName>
    <definedName name="tlccQupol2" localSheetId="4">'Axial Unhoused'!$E$161:$AK$161</definedName>
    <definedName name="tlccQupol2" localSheetId="5">'Centrif Housed'!$E$161:$AK$161</definedName>
    <definedName name="tlccQupol2" localSheetId="6">'Centrif Unhous'!$E$161:$AK$161</definedName>
    <definedName name="tlccQupol2" localSheetId="7">'Inline-Mixed'!$E$161:$AK$161</definedName>
    <definedName name="tlccQupol2" localSheetId="9">'Power Roof Vent'!$E$161:$AK$161</definedName>
    <definedName name="tlccQupol2" localSheetId="8">Radial!$E$161:$AK$161</definedName>
    <definedName name="tlccQupol3" localSheetId="3">'Axial Housed'!$E$167:$AK$167</definedName>
    <definedName name="tlccQupol3" localSheetId="4">'Axial Unhoused'!$E$167:$AK$167</definedName>
    <definedName name="tlccQupol3" localSheetId="5">'Centrif Housed'!$E$167:$AK$167</definedName>
    <definedName name="tlccQupol3" localSheetId="6">'Centrif Unhous'!$E$167:$AK$167</definedName>
    <definedName name="tlccQupol3" localSheetId="7">'Inline-Mixed'!$E$167:$AK$167</definedName>
    <definedName name="tlccQupol3" localSheetId="9">'Power Roof Vent'!$E$167:$AK$167</definedName>
    <definedName name="tlccQupol3" localSheetId="8">Radial!$E$167:$AK$167</definedName>
    <definedName name="tlccQupol4" localSheetId="3">'Axial Housed'!$E$173:$AK$173</definedName>
    <definedName name="tlccQupol4" localSheetId="4">'Axial Unhoused'!$E$173:$AK$173</definedName>
    <definedName name="tlccQupol4" localSheetId="5">'Centrif Housed'!$E$173:$AK$173</definedName>
    <definedName name="tlccQupol4" localSheetId="6">'Centrif Unhous'!$E$173:$AK$173</definedName>
    <definedName name="tlccQupol4" localSheetId="7">'Inline-Mixed'!$E$173:$AK$173</definedName>
    <definedName name="tlccQupol4" localSheetId="9">'Power Roof Vent'!$E$173:$AK$173</definedName>
    <definedName name="tlccQupol4" localSheetId="8">Radial!$E$173:$AK$173</definedName>
    <definedName name="tlccQupol5" localSheetId="3">'Axial Housed'!$E$179:$AK$179</definedName>
    <definedName name="tlccQupol5" localSheetId="4">'Axial Unhoused'!$E$179:$AK$179</definedName>
    <definedName name="tlccQupol5" localSheetId="5">'Centrif Housed'!$E$179:$AK$179</definedName>
    <definedName name="tlccQupol5" localSheetId="6">'Centrif Unhous'!$E$179:$AK$179</definedName>
    <definedName name="tlccQupol5" localSheetId="7">'Inline-Mixed'!$E$179:$AK$179</definedName>
    <definedName name="tlccQupol5" localSheetId="9">'Power Roof Vent'!$E$179:$AK$179</definedName>
    <definedName name="tlccQupol5" localSheetId="8">Radial!$E$179:$AK$179</definedName>
    <definedName name="tlccQupol6" localSheetId="3">'Axial Housed'!$E$185:$AK$185</definedName>
    <definedName name="tlccQupol6" localSheetId="4">'Axial Unhoused'!$E$185:$AK$185</definedName>
    <definedName name="tlccQupol6" localSheetId="5">'Centrif Housed'!$E$185:$AK$185</definedName>
    <definedName name="tlccQupol6" localSheetId="6">'Centrif Unhous'!$E$185:$AK$185</definedName>
    <definedName name="tlccQupol6" localSheetId="7">'Inline-Mixed'!$E$185:$AK$185</definedName>
    <definedName name="tlccQupol6" localSheetId="9">'Power Roof Vent'!$E$185:$AK$185</definedName>
    <definedName name="tlccQupol6" localSheetId="8">Radial!$E$185:$AK$185</definedName>
    <definedName name="tMktAxH">Shipments!$E$30:$AK$30</definedName>
    <definedName name="tMktAxU">Shipments!$E$31:$AK$31</definedName>
    <definedName name="tMktCnH">Shipments!$E$32:$AK$32</definedName>
    <definedName name="tMktCnU">Shipments!$E$33:$AK$33</definedName>
    <definedName name="tMktInMx">Shipments!$E$34:$AK$34</definedName>
    <definedName name="tMktPRV">Shipments!$E$36:$AK$36</definedName>
    <definedName name="tMktRad">Shipments!$E$35:$AK$35</definedName>
    <definedName name="tnet" localSheetId="3">'Axial Housed'!$E$5:$AK$5</definedName>
    <definedName name="tnet" localSheetId="4">'Axial Unhoused'!$E$5:$AK$5</definedName>
    <definedName name="tnet" localSheetId="5">'Centrif Housed'!$E$5:$AK$5</definedName>
    <definedName name="tnet" localSheetId="6">'Centrif Unhous'!$E$5:$AK$5</definedName>
    <definedName name="tnet" localSheetId="7">'Inline-Mixed'!$E$5:$AK$5</definedName>
    <definedName name="tnet" localSheetId="9">'Power Roof Vent'!$E$5:$AK$5</definedName>
    <definedName name="tnet" localSheetId="8">Radial!$E$5:$AK$5</definedName>
    <definedName name="tnetU" localSheetId="3">'Axial Housed'!$E$13:$AK$13</definedName>
    <definedName name="tnetU" localSheetId="4">'Axial Unhoused'!$E$13:$AK$13</definedName>
    <definedName name="tnetU" localSheetId="5">'Centrif Housed'!$E$13:$AK$13</definedName>
    <definedName name="tnetU" localSheetId="6">'Centrif Unhous'!$E$13:$AK$13</definedName>
    <definedName name="tnetU" localSheetId="7">'Inline-Mixed'!$E$13:$AK$13</definedName>
    <definedName name="tnetU" localSheetId="9">'Power Roof Vent'!$E$13:$AK$13</definedName>
    <definedName name="tnetU" localSheetId="8">Radial!$E$13:$AK$13</definedName>
    <definedName name="tPIdxAll">'Price Index'!$D$5:$AJ$5</definedName>
    <definedName name="tPIdxAll1">'Price Index'!$D$8:$AJ$8</definedName>
    <definedName name="tPIdxAll2">'Price Index'!$D$11:$AJ$11</definedName>
    <definedName name="tPIdxAll3">'Price Index'!$D$14:$AJ$14</definedName>
    <definedName name="tpolEff0" localSheetId="3">'Axial Housed'!$E$32:$AK$32</definedName>
    <definedName name="tpolEff0" localSheetId="4">'Axial Unhoused'!$E$32:$AK$32</definedName>
    <definedName name="tpolEff0" localSheetId="5">'Centrif Housed'!$E$32:$AK$32</definedName>
    <definedName name="tpolEff0" localSheetId="6">'Centrif Unhous'!$E$32:$AK$32</definedName>
    <definedName name="tpolEff0" localSheetId="7">'Inline-Mixed'!$E$32:$AK$32</definedName>
    <definedName name="tpolEff0" localSheetId="9">'Power Roof Vent'!$E$32:$AK$32</definedName>
    <definedName name="tpolEff0" localSheetId="8">Radial!$E$32:$AK$32</definedName>
    <definedName name="tpolEff1" localSheetId="3">'Axial Housed'!$E$33:$AK$33</definedName>
    <definedName name="tpolEff1" localSheetId="4">'Axial Unhoused'!$E$33:$AK$33</definedName>
    <definedName name="tpolEff1" localSheetId="5">'Centrif Housed'!$E$33:$AK$33</definedName>
    <definedName name="tpolEff1" localSheetId="6">'Centrif Unhous'!$E$33:$AK$33</definedName>
    <definedName name="tpolEff1" localSheetId="7">'Inline-Mixed'!$E$33:$AK$33</definedName>
    <definedName name="tpolEff1" localSheetId="9">'Power Roof Vent'!$E$33:$AK$33</definedName>
    <definedName name="tpolEff1" localSheetId="8">Radial!$E$33:$AK$33</definedName>
    <definedName name="tpolEff2" localSheetId="3">'Axial Housed'!$E$34:$AK$34</definedName>
    <definedName name="tpolEff2" localSheetId="4">'Axial Unhoused'!$E$34:$AK$34</definedName>
    <definedName name="tpolEff2" localSheetId="5">'Centrif Housed'!$E$34:$AK$34</definedName>
    <definedName name="tpolEff2" localSheetId="6">'Centrif Unhous'!$E$34:$AK$34</definedName>
    <definedName name="tpolEff2" localSheetId="7">'Inline-Mixed'!$E$34:$AK$34</definedName>
    <definedName name="tpolEff2" localSheetId="9">'Power Roof Vent'!$E$34:$AK$34</definedName>
    <definedName name="tpolEff2" localSheetId="8">Radial!$E$34:$AK$34</definedName>
    <definedName name="tpolEff3" localSheetId="3">'Axial Housed'!$E$35:$AK$35</definedName>
    <definedName name="tpolEff3" localSheetId="4">'Axial Unhoused'!$E$35:$AK$35</definedName>
    <definedName name="tpolEff3" localSheetId="5">'Centrif Housed'!$E$35:$AK$35</definedName>
    <definedName name="tpolEff3" localSheetId="6">'Centrif Unhous'!$E$35:$AK$35</definedName>
    <definedName name="tpolEff3" localSheetId="7">'Inline-Mixed'!$E$35:$AK$35</definedName>
    <definedName name="tpolEff3" localSheetId="9">'Power Roof Vent'!$E$35:$AK$35</definedName>
    <definedName name="tpolEff3" localSheetId="8">Radial!$E$35:$AK$35</definedName>
    <definedName name="tpolEff4" localSheetId="3">'Axial Housed'!$E$36:$AK$36</definedName>
    <definedName name="tpolEff4" localSheetId="4">'Axial Unhoused'!$E$36:$AK$36</definedName>
    <definedName name="tpolEff4" localSheetId="5">'Centrif Housed'!$E$36:$AK$36</definedName>
    <definedName name="tpolEff4" localSheetId="6">'Centrif Unhous'!$E$36:$AK$36</definedName>
    <definedName name="tpolEff4" localSheetId="7">'Inline-Mixed'!$E$36:$AK$36</definedName>
    <definedName name="tpolEff4" localSheetId="9">'Power Roof Vent'!$E$36:$AK$36</definedName>
    <definedName name="tpolEff4" localSheetId="8">Radial!$E$36:$AK$36</definedName>
    <definedName name="tpolEff5" localSheetId="3">'Axial Housed'!$E$37:$AK$37</definedName>
    <definedName name="tpolEff5" localSheetId="4">'Axial Unhoused'!$E$37:$AK$37</definedName>
    <definedName name="tpolEff5" localSheetId="5">'Centrif Housed'!$E$37:$AK$37</definedName>
    <definedName name="tpolEff5" localSheetId="6">'Centrif Unhous'!$E$37:$AK$37</definedName>
    <definedName name="tpolEff5" localSheetId="7">'Inline-Mixed'!$E$37:$AK$37</definedName>
    <definedName name="tpolEff5" localSheetId="9">'Power Roof Vent'!$E$37:$AK$37</definedName>
    <definedName name="tpolEff5" localSheetId="8">Radial!$E$37:$AK$37</definedName>
    <definedName name="tpolEff6" localSheetId="3">'Axial Housed'!$E$38:$AK$38</definedName>
    <definedName name="tpolEff6" localSheetId="4">'Axial Unhoused'!$E$38:$AK$38</definedName>
    <definedName name="tpolEff6" localSheetId="5">'Centrif Housed'!$E$38:$AK$38</definedName>
    <definedName name="tpolEff6" localSheetId="6">'Centrif Unhous'!$E$38:$AK$38</definedName>
    <definedName name="tpolEff6" localSheetId="7">'Inline-Mixed'!$E$38:$AK$38</definedName>
    <definedName name="tpolEff6" localSheetId="9">'Power Roof Vent'!$E$38:$AK$38</definedName>
    <definedName name="tpolEff6" localSheetId="8">Radial!$E$38:$AK$38</definedName>
    <definedName name="tPrcElec">'Energy Prices'!$E$6:$CR$6</definedName>
    <definedName name="tPrcElecH">'Energy Prices'!$E$15:$CR$15</definedName>
    <definedName name="tPrcElecL">'Energy Prices'!$E$12:$CR$12</definedName>
    <definedName name="tPrcElecR">'Energy Prices'!$E$9:$CR$9</definedName>
    <definedName name="tpSurvAxH">Lifetime!$D$5:$BK$5</definedName>
    <definedName name="tpSurvAxU">Lifetime!$D$6:$BK$6</definedName>
    <definedName name="tpSurvCnH">Lifetime!$D$7:$BK$7</definedName>
    <definedName name="tpSurvCnU">Lifetime!$D$8:$BK$8</definedName>
    <definedName name="tpSurvInMx">Lifetime!$D$9:$BK$9</definedName>
    <definedName name="tpSurvPRV">Lifetime!$D$11:$BK$11</definedName>
    <definedName name="tpSurvRad">Lifetime!$D$10:$BK$10</definedName>
    <definedName name="ts2bElec">1</definedName>
    <definedName name="ts2bFOil">5.758</definedName>
    <definedName name="ts2bNGas">1.025</definedName>
    <definedName name="tsavElec7" localSheetId="3">'Axial Housed'!$E$9:$AK$9</definedName>
    <definedName name="tsavElec7" localSheetId="4">'Axial Unhoused'!$E$9:$AK$9</definedName>
    <definedName name="tsavElec7" localSheetId="5">'Centrif Housed'!$E$9:$AK$9</definedName>
    <definedName name="tsavElec7" localSheetId="6">'Centrif Unhous'!$E$9:$AK$9</definedName>
    <definedName name="tsavElec7" localSheetId="7">'Inline-Mixed'!$E$9:$AK$9</definedName>
    <definedName name="tsavElec7" localSheetId="9">'Power Roof Vent'!$E$9:$AK$9</definedName>
    <definedName name="tsavElec7" localSheetId="8">Radial!$E$9:$AK$9</definedName>
    <definedName name="tsavUElec" localSheetId="3">'Axial Housed'!$E$17:$AK$17</definedName>
    <definedName name="tsavUElec" localSheetId="4">'Axial Unhoused'!$E$17:$AK$17</definedName>
    <definedName name="tsavUElec" localSheetId="5">'Centrif Housed'!$E$17:$AK$17</definedName>
    <definedName name="tsavUElec" localSheetId="6">'Centrif Unhous'!$E$17:$AK$17</definedName>
    <definedName name="tsavUElec" localSheetId="7">'Inline-Mixed'!$E$17:$AK$17</definedName>
    <definedName name="tsavUElec" localSheetId="9">'Power Roof Vent'!$E$17:$AK$17</definedName>
    <definedName name="tsavUElec" localSheetId="8">Radial!$E$17:$AK$17</definedName>
    <definedName name="tShpAll">Shipments!$E$5:$AK$5</definedName>
    <definedName name="tShpAll1">Shipments!$E$6:$AK$6</definedName>
    <definedName name="tShpAll2">Shipments!$E$7:$AK$7</definedName>
    <definedName name="tShpAll3">Shipments!$E$8:$AK$8</definedName>
    <definedName name="tShpAxH">Shipments!$E$10:$AK$10</definedName>
    <definedName name="tShpAxU">Shipments!$E$11:$AK$11</definedName>
    <definedName name="tShpCnH">Shipments!$E$12:$AK$12</definedName>
    <definedName name="tShpCnU">Shipments!$E$13:$AK$13</definedName>
    <definedName name="tShpInMx">Shipments!$E$14:$AK$14</definedName>
    <definedName name="tShpPRV">Shipments!$E$16:$AK$16</definedName>
    <definedName name="tShpRad">Shipments!$E$15:$AK$15</definedName>
    <definedName name="tShpScenAll">OFFSET(tShpAll,1,0,3)</definedName>
    <definedName name="tsl_map">'[2]TSL-CSL Mapping'!$B$5:$E$21</definedName>
    <definedName name="tsl1stYear">Tables!$C$33:$H$33</definedName>
    <definedName name="tslNYears">Tables!$C$34:$H$34</definedName>
    <definedName name="tStkAll">Shipments!$E$19:$CR$19</definedName>
    <definedName name="tStkAxH">Shipments!$E$21:$CR$21</definedName>
    <definedName name="tStkAxU">Shipments!$E$22:$CR$22</definedName>
    <definedName name="tStkCnH">Shipments!$E$23:$CR$23</definedName>
    <definedName name="tStkCnU">Shipments!$E$24:$CR$24</definedName>
    <definedName name="tStkInMx">Shipments!$E$25:$CR$25</definedName>
    <definedName name="tStkPRV">Shipments!$E$27:$CR$27</definedName>
    <definedName name="tStkRad">Shipments!$E$26:$CR$26</definedName>
    <definedName name="tSumm">Summary!$F$4:$O$9</definedName>
    <definedName name="upstream">#REF!</definedName>
    <definedName name="usageTrend">'[2]Usage Trend'!$B$4:$C$73</definedName>
    <definedName name="vadAxH">'LCC Inputs'!$E$15:$K$21</definedName>
    <definedName name="vadAxU">'LCC Inputs'!$Q$15:$W$21</definedName>
    <definedName name="vadCnH">'LCC Inputs'!$AC$15:$AI$21</definedName>
    <definedName name="vadCnU">'LCC Inputs'!$AO$15:$AU$21</definedName>
    <definedName name="vadInMx">'LCC Inputs'!$BA$15:$BG$21</definedName>
    <definedName name="vadPRV">'LCC Inputs'!$BY$15:$CE$21</definedName>
    <definedName name="vadRad">'LCC Inputs'!$BM$15:$BS$21</definedName>
    <definedName name="X">[1]Lifetime!$B$10:$B$35</definedName>
    <definedName name="yearC">Summary!$D$12</definedName>
    <definedName name="yrDsc">[2]Summary!$C$8</definedName>
    <definedName name="yShift">yearC-_year1</definedName>
  </definedNames>
  <calcPr calcId="145621"/>
  <pivotCaches>
    <pivotCache cacheId="0" r:id="rId23"/>
  </pivotCaches>
</workbook>
</file>

<file path=xl/calcChain.xml><?xml version="1.0" encoding="utf-8"?>
<calcChain xmlns="http://schemas.openxmlformats.org/spreadsheetml/2006/main">
  <c r="C74" i="10" l="1"/>
  <c r="K47" i="10" l="1"/>
  <c r="BK39" i="10" l="1"/>
  <c r="E9" i="25" l="1" a="1"/>
  <c r="E9" i="25" s="1"/>
  <c r="CQ9" i="25" l="1"/>
  <c r="CM9" i="25"/>
  <c r="CI9" i="25"/>
  <c r="CE9" i="25"/>
  <c r="CA9" i="25"/>
  <c r="BW9" i="25"/>
  <c r="BS9" i="25"/>
  <c r="BO9" i="25"/>
  <c r="BK9" i="25"/>
  <c r="BG9" i="25"/>
  <c r="BC9" i="25"/>
  <c r="AY9" i="25"/>
  <c r="AU9" i="25"/>
  <c r="AQ9" i="25"/>
  <c r="AM9" i="25"/>
  <c r="AI9" i="25"/>
  <c r="AE9" i="25"/>
  <c r="AA9" i="25"/>
  <c r="W9" i="25"/>
  <c r="S9" i="25"/>
  <c r="O9" i="25"/>
  <c r="K9" i="25"/>
  <c r="G9" i="25"/>
  <c r="CP9" i="25"/>
  <c r="CL9" i="25"/>
  <c r="CH9" i="25"/>
  <c r="CD9" i="25"/>
  <c r="BZ9" i="25"/>
  <c r="BV9" i="25"/>
  <c r="BR9" i="25"/>
  <c r="BN9" i="25"/>
  <c r="BJ9" i="25"/>
  <c r="BF9" i="25"/>
  <c r="BB9" i="25"/>
  <c r="AX9" i="25"/>
  <c r="AT9" i="25"/>
  <c r="AP9" i="25"/>
  <c r="AL9" i="25"/>
  <c r="AH9" i="25"/>
  <c r="AD9" i="25"/>
  <c r="Z9" i="25"/>
  <c r="V9" i="25"/>
  <c r="R9" i="25"/>
  <c r="N9" i="25"/>
  <c r="J9" i="25"/>
  <c r="F9" i="25"/>
  <c r="CR9" i="25"/>
  <c r="CN9" i="25"/>
  <c r="CJ9" i="25"/>
  <c r="CF9" i="25"/>
  <c r="CB9" i="25"/>
  <c r="BX9" i="25"/>
  <c r="BT9" i="25"/>
  <c r="BP9" i="25"/>
  <c r="BL9" i="25"/>
  <c r="BH9" i="25"/>
  <c r="BD9" i="25"/>
  <c r="AZ9" i="25"/>
  <c r="AV9" i="25"/>
  <c r="AR9" i="25"/>
  <c r="AN9" i="25"/>
  <c r="AJ9" i="25"/>
  <c r="AF9" i="25"/>
  <c r="AB9" i="25"/>
  <c r="X9" i="25"/>
  <c r="T9" i="25"/>
  <c r="P9" i="25"/>
  <c r="L9" i="25"/>
  <c r="H9" i="25"/>
  <c r="CO9" i="25"/>
  <c r="CK9" i="25"/>
  <c r="CG9" i="25"/>
  <c r="CC9" i="25"/>
  <c r="BY9" i="25"/>
  <c r="BU9" i="25"/>
  <c r="BQ9" i="25"/>
  <c r="BM9" i="25"/>
  <c r="BI9" i="25"/>
  <c r="BE9" i="25"/>
  <c r="BA9" i="25"/>
  <c r="AW9" i="25"/>
  <c r="AS9" i="25"/>
  <c r="AO9" i="25"/>
  <c r="AK9" i="25"/>
  <c r="AG9" i="25"/>
  <c r="AC9" i="25"/>
  <c r="Y9" i="25"/>
  <c r="U9" i="25"/>
  <c r="Q9" i="25"/>
  <c r="M9" i="25"/>
  <c r="I9" i="25"/>
  <c r="E10" i="25" s="1" a="1"/>
  <c r="BL10" i="25" s="1"/>
  <c r="U10" i="25" l="1"/>
  <c r="BA10" i="25"/>
  <c r="CG10" i="25"/>
  <c r="Z10" i="25"/>
  <c r="BF10" i="25"/>
  <c r="CL10" i="25"/>
  <c r="AE10" i="25"/>
  <c r="BK10" i="25"/>
  <c r="CQ10" i="25"/>
  <c r="AJ10" i="25"/>
  <c r="BP10" i="25"/>
  <c r="Y10" i="25"/>
  <c r="BE10" i="25"/>
  <c r="CK10" i="25"/>
  <c r="AD10" i="25"/>
  <c r="BJ10" i="25"/>
  <c r="CP10" i="25"/>
  <c r="AI10" i="25"/>
  <c r="BO10" i="25"/>
  <c r="H10" i="25"/>
  <c r="AN10" i="25"/>
  <c r="AC10" i="25"/>
  <c r="BI10" i="25"/>
  <c r="CO10" i="25"/>
  <c r="AH10" i="25"/>
  <c r="BN10" i="25"/>
  <c r="G10" i="25"/>
  <c r="AM10" i="25"/>
  <c r="BS10" i="25"/>
  <c r="L10" i="25"/>
  <c r="AR10" i="25"/>
  <c r="AG10" i="25"/>
  <c r="BM10" i="25"/>
  <c r="F10" i="25"/>
  <c r="AL10" i="25"/>
  <c r="BR10" i="25"/>
  <c r="K10" i="25"/>
  <c r="AQ10" i="25"/>
  <c r="BW10" i="25"/>
  <c r="P10" i="25"/>
  <c r="AV10" i="25"/>
  <c r="AK10" i="25"/>
  <c r="BQ10" i="25"/>
  <c r="J10" i="25"/>
  <c r="AP10" i="25"/>
  <c r="BV10" i="25"/>
  <c r="O10" i="25"/>
  <c r="AU10" i="25"/>
  <c r="CA10" i="25"/>
  <c r="T10" i="25"/>
  <c r="AZ10" i="25"/>
  <c r="I10" i="25"/>
  <c r="AO10" i="25"/>
  <c r="BU10" i="25"/>
  <c r="N10" i="25"/>
  <c r="AT10" i="25"/>
  <c r="BZ10" i="25"/>
  <c r="S10" i="25"/>
  <c r="AY10" i="25"/>
  <c r="CE10" i="25"/>
  <c r="X10" i="25"/>
  <c r="BD10" i="25"/>
  <c r="M10" i="25"/>
  <c r="E7" i="25" s="1" a="1"/>
  <c r="F7" i="25" s="1"/>
  <c r="AS10" i="25"/>
  <c r="BY10" i="25"/>
  <c r="R10" i="25"/>
  <c r="AX10" i="25"/>
  <c r="CD10" i="25"/>
  <c r="W10" i="25"/>
  <c r="BC10" i="25"/>
  <c r="CI10" i="25"/>
  <c r="AB10" i="25"/>
  <c r="BH10" i="25"/>
  <c r="Q10" i="25"/>
  <c r="AW10" i="25"/>
  <c r="CC10" i="25"/>
  <c r="V10" i="25"/>
  <c r="BB10" i="25"/>
  <c r="CH10" i="25"/>
  <c r="AA10" i="25"/>
  <c r="BG10" i="25"/>
  <c r="CM10" i="25"/>
  <c r="AF10" i="25"/>
  <c r="E10" i="25"/>
  <c r="CJ10" i="25"/>
  <c r="CN10" i="25"/>
  <c r="CR10" i="25"/>
  <c r="BT10" i="25"/>
  <c r="BX10" i="25"/>
  <c r="CB10" i="25"/>
  <c r="CF10" i="25"/>
  <c r="E6" i="25" a="1"/>
  <c r="E6" i="25" s="1"/>
  <c r="F8" i="18"/>
  <c r="CG7" i="25" l="1"/>
  <c r="BQ7" i="25"/>
  <c r="CC7" i="25"/>
  <c r="CO7" i="25"/>
  <c r="BY7" i="25"/>
  <c r="CK7" i="25"/>
  <c r="BU7" i="25"/>
  <c r="BM7" i="25"/>
  <c r="BI7" i="25"/>
  <c r="BE7" i="25"/>
  <c r="BA7" i="25"/>
  <c r="AW7" i="25"/>
  <c r="AS7" i="25"/>
  <c r="AO7" i="25"/>
  <c r="AK7" i="25"/>
  <c r="AG7" i="25"/>
  <c r="AC7" i="25"/>
  <c r="Y7" i="25"/>
  <c r="U7" i="25"/>
  <c r="Q7" i="25"/>
  <c r="M7" i="25"/>
  <c r="I7" i="25"/>
  <c r="E7" i="25"/>
  <c r="CR7" i="25"/>
  <c r="CN7" i="25"/>
  <c r="CJ7" i="25"/>
  <c r="CF7" i="25"/>
  <c r="CB7" i="25"/>
  <c r="BX7" i="25"/>
  <c r="BT7" i="25"/>
  <c r="BP7" i="25"/>
  <c r="BL7" i="25"/>
  <c r="BH7" i="25"/>
  <c r="BD7" i="25"/>
  <c r="AZ7" i="25"/>
  <c r="AV7" i="25"/>
  <c r="AR7" i="25"/>
  <c r="AN7" i="25"/>
  <c r="AJ7" i="25"/>
  <c r="AF7" i="25"/>
  <c r="AB7" i="25"/>
  <c r="X7" i="25"/>
  <c r="T7" i="25"/>
  <c r="P7" i="25"/>
  <c r="L7" i="25"/>
  <c r="H7" i="25"/>
  <c r="CQ7" i="25"/>
  <c r="CM7" i="25"/>
  <c r="CI7" i="25"/>
  <c r="CE7" i="25"/>
  <c r="CA7" i="25"/>
  <c r="BW7" i="25"/>
  <c r="BS7" i="25"/>
  <c r="BO7" i="25"/>
  <c r="BK7" i="25"/>
  <c r="BG7" i="25"/>
  <c r="BC7" i="25"/>
  <c r="AY7" i="25"/>
  <c r="AU7" i="25"/>
  <c r="AQ7" i="25"/>
  <c r="AM7" i="25"/>
  <c r="AI7" i="25"/>
  <c r="AE7" i="25"/>
  <c r="AA7" i="25"/>
  <c r="W7" i="25"/>
  <c r="S7" i="25"/>
  <c r="O7" i="25"/>
  <c r="K7" i="25"/>
  <c r="G7" i="25"/>
  <c r="CP7" i="25"/>
  <c r="CL7" i="25"/>
  <c r="CH7" i="25"/>
  <c r="CD7" i="25"/>
  <c r="BZ7" i="25"/>
  <c r="BV7" i="25"/>
  <c r="BR7" i="25"/>
  <c r="BN7" i="25"/>
  <c r="BJ7" i="25"/>
  <c r="BF7" i="25"/>
  <c r="BB7" i="25"/>
  <c r="AX7" i="25"/>
  <c r="AT7" i="25"/>
  <c r="AP7" i="25"/>
  <c r="AL7" i="25"/>
  <c r="AH7" i="25"/>
  <c r="AD7" i="25"/>
  <c r="Z7" i="25"/>
  <c r="V7" i="25"/>
  <c r="R7" i="25"/>
  <c r="N7" i="25"/>
  <c r="J7" i="25"/>
  <c r="CN6" i="25"/>
  <c r="CJ6" i="25"/>
  <c r="CF6" i="25"/>
  <c r="CB6" i="25"/>
  <c r="BX6" i="25"/>
  <c r="BT6" i="25"/>
  <c r="BP6" i="25"/>
  <c r="BL6" i="25"/>
  <c r="BH6" i="25"/>
  <c r="BD6" i="25"/>
  <c r="AZ6" i="25"/>
  <c r="AV6" i="25"/>
  <c r="AR6" i="25"/>
  <c r="AN6" i="25"/>
  <c r="AJ6" i="25"/>
  <c r="AF6" i="25"/>
  <c r="AB6" i="25"/>
  <c r="X6" i="25"/>
  <c r="T6" i="25"/>
  <c r="P6" i="25"/>
  <c r="L6" i="25"/>
  <c r="H6" i="25"/>
  <c r="CQ6" i="25"/>
  <c r="CM6" i="25"/>
  <c r="CI6" i="25"/>
  <c r="CE6" i="25"/>
  <c r="CA6" i="25"/>
  <c r="BW6" i="25"/>
  <c r="BS6" i="25"/>
  <c r="BO6" i="25"/>
  <c r="BK6" i="25"/>
  <c r="BG6" i="25"/>
  <c r="BC6" i="25"/>
  <c r="AY6" i="25"/>
  <c r="AU6" i="25"/>
  <c r="AQ6" i="25"/>
  <c r="AM6" i="25"/>
  <c r="AI6" i="25"/>
  <c r="AE6" i="25"/>
  <c r="AA6" i="25"/>
  <c r="W6" i="25"/>
  <c r="S6" i="25"/>
  <c r="O6" i="25"/>
  <c r="K6" i="25"/>
  <c r="G6" i="25"/>
  <c r="CP6" i="25"/>
  <c r="CL6" i="25"/>
  <c r="CH6" i="25"/>
  <c r="CD6" i="25"/>
  <c r="BZ6" i="25"/>
  <c r="BV6" i="25"/>
  <c r="BR6" i="25"/>
  <c r="BN6" i="25"/>
  <c r="BJ6" i="25"/>
  <c r="BF6" i="25"/>
  <c r="BB6" i="25"/>
  <c r="AX6" i="25"/>
  <c r="AT6" i="25"/>
  <c r="AP6" i="25"/>
  <c r="AL6" i="25"/>
  <c r="AH6" i="25"/>
  <c r="AD6" i="25"/>
  <c r="Z6" i="25"/>
  <c r="V6" i="25"/>
  <c r="R6" i="25"/>
  <c r="N6" i="25"/>
  <c r="J6" i="25"/>
  <c r="F6" i="25"/>
  <c r="CR6" i="25"/>
  <c r="CO6" i="25"/>
  <c r="CK6" i="25"/>
  <c r="CG6" i="25"/>
  <c r="CC6" i="25"/>
  <c r="BY6" i="25"/>
  <c r="BU6" i="25"/>
  <c r="BQ6" i="25"/>
  <c r="BM6" i="25"/>
  <c r="BI6" i="25"/>
  <c r="BE6" i="25"/>
  <c r="BA6" i="25"/>
  <c r="AW6" i="25"/>
  <c r="AS6" i="25"/>
  <c r="AO6" i="25"/>
  <c r="AK6" i="25"/>
  <c r="AG6" i="25"/>
  <c r="AC6" i="25"/>
  <c r="Y6" i="25"/>
  <c r="U6" i="25"/>
  <c r="Q6" i="25"/>
  <c r="M6" i="25"/>
  <c r="I6" i="25"/>
  <c r="D14" i="7"/>
  <c r="E21" i="7"/>
  <c r="E14" i="7" s="1"/>
  <c r="CE47" i="10" l="1"/>
  <c r="BS47" i="10"/>
  <c r="BG47" i="10"/>
  <c r="AU47" i="10"/>
  <c r="AI47" i="10"/>
  <c r="W47" i="10"/>
  <c r="H4" i="18"/>
  <c r="I4" i="18"/>
  <c r="J4" i="18"/>
  <c r="K4" i="18"/>
  <c r="L4" i="18"/>
  <c r="M4" i="18"/>
  <c r="N4" i="18"/>
  <c r="G5" i="18"/>
  <c r="G6" i="18"/>
  <c r="G7" i="18"/>
  <c r="F9" i="18"/>
  <c r="D12" i="18"/>
  <c r="D13" i="18"/>
  <c r="C77" i="10" l="1"/>
  <c r="C80" i="10"/>
  <c r="BW39" i="10"/>
  <c r="F21" i="7" l="1"/>
  <c r="F14" i="7" s="1"/>
  <c r="C9" i="17"/>
  <c r="D7" i="17"/>
  <c r="D6" i="17"/>
  <c r="D5" i="17"/>
  <c r="C4" i="17"/>
  <c r="E3" i="17" a="1"/>
  <c r="E3" i="17" s="1"/>
  <c r="C17" i="17"/>
  <c r="D15" i="17"/>
  <c r="D14" i="17"/>
  <c r="D13" i="17"/>
  <c r="C12" i="17"/>
  <c r="E11" i="17" a="1"/>
  <c r="T11" i="17" s="1"/>
  <c r="Y11" i="17"/>
  <c r="C29" i="17"/>
  <c r="D27" i="17"/>
  <c r="D26" i="17"/>
  <c r="C25" i="17"/>
  <c r="C24" i="17"/>
  <c r="D22" i="17"/>
  <c r="D21" i="17"/>
  <c r="C20" i="17"/>
  <c r="E19" i="17" a="1"/>
  <c r="AH19" i="17" s="1"/>
  <c r="L19" i="17"/>
  <c r="R19" i="17"/>
  <c r="W19" i="17"/>
  <c r="Z19" i="17"/>
  <c r="AE19" i="17"/>
  <c r="C38" i="17"/>
  <c r="C37" i="17"/>
  <c r="C36" i="17"/>
  <c r="C35" i="17"/>
  <c r="C34" i="17"/>
  <c r="C33" i="17"/>
  <c r="C32" i="17"/>
  <c r="E31" i="17" a="1"/>
  <c r="AD31" i="17" s="1"/>
  <c r="E47" i="17"/>
  <c r="C47" i="17"/>
  <c r="E46" i="17"/>
  <c r="F46" i="17" s="1" a="1"/>
  <c r="C46" i="17"/>
  <c r="F45" i="17" a="1"/>
  <c r="E45" i="17"/>
  <c r="C45" i="17"/>
  <c r="E44" i="17"/>
  <c r="C44" i="17"/>
  <c r="E43" i="17"/>
  <c r="C43" i="17"/>
  <c r="E42" i="17"/>
  <c r="C42" i="17"/>
  <c r="E41" i="17"/>
  <c r="F41" i="17" s="1" a="1"/>
  <c r="C41" i="17"/>
  <c r="E40" i="17" a="1"/>
  <c r="AJ40" i="17" s="1"/>
  <c r="E49" i="17" a="1"/>
  <c r="E58" i="17" a="1"/>
  <c r="P58" i="17"/>
  <c r="AB58" i="17"/>
  <c r="AI58" i="17"/>
  <c r="E67" i="17" a="1"/>
  <c r="E76" i="17" a="1"/>
  <c r="E76" i="17" s="1"/>
  <c r="E85" i="17" a="1"/>
  <c r="AA85" i="17" s="1"/>
  <c r="E94" i="17" a="1"/>
  <c r="AF94" i="17" s="1"/>
  <c r="C189" i="17"/>
  <c r="D187" i="17"/>
  <c r="C187" i="17"/>
  <c r="D186" i="17"/>
  <c r="D185" i="17"/>
  <c r="C184" i="17"/>
  <c r="C183" i="17"/>
  <c r="D181" i="17"/>
  <c r="C181" i="17"/>
  <c r="D180" i="17"/>
  <c r="D179" i="17"/>
  <c r="C178" i="17"/>
  <c r="C177" i="17"/>
  <c r="D175" i="17"/>
  <c r="C175" i="17"/>
  <c r="D174" i="17"/>
  <c r="D173" i="17"/>
  <c r="C172" i="17"/>
  <c r="C171" i="17"/>
  <c r="D169" i="17"/>
  <c r="C169" i="17"/>
  <c r="D168" i="17"/>
  <c r="D167" i="17"/>
  <c r="C166" i="17"/>
  <c r="C165" i="17"/>
  <c r="D163" i="17"/>
  <c r="C163" i="17"/>
  <c r="D162" i="17"/>
  <c r="D161" i="17"/>
  <c r="C160" i="17"/>
  <c r="C159" i="17"/>
  <c r="D157" i="17"/>
  <c r="C157" i="17"/>
  <c r="D156" i="17"/>
  <c r="D155" i="17"/>
  <c r="C154" i="17"/>
  <c r="C153" i="17"/>
  <c r="D151" i="17"/>
  <c r="C151" i="17"/>
  <c r="D150" i="17"/>
  <c r="D149" i="17"/>
  <c r="C148" i="17"/>
  <c r="C147" i="17"/>
  <c r="C146" i="17"/>
  <c r="D144" i="17"/>
  <c r="C144" i="17"/>
  <c r="D143" i="17"/>
  <c r="D142" i="17"/>
  <c r="C141" i="17"/>
  <c r="C140" i="17"/>
  <c r="D138" i="17"/>
  <c r="C138" i="17"/>
  <c r="D137" i="17"/>
  <c r="D136" i="17"/>
  <c r="C135" i="17"/>
  <c r="C134" i="17"/>
  <c r="D132" i="17"/>
  <c r="C132" i="17"/>
  <c r="D131" i="17"/>
  <c r="D130" i="17"/>
  <c r="C129" i="17"/>
  <c r="C128" i="17"/>
  <c r="D126" i="17"/>
  <c r="C126" i="17"/>
  <c r="D125" i="17"/>
  <c r="D124" i="17"/>
  <c r="C123" i="17"/>
  <c r="C122" i="17"/>
  <c r="D120" i="17"/>
  <c r="C120" i="17"/>
  <c r="D119" i="17"/>
  <c r="D118" i="17"/>
  <c r="C117" i="17"/>
  <c r="C116" i="17"/>
  <c r="D114" i="17"/>
  <c r="C114" i="17"/>
  <c r="D113" i="17"/>
  <c r="D112" i="17"/>
  <c r="C111" i="17"/>
  <c r="C110" i="17"/>
  <c r="D108" i="17"/>
  <c r="C108" i="17"/>
  <c r="D107" i="17"/>
  <c r="D106" i="17"/>
  <c r="C105" i="17"/>
  <c r="C104" i="17"/>
  <c r="E103" i="17" a="1"/>
  <c r="C9" i="16"/>
  <c r="D7" i="16"/>
  <c r="D6" i="16"/>
  <c r="D5" i="16"/>
  <c r="C4" i="16"/>
  <c r="E3" i="16" a="1"/>
  <c r="AF3" i="16" s="1"/>
  <c r="AJ3" i="16"/>
  <c r="C17" i="16"/>
  <c r="D15" i="16"/>
  <c r="D14" i="16"/>
  <c r="D13" i="16"/>
  <c r="C12" i="16"/>
  <c r="E11" i="16" a="1"/>
  <c r="E11" i="16" s="1"/>
  <c r="O11" i="16"/>
  <c r="X11" i="16"/>
  <c r="AJ11" i="16"/>
  <c r="C29" i="16"/>
  <c r="D27" i="16"/>
  <c r="D26" i="16"/>
  <c r="C25" i="16"/>
  <c r="C24" i="16"/>
  <c r="D22" i="16"/>
  <c r="D21" i="16"/>
  <c r="C20" i="16"/>
  <c r="E19" i="16" a="1"/>
  <c r="Q19" i="16" s="1"/>
  <c r="C38" i="16"/>
  <c r="C37" i="16"/>
  <c r="C36" i="16"/>
  <c r="C35" i="16"/>
  <c r="C34" i="16"/>
  <c r="C33" i="16"/>
  <c r="C32" i="16"/>
  <c r="E31" i="16" a="1"/>
  <c r="AF31" i="16"/>
  <c r="E47" i="16"/>
  <c r="F47" i="16" s="1" a="1"/>
  <c r="C47" i="16"/>
  <c r="E46" i="16"/>
  <c r="C46" i="16"/>
  <c r="E45" i="16"/>
  <c r="C45" i="16"/>
  <c r="E44" i="16"/>
  <c r="F44" i="16" s="1" a="1"/>
  <c r="C44" i="16"/>
  <c r="E43" i="16"/>
  <c r="C43" i="16"/>
  <c r="E42" i="16"/>
  <c r="C42" i="16"/>
  <c r="E41" i="16"/>
  <c r="C41" i="16"/>
  <c r="E40" i="16" a="1"/>
  <c r="E49" i="16" a="1"/>
  <c r="E49" i="16" s="1"/>
  <c r="E58" i="16" a="1"/>
  <c r="N58" i="16" s="1"/>
  <c r="E67" i="16" a="1"/>
  <c r="E76" i="16" a="1"/>
  <c r="AI76" i="16" s="1"/>
  <c r="E85" i="16" a="1"/>
  <c r="G85" i="16"/>
  <c r="I85" i="16"/>
  <c r="O85" i="16"/>
  <c r="AB85" i="16"/>
  <c r="AG85" i="16"/>
  <c r="E94" i="16" a="1"/>
  <c r="J94" i="16" s="1"/>
  <c r="C189" i="16"/>
  <c r="D187" i="16"/>
  <c r="C187" i="16"/>
  <c r="D186" i="16"/>
  <c r="D185" i="16"/>
  <c r="C184" i="16"/>
  <c r="C183" i="16"/>
  <c r="D181" i="16"/>
  <c r="C181" i="16"/>
  <c r="D180" i="16"/>
  <c r="D179" i="16"/>
  <c r="C178" i="16"/>
  <c r="C177" i="16"/>
  <c r="D175" i="16"/>
  <c r="C175" i="16"/>
  <c r="D174" i="16"/>
  <c r="D173" i="16"/>
  <c r="C172" i="16"/>
  <c r="C171" i="16"/>
  <c r="D169" i="16"/>
  <c r="C169" i="16"/>
  <c r="D168" i="16"/>
  <c r="D167" i="16"/>
  <c r="C166" i="16"/>
  <c r="C165" i="16"/>
  <c r="D163" i="16"/>
  <c r="C163" i="16"/>
  <c r="D162" i="16"/>
  <c r="D161" i="16"/>
  <c r="C160" i="16"/>
  <c r="C159" i="16"/>
  <c r="D157" i="16"/>
  <c r="C157" i="16"/>
  <c r="D156" i="16"/>
  <c r="D155" i="16"/>
  <c r="C154" i="16"/>
  <c r="C153" i="16"/>
  <c r="D151" i="16"/>
  <c r="C151" i="16"/>
  <c r="D150" i="16"/>
  <c r="D149" i="16"/>
  <c r="C148" i="16"/>
  <c r="C147" i="16"/>
  <c r="C146" i="16"/>
  <c r="D144" i="16"/>
  <c r="C144" i="16"/>
  <c r="D143" i="16"/>
  <c r="D142" i="16"/>
  <c r="C141" i="16"/>
  <c r="C140" i="16"/>
  <c r="D138" i="16"/>
  <c r="C138" i="16"/>
  <c r="D137" i="16"/>
  <c r="D136" i="16"/>
  <c r="C135" i="16"/>
  <c r="C134" i="16"/>
  <c r="D132" i="16"/>
  <c r="C132" i="16"/>
  <c r="D131" i="16"/>
  <c r="D130" i="16"/>
  <c r="C129" i="16"/>
  <c r="C128" i="16"/>
  <c r="D126" i="16"/>
  <c r="C126" i="16"/>
  <c r="D125" i="16"/>
  <c r="D124" i="16"/>
  <c r="C123" i="16"/>
  <c r="C122" i="16"/>
  <c r="D120" i="16"/>
  <c r="C120" i="16"/>
  <c r="D119" i="16"/>
  <c r="D118" i="16"/>
  <c r="C117" i="16"/>
  <c r="C116" i="16"/>
  <c r="D114" i="16"/>
  <c r="C114" i="16"/>
  <c r="D113" i="16"/>
  <c r="D112" i="16"/>
  <c r="C111" i="16"/>
  <c r="C110" i="16"/>
  <c r="D108" i="16"/>
  <c r="C108" i="16"/>
  <c r="D107" i="16"/>
  <c r="D106" i="16"/>
  <c r="C105" i="16"/>
  <c r="C104" i="16"/>
  <c r="E103" i="16" a="1"/>
  <c r="C9" i="15"/>
  <c r="D7" i="15"/>
  <c r="D6" i="15"/>
  <c r="D5" i="15"/>
  <c r="C4" i="15"/>
  <c r="E3" i="15" a="1"/>
  <c r="C17" i="15"/>
  <c r="D15" i="15"/>
  <c r="D14" i="15"/>
  <c r="D13" i="15"/>
  <c r="C12" i="15"/>
  <c r="E11" i="15" a="1"/>
  <c r="C29" i="15"/>
  <c r="D27" i="15"/>
  <c r="D26" i="15"/>
  <c r="C25" i="15"/>
  <c r="C24" i="15"/>
  <c r="D22" i="15"/>
  <c r="D21" i="15"/>
  <c r="C20" i="15"/>
  <c r="E19" i="15" a="1"/>
  <c r="Z19" i="15" s="1"/>
  <c r="C38" i="15"/>
  <c r="C37" i="15"/>
  <c r="C36" i="15"/>
  <c r="C35" i="15"/>
  <c r="C34" i="15"/>
  <c r="C33" i="15"/>
  <c r="C32" i="15"/>
  <c r="E31" i="15" a="1"/>
  <c r="L31" i="15" s="1"/>
  <c r="E47" i="15"/>
  <c r="F47" i="15" s="1" a="1"/>
  <c r="G47" i="15" s="1"/>
  <c r="C47" i="15"/>
  <c r="E46" i="15"/>
  <c r="F46" i="15" s="1" a="1"/>
  <c r="AG46" i="15" s="1"/>
  <c r="C46" i="15"/>
  <c r="E45" i="15"/>
  <c r="F45" i="15" s="1" a="1"/>
  <c r="C45" i="15"/>
  <c r="E44" i="15"/>
  <c r="C44" i="15"/>
  <c r="E43" i="15"/>
  <c r="F43" i="15" s="1" a="1"/>
  <c r="C43" i="15"/>
  <c r="E42" i="15"/>
  <c r="F42" i="15" s="1" a="1"/>
  <c r="C42" i="15"/>
  <c r="E41" i="15"/>
  <c r="C41" i="15"/>
  <c r="E40" i="15" a="1"/>
  <c r="E49" i="15" a="1"/>
  <c r="E58" i="15" a="1"/>
  <c r="Q58" i="15" s="1"/>
  <c r="E67" i="15" a="1"/>
  <c r="E76" i="15" a="1"/>
  <c r="AE76" i="15" s="1"/>
  <c r="E76" i="15"/>
  <c r="E85" i="15" a="1"/>
  <c r="E94" i="15" a="1"/>
  <c r="AK94" i="15" s="1"/>
  <c r="C189" i="15"/>
  <c r="D187" i="15"/>
  <c r="C187" i="15"/>
  <c r="D186" i="15"/>
  <c r="D185" i="15"/>
  <c r="C184" i="15"/>
  <c r="C183" i="15"/>
  <c r="D181" i="15"/>
  <c r="C181" i="15"/>
  <c r="D180" i="15"/>
  <c r="D179" i="15"/>
  <c r="C178" i="15"/>
  <c r="C177" i="15"/>
  <c r="D175" i="15"/>
  <c r="C175" i="15"/>
  <c r="D174" i="15"/>
  <c r="D173" i="15"/>
  <c r="C172" i="15"/>
  <c r="C171" i="15"/>
  <c r="D169" i="15"/>
  <c r="C169" i="15"/>
  <c r="D168" i="15"/>
  <c r="D167" i="15"/>
  <c r="C166" i="15"/>
  <c r="C165" i="15"/>
  <c r="D163" i="15"/>
  <c r="C163" i="15"/>
  <c r="D162" i="15"/>
  <c r="D161" i="15"/>
  <c r="C160" i="15"/>
  <c r="C159" i="15"/>
  <c r="D157" i="15"/>
  <c r="C157" i="15"/>
  <c r="D156" i="15"/>
  <c r="D155" i="15"/>
  <c r="C154" i="15"/>
  <c r="C153" i="15"/>
  <c r="D151" i="15"/>
  <c r="C151" i="15"/>
  <c r="D150" i="15"/>
  <c r="D149" i="15"/>
  <c r="C148" i="15"/>
  <c r="C147" i="15"/>
  <c r="C146" i="15"/>
  <c r="D144" i="15"/>
  <c r="C144" i="15"/>
  <c r="D143" i="15"/>
  <c r="D142" i="15"/>
  <c r="C141" i="15"/>
  <c r="C140" i="15"/>
  <c r="D138" i="15"/>
  <c r="C138" i="15"/>
  <c r="D137" i="15"/>
  <c r="D136" i="15"/>
  <c r="C135" i="15"/>
  <c r="C134" i="15"/>
  <c r="D132" i="15"/>
  <c r="C132" i="15"/>
  <c r="D131" i="15"/>
  <c r="D130" i="15"/>
  <c r="C129" i="15"/>
  <c r="C128" i="15"/>
  <c r="D126" i="15"/>
  <c r="C126" i="15"/>
  <c r="D125" i="15"/>
  <c r="D124" i="15"/>
  <c r="C123" i="15"/>
  <c r="C122" i="15"/>
  <c r="D120" i="15"/>
  <c r="C120" i="15"/>
  <c r="D119" i="15"/>
  <c r="D118" i="15"/>
  <c r="C117" i="15"/>
  <c r="C116" i="15"/>
  <c r="D114" i="15"/>
  <c r="C114" i="15"/>
  <c r="D113" i="15"/>
  <c r="D112" i="15"/>
  <c r="C111" i="15"/>
  <c r="C110" i="15"/>
  <c r="D108" i="15"/>
  <c r="C108" i="15"/>
  <c r="D107" i="15"/>
  <c r="D106" i="15"/>
  <c r="C105" i="15"/>
  <c r="C104" i="15"/>
  <c r="E103" i="15" a="1"/>
  <c r="E103" i="15"/>
  <c r="C9" i="14"/>
  <c r="D7" i="14"/>
  <c r="D6" i="14"/>
  <c r="D5" i="14"/>
  <c r="C4" i="14"/>
  <c r="E3" i="14" a="1"/>
  <c r="Q3" i="14" s="1"/>
  <c r="C17" i="14"/>
  <c r="D15" i="14"/>
  <c r="D14" i="14"/>
  <c r="D13" i="14"/>
  <c r="C12" i="14"/>
  <c r="E11" i="14" a="1"/>
  <c r="AJ11" i="14"/>
  <c r="C29" i="14"/>
  <c r="D27" i="14"/>
  <c r="D26" i="14"/>
  <c r="C25" i="14"/>
  <c r="C24" i="14"/>
  <c r="D22" i="14"/>
  <c r="D21" i="14"/>
  <c r="C20" i="14"/>
  <c r="E19" i="14" a="1"/>
  <c r="V19" i="14" s="1"/>
  <c r="C38" i="14"/>
  <c r="C37" i="14"/>
  <c r="C36" i="14"/>
  <c r="C35" i="14"/>
  <c r="C34" i="14"/>
  <c r="C33" i="14"/>
  <c r="C32" i="14"/>
  <c r="E31" i="14" a="1"/>
  <c r="E47" i="14"/>
  <c r="F47" i="14" s="1" a="1"/>
  <c r="C47" i="14"/>
  <c r="E46" i="14"/>
  <c r="C46" i="14"/>
  <c r="E45" i="14"/>
  <c r="F45" i="14" s="1" a="1"/>
  <c r="C45" i="14"/>
  <c r="E44" i="14"/>
  <c r="C44" i="14"/>
  <c r="E43" i="14"/>
  <c r="C43" i="14"/>
  <c r="E42" i="14"/>
  <c r="F42" i="14" s="1" a="1"/>
  <c r="C42" i="14"/>
  <c r="E41" i="14"/>
  <c r="F41" i="14" s="1" a="1"/>
  <c r="C41" i="14"/>
  <c r="E40" i="14" a="1"/>
  <c r="AE40" i="14" s="1"/>
  <c r="E49" i="14" a="1"/>
  <c r="AI49" i="14" s="1"/>
  <c r="E58" i="14" a="1"/>
  <c r="E67" i="14" a="1"/>
  <c r="E76" i="14" a="1"/>
  <c r="E85" i="14" a="1"/>
  <c r="E94" i="14" a="1"/>
  <c r="X94" i="14"/>
  <c r="C189" i="14"/>
  <c r="D187" i="14"/>
  <c r="C187" i="14"/>
  <c r="D186" i="14"/>
  <c r="D185" i="14"/>
  <c r="C184" i="14"/>
  <c r="C183" i="14"/>
  <c r="D181" i="14"/>
  <c r="C181" i="14"/>
  <c r="D180" i="14"/>
  <c r="D179" i="14"/>
  <c r="C178" i="14"/>
  <c r="C177" i="14"/>
  <c r="D175" i="14"/>
  <c r="C175" i="14"/>
  <c r="D174" i="14"/>
  <c r="D173" i="14"/>
  <c r="C172" i="14"/>
  <c r="C171" i="14"/>
  <c r="D169" i="14"/>
  <c r="C169" i="14"/>
  <c r="D168" i="14"/>
  <c r="D167" i="14"/>
  <c r="C166" i="14"/>
  <c r="C165" i="14"/>
  <c r="D163" i="14"/>
  <c r="C163" i="14"/>
  <c r="D162" i="14"/>
  <c r="D161" i="14"/>
  <c r="C160" i="14"/>
  <c r="C159" i="14"/>
  <c r="D157" i="14"/>
  <c r="C157" i="14"/>
  <c r="D156" i="14"/>
  <c r="D155" i="14"/>
  <c r="C154" i="14"/>
  <c r="C153" i="14"/>
  <c r="D151" i="14"/>
  <c r="C151" i="14"/>
  <c r="D150" i="14"/>
  <c r="D149" i="14"/>
  <c r="C148" i="14"/>
  <c r="C147" i="14"/>
  <c r="C146" i="14"/>
  <c r="D144" i="14"/>
  <c r="C144" i="14"/>
  <c r="D143" i="14"/>
  <c r="D142" i="14"/>
  <c r="C141" i="14"/>
  <c r="C140" i="14"/>
  <c r="D138" i="14"/>
  <c r="C138" i="14"/>
  <c r="D137" i="14"/>
  <c r="D136" i="14"/>
  <c r="C135" i="14"/>
  <c r="C134" i="14"/>
  <c r="D132" i="14"/>
  <c r="C132" i="14"/>
  <c r="D131" i="14"/>
  <c r="D130" i="14"/>
  <c r="C129" i="14"/>
  <c r="C128" i="14"/>
  <c r="D126" i="14"/>
  <c r="C126" i="14"/>
  <c r="D125" i="14"/>
  <c r="D124" i="14"/>
  <c r="C123" i="14"/>
  <c r="C122" i="14"/>
  <c r="D120" i="14"/>
  <c r="C120" i="14"/>
  <c r="D119" i="14"/>
  <c r="D118" i="14"/>
  <c r="C117" i="14"/>
  <c r="C116" i="14"/>
  <c r="D114" i="14"/>
  <c r="C114" i="14"/>
  <c r="D113" i="14"/>
  <c r="D112" i="14"/>
  <c r="C111" i="14"/>
  <c r="C110" i="14"/>
  <c r="D108" i="14"/>
  <c r="C108" i="14"/>
  <c r="D107" i="14"/>
  <c r="D106" i="14"/>
  <c r="C105" i="14"/>
  <c r="C104" i="14"/>
  <c r="E103" i="14" a="1"/>
  <c r="C9" i="13"/>
  <c r="D7" i="13"/>
  <c r="D6" i="13"/>
  <c r="D5" i="13"/>
  <c r="C4" i="13"/>
  <c r="E3" i="13" a="1"/>
  <c r="C17" i="13"/>
  <c r="D15" i="13"/>
  <c r="D14" i="13"/>
  <c r="D13" i="13"/>
  <c r="C12" i="13"/>
  <c r="E11" i="13" a="1"/>
  <c r="C29" i="13"/>
  <c r="D27" i="13"/>
  <c r="D26" i="13"/>
  <c r="C25" i="13"/>
  <c r="C24" i="13"/>
  <c r="D22" i="13"/>
  <c r="D21" i="13"/>
  <c r="C20" i="13"/>
  <c r="E19" i="13" a="1"/>
  <c r="C38" i="13"/>
  <c r="C37" i="13"/>
  <c r="C36" i="13"/>
  <c r="C35" i="13"/>
  <c r="C34" i="13"/>
  <c r="C33" i="13"/>
  <c r="C32" i="13"/>
  <c r="E31" i="13" a="1"/>
  <c r="E47" i="13"/>
  <c r="C47" i="13"/>
  <c r="E46" i="13"/>
  <c r="C46" i="13"/>
  <c r="E45" i="13"/>
  <c r="F45" i="13" s="1" a="1"/>
  <c r="C45" i="13"/>
  <c r="E44" i="13"/>
  <c r="C44" i="13"/>
  <c r="E43" i="13"/>
  <c r="C43" i="13"/>
  <c r="E42" i="13"/>
  <c r="F42" i="13" s="1" a="1"/>
  <c r="C42" i="13"/>
  <c r="E41" i="13"/>
  <c r="C41" i="13"/>
  <c r="E40" i="13" a="1"/>
  <c r="Y40" i="13" s="1"/>
  <c r="E49" i="13" a="1"/>
  <c r="E58" i="13" a="1"/>
  <c r="E67" i="13" a="1"/>
  <c r="Q67" i="13" s="1"/>
  <c r="E76" i="13" a="1"/>
  <c r="E85" i="13" a="1"/>
  <c r="U85" i="13" s="1"/>
  <c r="E94" i="13" a="1"/>
  <c r="T94" i="13" s="1"/>
  <c r="C189" i="13"/>
  <c r="D187" i="13"/>
  <c r="C187" i="13"/>
  <c r="D186" i="13"/>
  <c r="D185" i="13"/>
  <c r="C184" i="13"/>
  <c r="C183" i="13"/>
  <c r="D181" i="13"/>
  <c r="C181" i="13"/>
  <c r="D180" i="13"/>
  <c r="D179" i="13"/>
  <c r="C178" i="13"/>
  <c r="C177" i="13"/>
  <c r="D175" i="13"/>
  <c r="C175" i="13"/>
  <c r="D174" i="13"/>
  <c r="D173" i="13"/>
  <c r="C172" i="13"/>
  <c r="C171" i="13"/>
  <c r="D169" i="13"/>
  <c r="C169" i="13"/>
  <c r="D168" i="13"/>
  <c r="D167" i="13"/>
  <c r="C166" i="13"/>
  <c r="C165" i="13"/>
  <c r="D163" i="13"/>
  <c r="C163" i="13"/>
  <c r="D162" i="13"/>
  <c r="D161" i="13"/>
  <c r="C160" i="13"/>
  <c r="C159" i="13"/>
  <c r="D157" i="13"/>
  <c r="C157" i="13"/>
  <c r="D156" i="13"/>
  <c r="D155" i="13"/>
  <c r="C154" i="13"/>
  <c r="C153" i="13"/>
  <c r="D151" i="13"/>
  <c r="C151" i="13"/>
  <c r="D150" i="13"/>
  <c r="D149" i="13"/>
  <c r="C148" i="13"/>
  <c r="C147" i="13"/>
  <c r="C146" i="13"/>
  <c r="D144" i="13"/>
  <c r="C144" i="13"/>
  <c r="D143" i="13"/>
  <c r="D142" i="13"/>
  <c r="C141" i="13"/>
  <c r="C140" i="13"/>
  <c r="D138" i="13"/>
  <c r="C138" i="13"/>
  <c r="D137" i="13"/>
  <c r="D136" i="13"/>
  <c r="C135" i="13"/>
  <c r="C134" i="13"/>
  <c r="D132" i="13"/>
  <c r="C132" i="13"/>
  <c r="D131" i="13"/>
  <c r="D130" i="13"/>
  <c r="C129" i="13"/>
  <c r="C128" i="13"/>
  <c r="D126" i="13"/>
  <c r="C126" i="13"/>
  <c r="D125" i="13"/>
  <c r="D124" i="13"/>
  <c r="C123" i="13"/>
  <c r="C122" i="13"/>
  <c r="D120" i="13"/>
  <c r="C120" i="13"/>
  <c r="D119" i="13"/>
  <c r="D118" i="13"/>
  <c r="C117" i="13"/>
  <c r="C116" i="13"/>
  <c r="D114" i="13"/>
  <c r="C114" i="13"/>
  <c r="D113" i="13"/>
  <c r="D112" i="13"/>
  <c r="C111" i="13"/>
  <c r="C110" i="13"/>
  <c r="D108" i="13"/>
  <c r="C108" i="13"/>
  <c r="D107" i="13"/>
  <c r="D106" i="13"/>
  <c r="C105" i="13"/>
  <c r="C104" i="13"/>
  <c r="E103" i="13" a="1"/>
  <c r="J103" i="13" s="1"/>
  <c r="C9" i="12"/>
  <c r="D7" i="12"/>
  <c r="D6" i="12"/>
  <c r="D5" i="12"/>
  <c r="C4" i="12"/>
  <c r="E3" i="12" a="1"/>
  <c r="F3" i="12" s="1"/>
  <c r="C17" i="12"/>
  <c r="D15" i="12"/>
  <c r="D14" i="12"/>
  <c r="D13" i="12"/>
  <c r="C12" i="12"/>
  <c r="E11" i="12" a="1"/>
  <c r="C29" i="12"/>
  <c r="D27" i="12"/>
  <c r="D26" i="12"/>
  <c r="C25" i="12"/>
  <c r="C24" i="12"/>
  <c r="D22" i="12"/>
  <c r="D21" i="12"/>
  <c r="C20" i="12"/>
  <c r="E19" i="12" a="1"/>
  <c r="E19" i="12"/>
  <c r="C38" i="12"/>
  <c r="C37" i="12"/>
  <c r="C36" i="12"/>
  <c r="C35" i="12"/>
  <c r="C34" i="12"/>
  <c r="C33" i="12"/>
  <c r="C32" i="12"/>
  <c r="E31" i="12" a="1"/>
  <c r="E47" i="12"/>
  <c r="F47" i="12" s="1" a="1"/>
  <c r="C47" i="12"/>
  <c r="E46" i="12"/>
  <c r="C46" i="12"/>
  <c r="E45" i="12"/>
  <c r="C45" i="12"/>
  <c r="E44" i="12"/>
  <c r="C44" i="12"/>
  <c r="E43" i="12"/>
  <c r="F43" i="12" s="1" a="1"/>
  <c r="C43" i="12"/>
  <c r="E42" i="12"/>
  <c r="C42" i="12"/>
  <c r="E41" i="12"/>
  <c r="C41" i="12"/>
  <c r="E40" i="12" a="1"/>
  <c r="M40" i="12" s="1"/>
  <c r="E49" i="12" a="1"/>
  <c r="E49" i="12" s="1"/>
  <c r="E58" i="12" a="1"/>
  <c r="AA58" i="12" s="1"/>
  <c r="E67" i="12" a="1"/>
  <c r="E76" i="12" a="1"/>
  <c r="AE76" i="12" s="1"/>
  <c r="E85" i="12" a="1"/>
  <c r="E94" i="12" a="1"/>
  <c r="AB94" i="12" s="1"/>
  <c r="C189" i="12"/>
  <c r="D187" i="12"/>
  <c r="C187" i="12"/>
  <c r="D186" i="12"/>
  <c r="D185" i="12"/>
  <c r="C184" i="12"/>
  <c r="C183" i="12"/>
  <c r="D181" i="12"/>
  <c r="C181" i="12"/>
  <c r="D180" i="12"/>
  <c r="D179" i="12"/>
  <c r="C178" i="12"/>
  <c r="C177" i="12"/>
  <c r="D175" i="12"/>
  <c r="C175" i="12"/>
  <c r="D174" i="12"/>
  <c r="D173" i="12"/>
  <c r="C172" i="12"/>
  <c r="C171" i="12"/>
  <c r="D169" i="12"/>
  <c r="C169" i="12"/>
  <c r="D168" i="12"/>
  <c r="D167" i="12"/>
  <c r="C166" i="12"/>
  <c r="C165" i="12"/>
  <c r="D163" i="12"/>
  <c r="C163" i="12"/>
  <c r="D162" i="12"/>
  <c r="D161" i="12"/>
  <c r="C160" i="12"/>
  <c r="C159" i="12"/>
  <c r="D157" i="12"/>
  <c r="C157" i="12"/>
  <c r="D156" i="12"/>
  <c r="D155" i="12"/>
  <c r="C154" i="12"/>
  <c r="C153" i="12"/>
  <c r="D151" i="12"/>
  <c r="C151" i="12"/>
  <c r="D150" i="12"/>
  <c r="D149" i="12"/>
  <c r="C148" i="12"/>
  <c r="C147" i="12"/>
  <c r="C146" i="12"/>
  <c r="D144" i="12"/>
  <c r="C144" i="12"/>
  <c r="D143" i="12"/>
  <c r="D142" i="12"/>
  <c r="C141" i="12"/>
  <c r="C140" i="12"/>
  <c r="D138" i="12"/>
  <c r="C138" i="12"/>
  <c r="D137" i="12"/>
  <c r="D136" i="12"/>
  <c r="C135" i="12"/>
  <c r="C134" i="12"/>
  <c r="D132" i="12"/>
  <c r="C132" i="12"/>
  <c r="D131" i="12"/>
  <c r="D130" i="12"/>
  <c r="C129" i="12"/>
  <c r="C128" i="12"/>
  <c r="D126" i="12"/>
  <c r="C126" i="12"/>
  <c r="D125" i="12"/>
  <c r="D124" i="12"/>
  <c r="C123" i="12"/>
  <c r="C122" i="12"/>
  <c r="D120" i="12"/>
  <c r="C120" i="12"/>
  <c r="D119" i="12"/>
  <c r="D118" i="12"/>
  <c r="C117" i="12"/>
  <c r="C116" i="12"/>
  <c r="D114" i="12"/>
  <c r="C114" i="12"/>
  <c r="D113" i="12"/>
  <c r="D112" i="12"/>
  <c r="C111" i="12"/>
  <c r="C110" i="12"/>
  <c r="D108" i="12"/>
  <c r="C108" i="12"/>
  <c r="D107" i="12"/>
  <c r="D106" i="12"/>
  <c r="C105" i="12"/>
  <c r="C104" i="12"/>
  <c r="E103" i="12" a="1"/>
  <c r="C9" i="11"/>
  <c r="D7" i="11"/>
  <c r="D6" i="11"/>
  <c r="D5" i="11"/>
  <c r="C4" i="11"/>
  <c r="E3" i="11" a="1"/>
  <c r="Y3" i="11" s="1"/>
  <c r="C17" i="11"/>
  <c r="D15" i="11"/>
  <c r="D14" i="11"/>
  <c r="D13" i="11"/>
  <c r="C12" i="11"/>
  <c r="E11" i="11" a="1"/>
  <c r="E11" i="11"/>
  <c r="C29" i="11"/>
  <c r="D27" i="11"/>
  <c r="D26" i="11"/>
  <c r="C25" i="11"/>
  <c r="C24" i="11"/>
  <c r="D22" i="11"/>
  <c r="D21" i="11"/>
  <c r="C20" i="11"/>
  <c r="E19" i="11" a="1"/>
  <c r="C38" i="11"/>
  <c r="C37" i="11"/>
  <c r="C36" i="11"/>
  <c r="C35" i="11"/>
  <c r="C34" i="11"/>
  <c r="C33" i="11"/>
  <c r="C32" i="11"/>
  <c r="E31" i="11" a="1"/>
  <c r="E47" i="11"/>
  <c r="F47" i="11" s="1" a="1"/>
  <c r="C47" i="11"/>
  <c r="E46" i="11"/>
  <c r="C46" i="11"/>
  <c r="E45" i="11"/>
  <c r="F45" i="11" s="1" a="1"/>
  <c r="C45" i="11"/>
  <c r="E44" i="11"/>
  <c r="F44" i="11" s="1" a="1"/>
  <c r="C44" i="11"/>
  <c r="E43" i="11"/>
  <c r="C43" i="11"/>
  <c r="E42" i="11"/>
  <c r="C42" i="11"/>
  <c r="E41" i="11"/>
  <c r="F41" i="11" s="1" a="1"/>
  <c r="C41" i="11"/>
  <c r="E40" i="11" a="1"/>
  <c r="E49" i="11" a="1"/>
  <c r="E49" i="11" s="1"/>
  <c r="E58" i="11" a="1"/>
  <c r="I58" i="11" s="1"/>
  <c r="E67" i="11" a="1"/>
  <c r="AC67" i="11" s="1"/>
  <c r="E76" i="11" a="1"/>
  <c r="E85" i="11" a="1"/>
  <c r="E94" i="11" a="1"/>
  <c r="O94" i="11"/>
  <c r="C189" i="11"/>
  <c r="D187" i="11"/>
  <c r="C187" i="11"/>
  <c r="D186" i="11"/>
  <c r="D185" i="11"/>
  <c r="C184" i="11"/>
  <c r="C183" i="11"/>
  <c r="D181" i="11"/>
  <c r="C181" i="11"/>
  <c r="D180" i="11"/>
  <c r="D179" i="11"/>
  <c r="C178" i="11"/>
  <c r="C177" i="11"/>
  <c r="D175" i="11"/>
  <c r="C175" i="11"/>
  <c r="D174" i="11"/>
  <c r="D173" i="11"/>
  <c r="C172" i="11"/>
  <c r="C171" i="11"/>
  <c r="D169" i="11"/>
  <c r="C169" i="11"/>
  <c r="D168" i="11"/>
  <c r="D167" i="11"/>
  <c r="C166" i="11"/>
  <c r="C165" i="11"/>
  <c r="D163" i="11"/>
  <c r="C163" i="11"/>
  <c r="D162" i="11"/>
  <c r="D161" i="11"/>
  <c r="C160" i="11"/>
  <c r="C159" i="11"/>
  <c r="D157" i="11"/>
  <c r="C157" i="11"/>
  <c r="D156" i="11"/>
  <c r="D155" i="11"/>
  <c r="C154" i="11"/>
  <c r="C153" i="11"/>
  <c r="D151" i="11"/>
  <c r="C151" i="11"/>
  <c r="D150" i="11"/>
  <c r="D149" i="11"/>
  <c r="C148" i="11"/>
  <c r="C147" i="11"/>
  <c r="C146" i="11"/>
  <c r="D144" i="11"/>
  <c r="C144" i="11"/>
  <c r="D143" i="11"/>
  <c r="D142" i="11"/>
  <c r="C141" i="11"/>
  <c r="C140" i="11"/>
  <c r="D138" i="11"/>
  <c r="C138" i="11"/>
  <c r="D137" i="11"/>
  <c r="D136" i="11"/>
  <c r="C135" i="11"/>
  <c r="C134" i="11"/>
  <c r="D132" i="11"/>
  <c r="C132" i="11"/>
  <c r="D131" i="11"/>
  <c r="D130" i="11"/>
  <c r="C129" i="11"/>
  <c r="C128" i="11"/>
  <c r="D126" i="11"/>
  <c r="C126" i="11"/>
  <c r="D125" i="11"/>
  <c r="D124" i="11"/>
  <c r="C123" i="11"/>
  <c r="C122" i="11"/>
  <c r="D120" i="11"/>
  <c r="C120" i="11"/>
  <c r="D119" i="11"/>
  <c r="D118" i="11"/>
  <c r="C117" i="11"/>
  <c r="C116" i="11"/>
  <c r="D114" i="11"/>
  <c r="C114" i="11"/>
  <c r="D113" i="11"/>
  <c r="D112" i="11"/>
  <c r="C111" i="11"/>
  <c r="C110" i="11"/>
  <c r="D108" i="11"/>
  <c r="C108" i="11"/>
  <c r="D107" i="11"/>
  <c r="D106" i="11"/>
  <c r="C105" i="11"/>
  <c r="C104" i="11"/>
  <c r="E103" i="11" a="1"/>
  <c r="E103" i="11"/>
  <c r="BX37" i="10"/>
  <c r="BX36" i="10"/>
  <c r="BX35" i="10"/>
  <c r="BX34" i="10"/>
  <c r="BX33" i="10"/>
  <c r="BX32" i="10"/>
  <c r="BX31" i="10"/>
  <c r="BX29" i="10"/>
  <c r="BX28" i="10"/>
  <c r="BX27" i="10"/>
  <c r="BX26" i="10"/>
  <c r="BX25" i="10"/>
  <c r="BX24" i="10"/>
  <c r="BX23" i="10"/>
  <c r="BX13" i="10"/>
  <c r="BX12" i="10"/>
  <c r="BX11" i="10"/>
  <c r="BX10" i="10"/>
  <c r="BX9" i="10"/>
  <c r="BX8" i="10"/>
  <c r="BX7" i="10"/>
  <c r="BY4" i="10" a="1"/>
  <c r="BY4" i="10" s="1"/>
  <c r="BW4" i="10"/>
  <c r="BL37" i="10"/>
  <c r="BL36" i="10"/>
  <c r="BL35" i="10"/>
  <c r="BL34" i="10"/>
  <c r="BL33" i="10"/>
  <c r="BL32" i="10"/>
  <c r="BL31" i="10"/>
  <c r="BL29" i="10"/>
  <c r="BL28" i="10"/>
  <c r="BL27" i="10"/>
  <c r="BL26" i="10"/>
  <c r="BL25" i="10"/>
  <c r="BL24" i="10"/>
  <c r="BL23" i="10"/>
  <c r="BL13" i="10"/>
  <c r="BL12" i="10"/>
  <c r="BL11" i="10"/>
  <c r="BL10" i="10"/>
  <c r="BL9" i="10"/>
  <c r="BL8" i="10"/>
  <c r="BL7" i="10"/>
  <c r="BM4" i="10" a="1"/>
  <c r="BP4" i="10" s="1"/>
  <c r="BK4" i="10"/>
  <c r="AY39" i="10"/>
  <c r="AZ37" i="10"/>
  <c r="AZ36" i="10"/>
  <c r="AZ35" i="10"/>
  <c r="AZ34" i="10"/>
  <c r="AZ33" i="10"/>
  <c r="AZ32" i="10"/>
  <c r="AZ31" i="10"/>
  <c r="AZ29" i="10"/>
  <c r="AZ28" i="10"/>
  <c r="AZ27" i="10"/>
  <c r="AZ26" i="10"/>
  <c r="AZ25" i="10"/>
  <c r="AZ24" i="10"/>
  <c r="AZ23" i="10"/>
  <c r="AZ13" i="10"/>
  <c r="AZ12" i="10"/>
  <c r="AZ11" i="10"/>
  <c r="AZ10" i="10"/>
  <c r="AZ9" i="10"/>
  <c r="AZ8" i="10"/>
  <c r="AZ7" i="10"/>
  <c r="BA4" i="10" a="1"/>
  <c r="BE4" i="10" s="1"/>
  <c r="AY4" i="10"/>
  <c r="AM39" i="10"/>
  <c r="AN37" i="10"/>
  <c r="AN36" i="10"/>
  <c r="AN35" i="10"/>
  <c r="AN34" i="10"/>
  <c r="AN33" i="10"/>
  <c r="AN32" i="10"/>
  <c r="AN31" i="10"/>
  <c r="AN29" i="10"/>
  <c r="AN28" i="10"/>
  <c r="AN27" i="10"/>
  <c r="AN26" i="10"/>
  <c r="AN25" i="10"/>
  <c r="AN24" i="10"/>
  <c r="AN23" i="10"/>
  <c r="AN13" i="10"/>
  <c r="AN12" i="10"/>
  <c r="AN11" i="10"/>
  <c r="AN10" i="10"/>
  <c r="AN9" i="10"/>
  <c r="AN8" i="10"/>
  <c r="AN7" i="10"/>
  <c r="AO4" i="10" a="1"/>
  <c r="AQ4" i="10" s="1"/>
  <c r="AM4" i="10"/>
  <c r="AA39" i="10"/>
  <c r="AB37" i="10"/>
  <c r="AB36" i="10"/>
  <c r="AB35" i="10"/>
  <c r="AB34" i="10"/>
  <c r="AB33" i="10"/>
  <c r="AB32" i="10"/>
  <c r="AB31" i="10"/>
  <c r="AB29" i="10"/>
  <c r="AB28" i="10"/>
  <c r="AB27" i="10"/>
  <c r="AB26" i="10"/>
  <c r="AB25" i="10"/>
  <c r="AB24" i="10"/>
  <c r="AB23" i="10"/>
  <c r="AB13" i="10"/>
  <c r="AB12" i="10"/>
  <c r="AB11" i="10"/>
  <c r="AB10" i="10"/>
  <c r="AB9" i="10"/>
  <c r="AB8" i="10"/>
  <c r="AB7" i="10"/>
  <c r="AC4" i="10" a="1"/>
  <c r="AF4" i="10" s="1"/>
  <c r="AA4" i="10"/>
  <c r="O39" i="10"/>
  <c r="P37" i="10"/>
  <c r="P36" i="10"/>
  <c r="P35" i="10"/>
  <c r="P34" i="10"/>
  <c r="P33" i="10"/>
  <c r="P32" i="10"/>
  <c r="P31" i="10"/>
  <c r="P29" i="10"/>
  <c r="P28" i="10"/>
  <c r="P27" i="10"/>
  <c r="P26" i="10"/>
  <c r="P25" i="10"/>
  <c r="P24" i="10"/>
  <c r="P23" i="10"/>
  <c r="P13" i="10"/>
  <c r="P12" i="10"/>
  <c r="P11" i="10"/>
  <c r="P10" i="10"/>
  <c r="P9" i="10"/>
  <c r="P8" i="10"/>
  <c r="P7" i="10"/>
  <c r="Q4" i="10" a="1"/>
  <c r="T4" i="10" s="1"/>
  <c r="O4" i="10"/>
  <c r="C39" i="10"/>
  <c r="D37" i="10"/>
  <c r="D36" i="10"/>
  <c r="D35" i="10"/>
  <c r="D34" i="10"/>
  <c r="D33" i="10"/>
  <c r="D32" i="10"/>
  <c r="D31" i="10"/>
  <c r="D29" i="10"/>
  <c r="D28" i="10"/>
  <c r="D27" i="10"/>
  <c r="D26" i="10"/>
  <c r="D25" i="10"/>
  <c r="D24" i="10"/>
  <c r="D23" i="10"/>
  <c r="D13" i="10"/>
  <c r="D12" i="10"/>
  <c r="D11" i="10"/>
  <c r="D10" i="10"/>
  <c r="D9" i="10"/>
  <c r="D8" i="10"/>
  <c r="D7" i="10"/>
  <c r="E4" i="10" a="1"/>
  <c r="K4" i="10" s="1"/>
  <c r="C4" i="10"/>
  <c r="C16" i="9"/>
  <c r="C15" i="9"/>
  <c r="C14" i="9"/>
  <c r="C13" i="9"/>
  <c r="C12" i="9"/>
  <c r="C11" i="9"/>
  <c r="C10" i="9"/>
  <c r="C8" i="9"/>
  <c r="C7" i="9"/>
  <c r="C6" i="9"/>
  <c r="E5" i="9" a="1"/>
  <c r="E5" i="9" s="1"/>
  <c r="C5" i="9"/>
  <c r="E4" i="9" a="1"/>
  <c r="AD4" i="9" s="1"/>
  <c r="C27" i="9"/>
  <c r="C26" i="9"/>
  <c r="C25" i="9"/>
  <c r="C24" i="9"/>
  <c r="C23" i="9"/>
  <c r="C22" i="9"/>
  <c r="C21" i="9"/>
  <c r="E18" i="9" a="1"/>
  <c r="F36" i="9" a="1"/>
  <c r="J36" i="9" s="1"/>
  <c r="C36" i="9"/>
  <c r="F35" i="9" a="1"/>
  <c r="Q35" i="9" s="1"/>
  <c r="C35" i="9"/>
  <c r="F34" i="9" a="1"/>
  <c r="AC34" i="9" s="1"/>
  <c r="C34" i="9"/>
  <c r="F33" i="9" a="1"/>
  <c r="C33" i="9"/>
  <c r="F32" i="9" a="1"/>
  <c r="U32" i="9" s="1"/>
  <c r="C32" i="9"/>
  <c r="F31" i="9" a="1"/>
  <c r="M31" i="9" s="1"/>
  <c r="AA31" i="9"/>
  <c r="C31" i="9"/>
  <c r="F30" i="9" a="1"/>
  <c r="H30" i="9" s="1"/>
  <c r="U30" i="9"/>
  <c r="Z30" i="9"/>
  <c r="C30" i="9"/>
  <c r="E29" i="9" a="1"/>
  <c r="F29" i="9" s="1"/>
  <c r="D4" i="8" a="1"/>
  <c r="D4" i="8" s="1"/>
  <c r="C4" i="8"/>
  <c r="D7" i="8" a="1"/>
  <c r="C7" i="8"/>
  <c r="D10" i="8" a="1"/>
  <c r="D10" i="8" s="1"/>
  <c r="C10" i="8"/>
  <c r="D13" i="8" a="1"/>
  <c r="D13" i="8" s="1"/>
  <c r="C13" i="8"/>
  <c r="C6" i="7"/>
  <c r="D4" i="7" a="1"/>
  <c r="R4" i="7" s="1"/>
  <c r="C4" i="7"/>
  <c r="C10" i="7"/>
  <c r="D8" i="7" a="1"/>
  <c r="N8" i="7" s="1"/>
  <c r="C8" i="7"/>
  <c r="C14" i="7"/>
  <c r="D12" i="7" a="1"/>
  <c r="AH12" i="7" s="1"/>
  <c r="C12" i="7"/>
  <c r="C11" i="6"/>
  <c r="C10" i="6"/>
  <c r="C9" i="6"/>
  <c r="C8" i="6"/>
  <c r="C7" i="6"/>
  <c r="C6" i="6"/>
  <c r="C5" i="6"/>
  <c r="D4" i="6" a="1"/>
  <c r="E4" i="6" s="1"/>
  <c r="E6" i="5" a="1"/>
  <c r="E6" i="5" s="1"/>
  <c r="C6" i="5"/>
  <c r="E5" i="5" a="1"/>
  <c r="C5" i="5"/>
  <c r="C9" i="5"/>
  <c r="E8" i="5" a="1"/>
  <c r="C12" i="5"/>
  <c r="E11" i="5" a="1"/>
  <c r="BP11" i="5" s="1"/>
  <c r="E11" i="5"/>
  <c r="C15" i="5"/>
  <c r="E14" i="5" a="1"/>
  <c r="E14" i="5" s="1"/>
  <c r="C36" i="2" a="1"/>
  <c r="D36" i="2" s="1"/>
  <c r="B26" i="2" a="1"/>
  <c r="B29" i="2" s="1"/>
  <c r="B14" i="2" a="1"/>
  <c r="AE11" i="16"/>
  <c r="T11" i="16"/>
  <c r="H11" i="16"/>
  <c r="AB40" i="17"/>
  <c r="T94" i="11"/>
  <c r="AJ31" i="13"/>
  <c r="AE85" i="16"/>
  <c r="AB11" i="16"/>
  <c r="P11" i="16"/>
  <c r="G11" i="16"/>
  <c r="AJ19" i="17"/>
  <c r="AD19" i="17"/>
  <c r="X19" i="17"/>
  <c r="S19" i="17"/>
  <c r="N19" i="17"/>
  <c r="H19" i="17"/>
  <c r="V31" i="13"/>
  <c r="T49" i="15"/>
  <c r="L31" i="16"/>
  <c r="X19" i="16"/>
  <c r="AF11" i="16"/>
  <c r="W11" i="16"/>
  <c r="L11" i="16"/>
  <c r="P3" i="16"/>
  <c r="AF58" i="17"/>
  <c r="T58" i="17"/>
  <c r="Q31" i="17"/>
  <c r="AF19" i="17"/>
  <c r="AA19" i="17"/>
  <c r="V19" i="17"/>
  <c r="P19" i="17"/>
  <c r="K19" i="17"/>
  <c r="F19" i="17"/>
  <c r="N11" i="13"/>
  <c r="X11" i="17"/>
  <c r="G3" i="13"/>
  <c r="E85" i="14"/>
  <c r="AB85" i="14"/>
  <c r="AJ85" i="14"/>
  <c r="H40" i="14"/>
  <c r="Y40" i="14"/>
  <c r="T49" i="16"/>
  <c r="AI49" i="16"/>
  <c r="AA76" i="17"/>
  <c r="W58" i="17"/>
  <c r="P76" i="15"/>
  <c r="AB49" i="16"/>
  <c r="L49" i="16"/>
  <c r="AI11" i="16"/>
  <c r="AA11" i="16"/>
  <c r="S11" i="16"/>
  <c r="K11" i="16"/>
  <c r="T3" i="16"/>
  <c r="P76" i="17"/>
  <c r="AI19" i="17"/>
  <c r="AK19" i="17"/>
  <c r="AG19" i="17"/>
  <c r="AC19" i="17"/>
  <c r="Y19" i="17"/>
  <c r="U19" i="17"/>
  <c r="Q19" i="17"/>
  <c r="M19" i="17"/>
  <c r="I19" i="17"/>
  <c r="J31" i="17"/>
  <c r="F40" i="17"/>
  <c r="I40" i="17"/>
  <c r="R58" i="17"/>
  <c r="N58" i="17"/>
  <c r="F58" i="17"/>
  <c r="AK58" i="17"/>
  <c r="AG58" i="17"/>
  <c r="I58" i="17"/>
  <c r="AA67" i="17"/>
  <c r="K67" i="17"/>
  <c r="AH67" i="17"/>
  <c r="N67" i="17"/>
  <c r="J67" i="17"/>
  <c r="AK67" i="17"/>
  <c r="U67" i="17"/>
  <c r="AH76" i="17"/>
  <c r="Z76" i="17"/>
  <c r="R76" i="17"/>
  <c r="N76" i="17"/>
  <c r="U76" i="17"/>
  <c r="Q76" i="17"/>
  <c r="AE103" i="17"/>
  <c r="AI94" i="11"/>
  <c r="O94" i="13"/>
  <c r="AJ67" i="13"/>
  <c r="Z58" i="13"/>
  <c r="W3" i="13"/>
  <c r="L49" i="15"/>
  <c r="O11" i="15"/>
  <c r="G11" i="15"/>
  <c r="AG103" i="16"/>
  <c r="AI85" i="16"/>
  <c r="AC85" i="16"/>
  <c r="X85" i="16"/>
  <c r="AK76" i="16"/>
  <c r="M76" i="16"/>
  <c r="E76" i="16"/>
  <c r="AE40" i="16"/>
  <c r="W40" i="16"/>
  <c r="AB3" i="16"/>
  <c r="L3" i="16"/>
  <c r="L11" i="15"/>
  <c r="T40" i="16"/>
  <c r="T85" i="14"/>
  <c r="AK85" i="16"/>
  <c r="P85" i="16"/>
  <c r="K85" i="16"/>
  <c r="E85" i="16"/>
  <c r="AG76" i="16"/>
  <c r="I76" i="16"/>
  <c r="AF49" i="16"/>
  <c r="P49" i="16"/>
  <c r="H49" i="16"/>
  <c r="S40" i="16"/>
  <c r="K40" i="16"/>
  <c r="X31" i="16"/>
  <c r="H31" i="16"/>
  <c r="AJ103" i="15"/>
  <c r="L40" i="16"/>
  <c r="N31" i="13"/>
  <c r="P85" i="14"/>
  <c r="I58" i="14"/>
  <c r="P49" i="15"/>
  <c r="P11" i="15"/>
  <c r="AC103" i="16"/>
  <c r="H94" i="16"/>
  <c r="AF76" i="16"/>
  <c r="P76" i="16"/>
  <c r="H76" i="16"/>
  <c r="AE49" i="16"/>
  <c r="W49" i="16"/>
  <c r="G49" i="16"/>
  <c r="AF40" i="16"/>
  <c r="X40" i="16"/>
  <c r="H40" i="16"/>
  <c r="AI3" i="16"/>
  <c r="AE3" i="16"/>
  <c r="S3" i="16"/>
  <c r="O3" i="16"/>
  <c r="G3" i="16"/>
  <c r="AH3" i="16"/>
  <c r="AD3" i="16"/>
  <c r="R3" i="16"/>
  <c r="N3" i="16"/>
  <c r="F3" i="16"/>
  <c r="AK3" i="16"/>
  <c r="AG3" i="16"/>
  <c r="U3" i="16"/>
  <c r="Q3" i="16"/>
  <c r="I3" i="16"/>
  <c r="AH11" i="16"/>
  <c r="AD11" i="16"/>
  <c r="Z11" i="16"/>
  <c r="V11" i="16"/>
  <c r="R11" i="16"/>
  <c r="N11" i="16"/>
  <c r="J11" i="16"/>
  <c r="F11" i="16"/>
  <c r="AK11" i="16"/>
  <c r="AG11" i="16"/>
  <c r="AC11" i="16"/>
  <c r="Y11" i="16"/>
  <c r="U11" i="16"/>
  <c r="Q11" i="16"/>
  <c r="M11" i="16"/>
  <c r="I11" i="16"/>
  <c r="AI31" i="16"/>
  <c r="AE31" i="16"/>
  <c r="AA31" i="16"/>
  <c r="K31" i="16"/>
  <c r="G31" i="16"/>
  <c r="AH31" i="16"/>
  <c r="AD31" i="16"/>
  <c r="Z31" i="16"/>
  <c r="J31" i="16"/>
  <c r="F31" i="16"/>
  <c r="AK31" i="16"/>
  <c r="AG31" i="16"/>
  <c r="AC31" i="16"/>
  <c r="M31" i="16"/>
  <c r="I31" i="16"/>
  <c r="AH40" i="16"/>
  <c r="AD40" i="16"/>
  <c r="Z40" i="16"/>
  <c r="AG40" i="16"/>
  <c r="AC40" i="16"/>
  <c r="Q40" i="16"/>
  <c r="M40" i="16"/>
  <c r="AH49" i="16"/>
  <c r="AD49" i="16"/>
  <c r="Z49" i="16"/>
  <c r="R49" i="16"/>
  <c r="N49" i="16"/>
  <c r="J49" i="16"/>
  <c r="AK49" i="16"/>
  <c r="AG49" i="16"/>
  <c r="AC49" i="16"/>
  <c r="U49" i="16"/>
  <c r="Q49" i="16"/>
  <c r="M49" i="16"/>
  <c r="AE58" i="16"/>
  <c r="O58" i="16"/>
  <c r="K58" i="16"/>
  <c r="J58" i="16"/>
  <c r="AG58" i="16"/>
  <c r="AC58" i="16"/>
  <c r="M67" i="16"/>
  <c r="W76" i="16"/>
  <c r="AH76" i="16"/>
  <c r="V76" i="16"/>
  <c r="R76" i="16"/>
  <c r="J76" i="16"/>
  <c r="V85" i="16"/>
  <c r="R85" i="16"/>
  <c r="N85" i="16"/>
  <c r="J85" i="16"/>
  <c r="AG94" i="16"/>
  <c r="Q94" i="16"/>
  <c r="AJ85" i="12"/>
  <c r="L85" i="12"/>
  <c r="X67" i="15"/>
  <c r="AF67" i="15"/>
  <c r="K67" i="15"/>
  <c r="S67" i="15"/>
  <c r="AA67" i="15"/>
  <c r="W67" i="15"/>
  <c r="AE67" i="15"/>
  <c r="T3" i="12"/>
  <c r="E58" i="13"/>
  <c r="O58" i="13"/>
  <c r="AJ58" i="13"/>
  <c r="E94" i="14"/>
  <c r="H94" i="14"/>
  <c r="T94" i="14"/>
  <c r="AD94" i="14"/>
  <c r="F94" i="14"/>
  <c r="V94" i="14"/>
  <c r="AF94" i="14"/>
  <c r="AB67" i="15"/>
  <c r="R3" i="12"/>
  <c r="AB19" i="13"/>
  <c r="L67" i="15"/>
  <c r="O58" i="14"/>
  <c r="AF49" i="15"/>
  <c r="AB3" i="15"/>
  <c r="H76" i="13"/>
  <c r="AB3" i="13"/>
  <c r="Q3" i="13"/>
  <c r="AF85" i="14"/>
  <c r="L85" i="14"/>
  <c r="AK67" i="14"/>
  <c r="AB67" i="14"/>
  <c r="O3" i="15"/>
  <c r="G3" i="15"/>
  <c r="J3" i="15"/>
  <c r="F3" i="15"/>
  <c r="V11" i="15"/>
  <c r="J11" i="15"/>
  <c r="F11" i="15"/>
  <c r="AC11" i="15"/>
  <c r="H31" i="15"/>
  <c r="R40" i="15"/>
  <c r="N40" i="15"/>
  <c r="F40" i="15"/>
  <c r="AK40" i="15"/>
  <c r="Y40" i="15"/>
  <c r="AI49" i="15"/>
  <c r="AE49" i="15"/>
  <c r="W49" i="15"/>
  <c r="S49" i="15"/>
  <c r="O49" i="15"/>
  <c r="G49" i="15"/>
  <c r="AH49" i="15"/>
  <c r="AD49" i="15"/>
  <c r="V49" i="15"/>
  <c r="R49" i="15"/>
  <c r="N49" i="15"/>
  <c r="F49" i="15"/>
  <c r="AK49" i="15"/>
  <c r="AG49" i="15"/>
  <c r="Y49" i="15"/>
  <c r="U49" i="15"/>
  <c r="Q49" i="15"/>
  <c r="I49" i="15"/>
  <c r="AK58" i="15"/>
  <c r="AD67" i="15"/>
  <c r="Z67" i="15"/>
  <c r="V67" i="15"/>
  <c r="R67" i="15"/>
  <c r="N67" i="15"/>
  <c r="AG67" i="15"/>
  <c r="AC67" i="15"/>
  <c r="Y67" i="15"/>
  <c r="U67" i="15"/>
  <c r="Q67" i="15"/>
  <c r="AA76" i="15"/>
  <c r="AH76" i="15"/>
  <c r="V76" i="15"/>
  <c r="I76" i="15"/>
  <c r="F94" i="15"/>
  <c r="I94" i="15"/>
  <c r="J103" i="15"/>
  <c r="F103" i="15"/>
  <c r="AK103" i="15"/>
  <c r="U103" i="15"/>
  <c r="Q103" i="15"/>
  <c r="S103" i="13"/>
  <c r="AD103" i="13"/>
  <c r="F40" i="13"/>
  <c r="H40" i="13"/>
  <c r="S40" i="13"/>
  <c r="AC40" i="13"/>
  <c r="I40" i="13"/>
  <c r="T40" i="13"/>
  <c r="AE40" i="13"/>
  <c r="L58" i="12"/>
  <c r="AB58" i="12"/>
  <c r="X103" i="13"/>
  <c r="X40" i="13"/>
  <c r="H76" i="14"/>
  <c r="AE11" i="14"/>
  <c r="K11" i="14"/>
  <c r="H11" i="14"/>
  <c r="AF11" i="14"/>
  <c r="E103" i="12"/>
  <c r="E85" i="12"/>
  <c r="T85" i="12"/>
  <c r="AB85" i="12"/>
  <c r="AI58" i="12"/>
  <c r="AJ103" i="13"/>
  <c r="M85" i="13"/>
  <c r="AC85" i="13"/>
  <c r="AJ40" i="13"/>
  <c r="O40" i="13"/>
  <c r="E58" i="14"/>
  <c r="K58" i="14"/>
  <c r="P58" i="14"/>
  <c r="U58" i="14"/>
  <c r="AA58" i="14"/>
  <c r="L58" i="14"/>
  <c r="Q58" i="14"/>
  <c r="W58" i="14"/>
  <c r="AB58" i="14"/>
  <c r="AG58" i="14"/>
  <c r="X58" i="14"/>
  <c r="AC58" i="14"/>
  <c r="AI58" i="14"/>
  <c r="AB11" i="14"/>
  <c r="E94" i="11"/>
  <c r="AB94" i="11"/>
  <c r="E40" i="12"/>
  <c r="H40" i="12"/>
  <c r="AI40" i="13"/>
  <c r="M40" i="13"/>
  <c r="L19" i="13"/>
  <c r="AJ19" i="13"/>
  <c r="T58" i="14"/>
  <c r="P3" i="13"/>
  <c r="K3" i="13"/>
  <c r="AJ49" i="14"/>
  <c r="T49" i="14"/>
  <c r="T3" i="13"/>
  <c r="O3" i="13"/>
  <c r="I3" i="13"/>
  <c r="X103" i="14"/>
  <c r="H103" i="14"/>
  <c r="X85" i="14"/>
  <c r="H85" i="14"/>
  <c r="AK40" i="14"/>
  <c r="U40" i="14"/>
  <c r="AG41" i="14"/>
  <c r="S3" i="13"/>
  <c r="M3" i="13"/>
  <c r="H3" i="13"/>
  <c r="AH94" i="14"/>
  <c r="Z94" i="14"/>
  <c r="R94" i="14"/>
  <c r="J94" i="14"/>
  <c r="AG67" i="14"/>
  <c r="Q67" i="14"/>
  <c r="I67" i="14"/>
  <c r="L49" i="14"/>
  <c r="V11" i="14"/>
  <c r="R11" i="14"/>
  <c r="M11" i="14"/>
  <c r="M41" i="14"/>
  <c r="AE19" i="14"/>
  <c r="AI41" i="14"/>
  <c r="G41" i="14"/>
  <c r="K40" i="14"/>
  <c r="AH49" i="14"/>
  <c r="F49" i="14"/>
  <c r="Y49" i="14"/>
  <c r="AH58" i="14"/>
  <c r="AD58" i="14"/>
  <c r="Z58" i="14"/>
  <c r="V58" i="14"/>
  <c r="AE67" i="14"/>
  <c r="AA67" i="14"/>
  <c r="W67" i="14"/>
  <c r="S67" i="14"/>
  <c r="O67" i="14"/>
  <c r="AH67" i="14"/>
  <c r="Z67" i="14"/>
  <c r="V67" i="14"/>
  <c r="R67" i="14"/>
  <c r="N67" i="14"/>
  <c r="K76" i="14"/>
  <c r="AH76" i="14"/>
  <c r="AD76" i="14"/>
  <c r="J76" i="14"/>
  <c r="AK76" i="14"/>
  <c r="AI85" i="14"/>
  <c r="AE85" i="14"/>
  <c r="AA85" i="14"/>
  <c r="W85" i="14"/>
  <c r="S85" i="14"/>
  <c r="O85" i="14"/>
  <c r="K85" i="14"/>
  <c r="G85" i="14"/>
  <c r="AH85" i="14"/>
  <c r="AD85" i="14"/>
  <c r="Z85" i="14"/>
  <c r="V85" i="14"/>
  <c r="R85" i="14"/>
  <c r="N85" i="14"/>
  <c r="J85" i="14"/>
  <c r="F85" i="14"/>
  <c r="AK85" i="14"/>
  <c r="AG85" i="14"/>
  <c r="AC85" i="14"/>
  <c r="Y85" i="14"/>
  <c r="U85" i="14"/>
  <c r="Q85" i="14"/>
  <c r="M85" i="14"/>
  <c r="I85" i="14"/>
  <c r="AE94" i="14"/>
  <c r="AA94" i="14"/>
  <c r="W94" i="14"/>
  <c r="S94" i="14"/>
  <c r="O94" i="14"/>
  <c r="AG94" i="14"/>
  <c r="AC94" i="14"/>
  <c r="Y94" i="14"/>
  <c r="U94" i="14"/>
  <c r="Q94" i="14"/>
  <c r="AE103" i="14"/>
  <c r="AA103" i="14"/>
  <c r="W103" i="14"/>
  <c r="S103" i="14"/>
  <c r="O103" i="14"/>
  <c r="AD103" i="14"/>
  <c r="Z103" i="14"/>
  <c r="V103" i="14"/>
  <c r="R103" i="14"/>
  <c r="N103" i="14"/>
  <c r="AG103" i="14"/>
  <c r="AC103" i="14"/>
  <c r="Y103" i="14"/>
  <c r="U103" i="14"/>
  <c r="Q103" i="14"/>
  <c r="AE94" i="11"/>
  <c r="S94" i="11"/>
  <c r="G94" i="11"/>
  <c r="X76" i="11"/>
  <c r="AA85" i="12"/>
  <c r="K85" i="12"/>
  <c r="AJ31" i="12"/>
  <c r="AH103" i="13"/>
  <c r="AB103" i="13"/>
  <c r="AG94" i="13"/>
  <c r="AB94" i="13"/>
  <c r="X67" i="13"/>
  <c r="H67" i="13"/>
  <c r="AI58" i="13"/>
  <c r="N58" i="13"/>
  <c r="AG40" i="13"/>
  <c r="AB40" i="13"/>
  <c r="W40" i="13"/>
  <c r="Q40" i="13"/>
  <c r="L40" i="13"/>
  <c r="G40" i="13"/>
  <c r="AF31" i="13"/>
  <c r="X31" i="13"/>
  <c r="P31" i="13"/>
  <c r="H31" i="13"/>
  <c r="AH11" i="13"/>
  <c r="AC11" i="13"/>
  <c r="X11" i="13"/>
  <c r="R11" i="13"/>
  <c r="M11" i="13"/>
  <c r="AH3" i="13"/>
  <c r="AD3" i="13"/>
  <c r="Z3" i="13"/>
  <c r="J3" i="13"/>
  <c r="E3" i="13"/>
  <c r="T76" i="11"/>
  <c r="AJ19" i="12"/>
  <c r="K103" i="13"/>
  <c r="F103" i="13"/>
  <c r="AH58" i="13"/>
  <c r="AB58" i="13"/>
  <c r="R58" i="13"/>
  <c r="AK40" i="13"/>
  <c r="AF40" i="13"/>
  <c r="AA40" i="13"/>
  <c r="U40" i="13"/>
  <c r="P40" i="13"/>
  <c r="K40" i="13"/>
  <c r="E40" i="13"/>
  <c r="AB11" i="13"/>
  <c r="V11" i="13"/>
  <c r="Q11" i="13"/>
  <c r="L11" i="13"/>
  <c r="F11" i="13"/>
  <c r="AI85" i="12"/>
  <c r="S85" i="12"/>
  <c r="T67" i="12"/>
  <c r="AF58" i="13"/>
  <c r="F58" i="13"/>
  <c r="AK11" i="13"/>
  <c r="AF11" i="13"/>
  <c r="Z11" i="13"/>
  <c r="U11" i="13"/>
  <c r="P11" i="13"/>
  <c r="J11" i="13"/>
  <c r="E11" i="13"/>
  <c r="AI11" i="13"/>
  <c r="AE11" i="13"/>
  <c r="AA11" i="13"/>
  <c r="W11" i="13"/>
  <c r="S11" i="13"/>
  <c r="O11" i="13"/>
  <c r="K11" i="13"/>
  <c r="AI19" i="13"/>
  <c r="AA19" i="13"/>
  <c r="W19" i="13"/>
  <c r="O19" i="13"/>
  <c r="K19" i="13"/>
  <c r="G19" i="13"/>
  <c r="AD19" i="13"/>
  <c r="V19" i="13"/>
  <c r="N19" i="13"/>
  <c r="J19" i="13"/>
  <c r="F19" i="13"/>
  <c r="AK19" i="13"/>
  <c r="AC19" i="13"/>
  <c r="Q19" i="13"/>
  <c r="M19" i="13"/>
  <c r="I19" i="13"/>
  <c r="AI31" i="13"/>
  <c r="AA31" i="13"/>
  <c r="W31" i="13"/>
  <c r="S31" i="13"/>
  <c r="O31" i="13"/>
  <c r="K31" i="13"/>
  <c r="G31" i="13"/>
  <c r="AK31" i="13"/>
  <c r="AC31" i="13"/>
  <c r="Y31" i="13"/>
  <c r="U31" i="13"/>
  <c r="Q31" i="13"/>
  <c r="M31" i="13"/>
  <c r="I31" i="13"/>
  <c r="AH40" i="13"/>
  <c r="AD40" i="13"/>
  <c r="Z40" i="13"/>
  <c r="V40" i="13"/>
  <c r="R40" i="13"/>
  <c r="N40" i="13"/>
  <c r="J40" i="13"/>
  <c r="W49" i="13"/>
  <c r="AK49" i="13"/>
  <c r="U58" i="13"/>
  <c r="Q58" i="13"/>
  <c r="I58" i="13"/>
  <c r="W67" i="13"/>
  <c r="S67" i="13"/>
  <c r="I67" i="13"/>
  <c r="F76" i="13"/>
  <c r="U76" i="13"/>
  <c r="Q76" i="13"/>
  <c r="I76" i="13"/>
  <c r="AJ85" i="13"/>
  <c r="AF85" i="13"/>
  <c r="L85" i="13"/>
  <c r="H85" i="13"/>
  <c r="AI85" i="13"/>
  <c r="K85" i="13"/>
  <c r="G85" i="13"/>
  <c r="AD85" i="13"/>
  <c r="N85" i="13"/>
  <c r="J85" i="13"/>
  <c r="AG103" i="13"/>
  <c r="AC103" i="13"/>
  <c r="U103" i="13"/>
  <c r="Q103" i="13"/>
  <c r="M103" i="13"/>
  <c r="AJ49" i="11"/>
  <c r="Z49" i="11"/>
  <c r="N49" i="11"/>
  <c r="AE11" i="12"/>
  <c r="T11" i="12"/>
  <c r="I11" i="12"/>
  <c r="X67" i="11"/>
  <c r="AH49" i="11"/>
  <c r="V49" i="11"/>
  <c r="L49" i="11"/>
  <c r="S19" i="11"/>
  <c r="L103" i="12"/>
  <c r="AF85" i="12"/>
  <c r="X85" i="12"/>
  <c r="P85" i="12"/>
  <c r="H85" i="12"/>
  <c r="AD76" i="12"/>
  <c r="AF67" i="12"/>
  <c r="U67" i="12"/>
  <c r="AF58" i="12"/>
  <c r="H58" i="12"/>
  <c r="AI49" i="12"/>
  <c r="AA49" i="12"/>
  <c r="S49" i="12"/>
  <c r="K49" i="12"/>
  <c r="AI11" i="12"/>
  <c r="X11" i="12"/>
  <c r="H11" i="12"/>
  <c r="T19" i="11"/>
  <c r="AD49" i="11"/>
  <c r="T49" i="11"/>
  <c r="J49" i="11"/>
  <c r="AB19" i="11"/>
  <c r="AE85" i="12"/>
  <c r="W85" i="12"/>
  <c r="O85" i="12"/>
  <c r="G85" i="12"/>
  <c r="AB76" i="12"/>
  <c r="G76" i="12"/>
  <c r="AE58" i="12"/>
  <c r="G58" i="12"/>
  <c r="AF49" i="12"/>
  <c r="X49" i="12"/>
  <c r="P49" i="12"/>
  <c r="H49" i="12"/>
  <c r="AB11" i="12"/>
  <c r="W11" i="12"/>
  <c r="AJ49" i="12"/>
  <c r="AB49" i="12"/>
  <c r="T49" i="12"/>
  <c r="L49" i="12"/>
  <c r="AJ94" i="11"/>
  <c r="AA94" i="11"/>
  <c r="P94" i="11"/>
  <c r="H94" i="11"/>
  <c r="P76" i="11"/>
  <c r="AB49" i="11"/>
  <c r="R49" i="11"/>
  <c r="F49" i="11"/>
  <c r="T40" i="11"/>
  <c r="AA19" i="11"/>
  <c r="AA76" i="12"/>
  <c r="P76" i="12"/>
  <c r="K76" i="12"/>
  <c r="F76" i="12"/>
  <c r="AH67" i="12"/>
  <c r="AC67" i="12"/>
  <c r="AE49" i="12"/>
  <c r="W49" i="12"/>
  <c r="O49" i="12"/>
  <c r="G49" i="12"/>
  <c r="AA11" i="12"/>
  <c r="U11" i="12"/>
  <c r="P11" i="12"/>
  <c r="AC3" i="12"/>
  <c r="U3" i="12"/>
  <c r="Z11" i="12"/>
  <c r="V11" i="12"/>
  <c r="N11" i="12"/>
  <c r="J11" i="12"/>
  <c r="AI19" i="12"/>
  <c r="AE19" i="12"/>
  <c r="AA19" i="12"/>
  <c r="K19" i="12"/>
  <c r="AH19" i="12"/>
  <c r="AD19" i="12"/>
  <c r="Z19" i="12"/>
  <c r="J19" i="12"/>
  <c r="AK19" i="12"/>
  <c r="AG19" i="12"/>
  <c r="AC19" i="12"/>
  <c r="M19" i="12"/>
  <c r="AE31" i="12"/>
  <c r="K31" i="12"/>
  <c r="AH31" i="12"/>
  <c r="AD31" i="12"/>
  <c r="AG31" i="12"/>
  <c r="M31" i="12"/>
  <c r="AK40" i="12"/>
  <c r="AG40" i="12"/>
  <c r="AH49" i="12"/>
  <c r="AD49" i="12"/>
  <c r="Z49" i="12"/>
  <c r="V49" i="12"/>
  <c r="R49" i="12"/>
  <c r="N49" i="12"/>
  <c r="J49" i="12"/>
  <c r="F49" i="12"/>
  <c r="AK49" i="12"/>
  <c r="AG49" i="12"/>
  <c r="AC49" i="12"/>
  <c r="Y49" i="12"/>
  <c r="U49" i="12"/>
  <c r="Q49" i="12"/>
  <c r="M49" i="12"/>
  <c r="I49" i="12"/>
  <c r="Z58" i="12"/>
  <c r="V58" i="12"/>
  <c r="N58" i="12"/>
  <c r="J58" i="12"/>
  <c r="F58" i="12"/>
  <c r="AC58" i="12"/>
  <c r="Y58" i="12"/>
  <c r="Q58" i="12"/>
  <c r="M58" i="12"/>
  <c r="I58" i="12"/>
  <c r="K67" i="12"/>
  <c r="Y76" i="12"/>
  <c r="Q76" i="12"/>
  <c r="M76" i="12"/>
  <c r="I76" i="12"/>
  <c r="AH85" i="12"/>
  <c r="AD85" i="12"/>
  <c r="Z85" i="12"/>
  <c r="V85" i="12"/>
  <c r="R85" i="12"/>
  <c r="N85" i="12"/>
  <c r="J85" i="12"/>
  <c r="F85" i="12"/>
  <c r="AK85" i="12"/>
  <c r="AG85" i="12"/>
  <c r="AC85" i="12"/>
  <c r="Y85" i="12"/>
  <c r="U85" i="12"/>
  <c r="Q85" i="12"/>
  <c r="M85" i="12"/>
  <c r="I85" i="12"/>
  <c r="W94" i="12"/>
  <c r="O94" i="12"/>
  <c r="K94" i="12"/>
  <c r="G94" i="12"/>
  <c r="V94" i="12"/>
  <c r="N94" i="12"/>
  <c r="J94" i="12"/>
  <c r="F94" i="12"/>
  <c r="Y94" i="12"/>
  <c r="Q94" i="12"/>
  <c r="M94" i="12"/>
  <c r="I94" i="12"/>
  <c r="W103" i="12"/>
  <c r="O103" i="12"/>
  <c r="K103" i="12"/>
  <c r="G103" i="12"/>
  <c r="V103" i="12"/>
  <c r="N103" i="12"/>
  <c r="J103" i="12"/>
  <c r="F103" i="12"/>
  <c r="Y103" i="12"/>
  <c r="Q103" i="12"/>
  <c r="M103" i="12"/>
  <c r="I103" i="12"/>
  <c r="AE103" i="11"/>
  <c r="Z103" i="11"/>
  <c r="O103" i="11"/>
  <c r="J103" i="11"/>
  <c r="AB31" i="11"/>
  <c r="T31" i="11"/>
  <c r="L31" i="11"/>
  <c r="AI103" i="11"/>
  <c r="AD103" i="11"/>
  <c r="X103" i="11"/>
  <c r="S103" i="11"/>
  <c r="N103" i="11"/>
  <c r="H103" i="11"/>
  <c r="AF94" i="11"/>
  <c r="X94" i="11"/>
  <c r="AA85" i="11"/>
  <c r="S85" i="11"/>
  <c r="K85" i="11"/>
  <c r="AE67" i="11"/>
  <c r="W67" i="11"/>
  <c r="M58" i="11"/>
  <c r="H40" i="11"/>
  <c r="I31" i="11"/>
  <c r="AF19" i="11"/>
  <c r="P19" i="11"/>
  <c r="H19" i="11"/>
  <c r="AI11" i="11"/>
  <c r="AA11" i="11"/>
  <c r="S11" i="11"/>
  <c r="K11" i="11"/>
  <c r="H3" i="11"/>
  <c r="AJ103" i="11"/>
  <c r="T103" i="11"/>
  <c r="AJ85" i="11"/>
  <c r="AB85" i="11"/>
  <c r="T85" i="11"/>
  <c r="L85" i="11"/>
  <c r="AH103" i="11"/>
  <c r="AB103" i="11"/>
  <c r="W103" i="11"/>
  <c r="R103" i="11"/>
  <c r="L103" i="11"/>
  <c r="G103" i="11"/>
  <c r="X85" i="11"/>
  <c r="H85" i="11"/>
  <c r="Q58" i="11"/>
  <c r="P31" i="11"/>
  <c r="H31" i="11"/>
  <c r="AE19" i="11"/>
  <c r="G19" i="11"/>
  <c r="AF11" i="11"/>
  <c r="X11" i="11"/>
  <c r="P11" i="11"/>
  <c r="H11" i="11"/>
  <c r="T58" i="11"/>
  <c r="AJ11" i="11"/>
  <c r="AB11" i="11"/>
  <c r="T11" i="11"/>
  <c r="L11" i="11"/>
  <c r="BA4" i="10"/>
  <c r="AF103" i="11"/>
  <c r="AA103" i="11"/>
  <c r="V103" i="11"/>
  <c r="P103" i="11"/>
  <c r="K103" i="11"/>
  <c r="F103" i="11"/>
  <c r="W85" i="11"/>
  <c r="G85" i="11"/>
  <c r="AB76" i="11"/>
  <c r="L76" i="11"/>
  <c r="S67" i="11"/>
  <c r="U58" i="11"/>
  <c r="P58" i="11"/>
  <c r="AF49" i="11"/>
  <c r="X49" i="11"/>
  <c r="P49" i="11"/>
  <c r="H49" i="11"/>
  <c r="AF40" i="11"/>
  <c r="E31" i="11"/>
  <c r="AE11" i="11"/>
  <c r="W11" i="11"/>
  <c r="O11" i="11"/>
  <c r="G11" i="11"/>
  <c r="G3" i="11"/>
  <c r="AH11" i="11"/>
  <c r="AD11" i="11"/>
  <c r="Z11" i="11"/>
  <c r="V11" i="11"/>
  <c r="R11" i="11"/>
  <c r="N11" i="11"/>
  <c r="J11" i="11"/>
  <c r="F11" i="11"/>
  <c r="AK11" i="11"/>
  <c r="AG11" i="11"/>
  <c r="AC11" i="11"/>
  <c r="Y11" i="11"/>
  <c r="U11" i="11"/>
  <c r="Q11" i="11"/>
  <c r="M11" i="11"/>
  <c r="I11" i="11"/>
  <c r="AD19" i="11"/>
  <c r="Z19" i="11"/>
  <c r="R19" i="11"/>
  <c r="N19" i="11"/>
  <c r="J19" i="11"/>
  <c r="AG19" i="11"/>
  <c r="AC19" i="11"/>
  <c r="U19" i="11"/>
  <c r="Q19" i="11"/>
  <c r="M19" i="11"/>
  <c r="W31" i="11"/>
  <c r="S31" i="11"/>
  <c r="K31" i="11"/>
  <c r="G31" i="11"/>
  <c r="AD31" i="11"/>
  <c r="N31" i="11"/>
  <c r="J31" i="11"/>
  <c r="S40" i="11"/>
  <c r="O40" i="11"/>
  <c r="K40" i="11"/>
  <c r="N40" i="11"/>
  <c r="J40" i="11"/>
  <c r="U40" i="11"/>
  <c r="Q40" i="11"/>
  <c r="M40" i="11"/>
  <c r="AI49" i="11"/>
  <c r="AE49" i="11"/>
  <c r="AA49" i="11"/>
  <c r="W49" i="11"/>
  <c r="S49" i="11"/>
  <c r="O49" i="11"/>
  <c r="K49" i="11"/>
  <c r="G49" i="11"/>
  <c r="AK49" i="11"/>
  <c r="AG49" i="11"/>
  <c r="AC49" i="11"/>
  <c r="Y49" i="11"/>
  <c r="U49" i="11"/>
  <c r="Q49" i="11"/>
  <c r="M49" i="11"/>
  <c r="I49" i="11"/>
  <c r="J58" i="11"/>
  <c r="Z67" i="11"/>
  <c r="V67" i="11"/>
  <c r="F67" i="11"/>
  <c r="I67" i="11"/>
  <c r="AI76" i="11"/>
  <c r="AE76" i="11"/>
  <c r="AA76" i="11"/>
  <c r="O76" i="11"/>
  <c r="K76" i="11"/>
  <c r="AH76" i="11"/>
  <c r="AD76" i="11"/>
  <c r="Z76" i="11"/>
  <c r="N76" i="11"/>
  <c r="J76" i="11"/>
  <c r="AK76" i="11"/>
  <c r="AG76" i="11"/>
  <c r="AC76" i="11"/>
  <c r="Q76" i="11"/>
  <c r="M76" i="11"/>
  <c r="AH85" i="11"/>
  <c r="AD85" i="11"/>
  <c r="V85" i="11"/>
  <c r="N85" i="11"/>
  <c r="J85" i="11"/>
  <c r="F85" i="11"/>
  <c r="AK85" i="11"/>
  <c r="AG85" i="11"/>
  <c r="Y85" i="11"/>
  <c r="Q85" i="11"/>
  <c r="M85" i="11"/>
  <c r="I85" i="11"/>
  <c r="AH94" i="11"/>
  <c r="AD94" i="11"/>
  <c r="Z94" i="11"/>
  <c r="V94" i="11"/>
  <c r="R94" i="11"/>
  <c r="N94" i="11"/>
  <c r="J94" i="11"/>
  <c r="F94" i="11"/>
  <c r="AK94" i="11"/>
  <c r="AG94" i="11"/>
  <c r="AC94" i="11"/>
  <c r="Y94" i="11"/>
  <c r="U94" i="11"/>
  <c r="Q94" i="11"/>
  <c r="M94" i="11"/>
  <c r="I94" i="11"/>
  <c r="AK103" i="11"/>
  <c r="AG103" i="11"/>
  <c r="AC103" i="11"/>
  <c r="Y103" i="11"/>
  <c r="U103" i="11"/>
  <c r="Q103" i="11"/>
  <c r="M103" i="11"/>
  <c r="I103" i="11"/>
  <c r="G13" i="8"/>
  <c r="CE4" i="10"/>
  <c r="CC4" i="10"/>
  <c r="BN4" i="10"/>
  <c r="V4" i="10"/>
  <c r="R4" i="10"/>
  <c r="F4" i="10"/>
  <c r="AI4" i="9"/>
  <c r="N4" i="9"/>
  <c r="AH4" i="9"/>
  <c r="AB4" i="9"/>
  <c r="G4" i="9"/>
  <c r="AE4" i="9"/>
  <c r="Z4" i="9"/>
  <c r="T4" i="9"/>
  <c r="O4" i="8"/>
  <c r="AA4" i="9"/>
  <c r="V4" i="9"/>
  <c r="P4" i="9"/>
  <c r="AG4" i="9"/>
  <c r="Y4" i="9"/>
  <c r="U4" i="9"/>
  <c r="Q4" i="9"/>
  <c r="AA34" i="9"/>
  <c r="AJ30" i="9"/>
  <c r="AF30" i="9"/>
  <c r="AB30" i="9"/>
  <c r="X30" i="9"/>
  <c r="T30" i="9"/>
  <c r="P30" i="9"/>
  <c r="AI30" i="9"/>
  <c r="AE30" i="9"/>
  <c r="AA30" i="9"/>
  <c r="W30" i="9"/>
  <c r="S30" i="9"/>
  <c r="O30" i="9"/>
  <c r="K30" i="9"/>
  <c r="AK29" i="9"/>
  <c r="AG29" i="9"/>
  <c r="AC29" i="9"/>
  <c r="Y29" i="9"/>
  <c r="U29" i="9"/>
  <c r="Q29" i="9"/>
  <c r="M29" i="9"/>
  <c r="I29" i="9"/>
  <c r="E29" i="9"/>
  <c r="AJ29" i="9"/>
  <c r="AF29" i="9"/>
  <c r="AB29" i="9"/>
  <c r="X29" i="9"/>
  <c r="T29" i="9"/>
  <c r="P29" i="9"/>
  <c r="L29" i="9"/>
  <c r="H29" i="9"/>
  <c r="AI29" i="9"/>
  <c r="AE29" i="9"/>
  <c r="AA29" i="9"/>
  <c r="W29" i="9"/>
  <c r="S29" i="9"/>
  <c r="O29" i="9"/>
  <c r="K29" i="9"/>
  <c r="G29" i="9"/>
  <c r="AH29" i="9"/>
  <c r="AD29" i="9"/>
  <c r="Z29" i="9"/>
  <c r="V29" i="9"/>
  <c r="R29" i="9"/>
  <c r="N29" i="9"/>
  <c r="J29" i="9"/>
  <c r="K13" i="8"/>
  <c r="AI4" i="8"/>
  <c r="AD4" i="8"/>
  <c r="J4" i="8"/>
  <c r="AE4" i="8"/>
  <c r="T4" i="8"/>
  <c r="AA7" i="8"/>
  <c r="O7" i="8"/>
  <c r="AH7" i="8"/>
  <c r="V7" i="8"/>
  <c r="R7" i="8"/>
  <c r="J7" i="8"/>
  <c r="F7" i="8"/>
  <c r="AE7" i="8"/>
  <c r="U7" i="8"/>
  <c r="M7" i="8"/>
  <c r="AI7" i="8"/>
  <c r="W7" i="8"/>
  <c r="K7" i="8"/>
  <c r="Y7" i="8"/>
  <c r="Q7" i="8"/>
  <c r="AJ7" i="8"/>
  <c r="AF7" i="8"/>
  <c r="AB7" i="8"/>
  <c r="P7" i="8"/>
  <c r="L7" i="8"/>
  <c r="W10" i="8"/>
  <c r="K10" i="8"/>
  <c r="AH10" i="8"/>
  <c r="V10" i="8"/>
  <c r="R10" i="8"/>
  <c r="J10" i="8"/>
  <c r="F10" i="8"/>
  <c r="AI10" i="8"/>
  <c r="AC10" i="8"/>
  <c r="Y10" i="8"/>
  <c r="Q10" i="8"/>
  <c r="M10" i="8"/>
  <c r="I10" i="8"/>
  <c r="S10" i="8"/>
  <c r="G10" i="8"/>
  <c r="AJ10" i="8"/>
  <c r="AF10" i="8"/>
  <c r="AB10" i="8"/>
  <c r="P10" i="8"/>
  <c r="L10" i="8"/>
  <c r="AI13" i="8"/>
  <c r="W13" i="8"/>
  <c r="O13" i="8"/>
  <c r="AH13" i="8"/>
  <c r="AD13" i="8"/>
  <c r="Z13" i="8"/>
  <c r="V13" i="8"/>
  <c r="R13" i="8"/>
  <c r="N13" i="8"/>
  <c r="J13" i="8"/>
  <c r="F13" i="8"/>
  <c r="AA13" i="8"/>
  <c r="AG13" i="8"/>
  <c r="AC13" i="8"/>
  <c r="Y13" i="8"/>
  <c r="U13" i="8"/>
  <c r="Q13" i="8"/>
  <c r="M13" i="8"/>
  <c r="I13" i="8"/>
  <c r="E13" i="8"/>
  <c r="AE13" i="8"/>
  <c r="S13" i="8"/>
  <c r="AJ13" i="8"/>
  <c r="AF13" i="8"/>
  <c r="AB13" i="8"/>
  <c r="X13" i="8"/>
  <c r="T13" i="8"/>
  <c r="P13" i="8"/>
  <c r="L13" i="8"/>
  <c r="H13" i="8"/>
  <c r="AC4" i="7"/>
  <c r="AH8" i="7"/>
  <c r="R8" i="7"/>
  <c r="M8" i="7"/>
  <c r="P8" i="7"/>
  <c r="AA12" i="7"/>
  <c r="K12" i="7"/>
  <c r="Z12" i="7"/>
  <c r="R12" i="7"/>
  <c r="J12" i="7"/>
  <c r="F12" i="7"/>
  <c r="E12" i="7"/>
  <c r="AE12" i="7"/>
  <c r="G12" i="7"/>
  <c r="AG12" i="7"/>
  <c r="U12" i="7"/>
  <c r="M12" i="7"/>
  <c r="AJ12" i="7"/>
  <c r="AF12" i="7"/>
  <c r="T12" i="7"/>
  <c r="L12" i="7"/>
  <c r="BH4" i="6"/>
  <c r="BD4" i="6"/>
  <c r="AZ4" i="6"/>
  <c r="AV4" i="6"/>
  <c r="AR4" i="6"/>
  <c r="AN4" i="6"/>
  <c r="AJ4" i="6"/>
  <c r="AF4" i="6"/>
  <c r="AB4" i="6"/>
  <c r="X4" i="6"/>
  <c r="T4" i="6"/>
  <c r="P4" i="6"/>
  <c r="L4" i="6"/>
  <c r="H4" i="6"/>
  <c r="D4" i="6"/>
  <c r="BK4" i="6"/>
  <c r="BG4" i="6"/>
  <c r="BC4" i="6"/>
  <c r="AY4" i="6"/>
  <c r="AU4" i="6"/>
  <c r="AQ4" i="6"/>
  <c r="AM4" i="6"/>
  <c r="AI4" i="6"/>
  <c r="AE4" i="6"/>
  <c r="AA4" i="6"/>
  <c r="W4" i="6"/>
  <c r="S4" i="6"/>
  <c r="O4" i="6"/>
  <c r="K4" i="6"/>
  <c r="G4" i="6"/>
  <c r="BJ4" i="6"/>
  <c r="BF4" i="6"/>
  <c r="BB4" i="6"/>
  <c r="AX4" i="6"/>
  <c r="AT4" i="6"/>
  <c r="AP4" i="6"/>
  <c r="AL4" i="6"/>
  <c r="AH4" i="6"/>
  <c r="AD4" i="6"/>
  <c r="Z4" i="6"/>
  <c r="V4" i="6"/>
  <c r="R4" i="6"/>
  <c r="N4" i="6"/>
  <c r="J4" i="6"/>
  <c r="F4" i="6"/>
  <c r="BI4" i="6"/>
  <c r="BE4" i="6"/>
  <c r="BA4" i="6"/>
  <c r="AW4" i="6"/>
  <c r="AS4" i="6"/>
  <c r="AO4" i="6"/>
  <c r="AK4" i="6"/>
  <c r="AG4" i="6"/>
  <c r="AC4" i="6"/>
  <c r="Y4" i="6"/>
  <c r="U4" i="6"/>
  <c r="Q4" i="6"/>
  <c r="M4" i="6"/>
  <c r="I4" i="6"/>
  <c r="BM5" i="5"/>
  <c r="BL5" i="5"/>
  <c r="AF5" i="5"/>
  <c r="CM5" i="5"/>
  <c r="V5" i="5"/>
  <c r="CN8" i="5"/>
  <c r="BX8" i="5"/>
  <c r="BL8" i="5"/>
  <c r="BH8" i="5"/>
  <c r="AF8" i="5"/>
  <c r="L8" i="5"/>
  <c r="CI8" i="5"/>
  <c r="CE8" i="5"/>
  <c r="CA8" i="5"/>
  <c r="BW8" i="5"/>
  <c r="BO8" i="5"/>
  <c r="BG8" i="5"/>
  <c r="BC8" i="5"/>
  <c r="AY8" i="5"/>
  <c r="AU8" i="5"/>
  <c r="AQ8" i="5"/>
  <c r="AI8" i="5"/>
  <c r="AA8" i="5"/>
  <c r="W8" i="5"/>
  <c r="S8" i="5"/>
  <c r="O8" i="5"/>
  <c r="K8" i="5"/>
  <c r="CR8" i="5"/>
  <c r="BT8" i="5"/>
  <c r="AZ8" i="5"/>
  <c r="AN8" i="5"/>
  <c r="AB8" i="5"/>
  <c r="P8" i="5"/>
  <c r="CP8" i="5"/>
  <c r="CL8" i="5"/>
  <c r="CH8" i="5"/>
  <c r="CD8" i="5"/>
  <c r="BZ8" i="5"/>
  <c r="BV8" i="5"/>
  <c r="BR8" i="5"/>
  <c r="BJ8" i="5"/>
  <c r="BF8" i="5"/>
  <c r="BB8" i="5"/>
  <c r="AX8" i="5"/>
  <c r="AT8" i="5"/>
  <c r="AP8" i="5"/>
  <c r="AL8" i="5"/>
  <c r="AD8" i="5"/>
  <c r="Z8" i="5"/>
  <c r="V8" i="5"/>
  <c r="R8" i="5"/>
  <c r="N8" i="5"/>
  <c r="J8" i="5"/>
  <c r="F8" i="5"/>
  <c r="CB8" i="5"/>
  <c r="BP8" i="5"/>
  <c r="BD8" i="5"/>
  <c r="AR8" i="5"/>
  <c r="AJ8" i="5"/>
  <c r="T8" i="5"/>
  <c r="H8" i="5"/>
  <c r="CO8" i="5"/>
  <c r="CK8" i="5"/>
  <c r="CG8" i="5"/>
  <c r="CC8" i="5"/>
  <c r="BY8" i="5"/>
  <c r="BU8" i="5"/>
  <c r="BQ8" i="5"/>
  <c r="BI8" i="5"/>
  <c r="BE8" i="5"/>
  <c r="BA8" i="5"/>
  <c r="AW8" i="5"/>
  <c r="AS8" i="5"/>
  <c r="AO8" i="5"/>
  <c r="AK8" i="5"/>
  <c r="AC8" i="5"/>
  <c r="Y8" i="5"/>
  <c r="U8" i="5"/>
  <c r="Q8" i="5"/>
  <c r="M8" i="5"/>
  <c r="I8" i="5"/>
  <c r="CJ11" i="5"/>
  <c r="CB11" i="5"/>
  <c r="CM11" i="5"/>
  <c r="CI11" i="5"/>
  <c r="BG11" i="5"/>
  <c r="BC11" i="5"/>
  <c r="AA11" i="5"/>
  <c r="W11" i="5"/>
  <c r="BH11" i="5"/>
  <c r="AV11" i="5"/>
  <c r="BZ11" i="5"/>
  <c r="BV11" i="5"/>
  <c r="AT11" i="5"/>
  <c r="AP11" i="5"/>
  <c r="N11" i="5"/>
  <c r="J11" i="5"/>
  <c r="AR11" i="5"/>
  <c r="AF11" i="5"/>
  <c r="CC11" i="5"/>
  <c r="BY11" i="5"/>
  <c r="AW11" i="5"/>
  <c r="AS11" i="5"/>
  <c r="Q11" i="5"/>
  <c r="M11" i="5"/>
  <c r="CN14" i="5"/>
  <c r="CB14" i="5"/>
  <c r="BP14" i="5"/>
  <c r="BD14" i="5"/>
  <c r="AR14" i="5"/>
  <c r="AJ14" i="5"/>
  <c r="T14" i="5"/>
  <c r="L14" i="5"/>
  <c r="CQ14" i="5"/>
  <c r="CE14" i="5"/>
  <c r="BS14" i="5"/>
  <c r="BO14" i="5"/>
  <c r="BK14" i="5"/>
  <c r="BG14" i="5"/>
  <c r="BC14" i="5"/>
  <c r="AY14" i="5"/>
  <c r="AU14" i="5"/>
  <c r="AQ14" i="5"/>
  <c r="AM14" i="5"/>
  <c r="AI14" i="5"/>
  <c r="AE14" i="5"/>
  <c r="AA14" i="5"/>
  <c r="W14" i="5"/>
  <c r="S14" i="5"/>
  <c r="O14" i="5"/>
  <c r="K14" i="5"/>
  <c r="G14" i="5"/>
  <c r="CJ14" i="5"/>
  <c r="BX14" i="5"/>
  <c r="BL14" i="5"/>
  <c r="AZ14" i="5"/>
  <c r="AN14" i="5"/>
  <c r="AB14" i="5"/>
  <c r="P14" i="5"/>
  <c r="CI14" i="5"/>
  <c r="BW14" i="5"/>
  <c r="CP14" i="5"/>
  <c r="CL14" i="5"/>
  <c r="CH14" i="5"/>
  <c r="CD14" i="5"/>
  <c r="BZ14" i="5"/>
  <c r="BV14" i="5"/>
  <c r="BR14" i="5"/>
  <c r="BN14" i="5"/>
  <c r="BJ14" i="5"/>
  <c r="BF14" i="5"/>
  <c r="BB14" i="5"/>
  <c r="AX14" i="5"/>
  <c r="AT14" i="5"/>
  <c r="AP14" i="5"/>
  <c r="AL14" i="5"/>
  <c r="AH14" i="5"/>
  <c r="AD14" i="5"/>
  <c r="Z14" i="5"/>
  <c r="V14" i="5"/>
  <c r="R14" i="5"/>
  <c r="N14" i="5"/>
  <c r="J14" i="5"/>
  <c r="F14" i="5"/>
  <c r="CR14" i="5"/>
  <c r="CF14" i="5"/>
  <c r="BT14" i="5"/>
  <c r="BH14" i="5"/>
  <c r="AV14" i="5"/>
  <c r="AF14" i="5"/>
  <c r="X14" i="5"/>
  <c r="H14" i="5"/>
  <c r="CM14" i="5"/>
  <c r="CA14" i="5"/>
  <c r="CO14" i="5"/>
  <c r="CK14" i="5"/>
  <c r="CG14" i="5"/>
  <c r="CC14" i="5"/>
  <c r="BY14" i="5"/>
  <c r="BU14" i="5"/>
  <c r="BQ14" i="5"/>
  <c r="BM14" i="5"/>
  <c r="BI14" i="5"/>
  <c r="BE14" i="5"/>
  <c r="BA14" i="5"/>
  <c r="AW14" i="5"/>
  <c r="AS14" i="5"/>
  <c r="AO14" i="5"/>
  <c r="AK14" i="5"/>
  <c r="AG14" i="5"/>
  <c r="AC14" i="5"/>
  <c r="Y14" i="5"/>
  <c r="U14" i="5"/>
  <c r="Q14" i="5"/>
  <c r="M14" i="5"/>
  <c r="I14" i="5"/>
  <c r="B26" i="2"/>
  <c r="B19" i="2"/>
  <c r="B17" i="2"/>
  <c r="B16" i="2"/>
  <c r="B15" i="2"/>
  <c r="D5" i="8" a="1"/>
  <c r="D6" i="7" a="1"/>
  <c r="AK40" i="17" l="1"/>
  <c r="AH40" i="17"/>
  <c r="S31" i="17"/>
  <c r="AF40" i="17"/>
  <c r="AI40" i="17"/>
  <c r="I31" i="17"/>
  <c r="W40" i="17"/>
  <c r="L40" i="17"/>
  <c r="T19" i="17"/>
  <c r="Q40" i="17"/>
  <c r="N40" i="17"/>
  <c r="Z31" i="17"/>
  <c r="H40" i="17"/>
  <c r="S40" i="17"/>
  <c r="O40" i="17"/>
  <c r="U40" i="17"/>
  <c r="AD40" i="17"/>
  <c r="O31" i="17"/>
  <c r="X40" i="17"/>
  <c r="AA40" i="17"/>
  <c r="G40" i="17"/>
  <c r="H31" i="17"/>
  <c r="I4" i="10"/>
  <c r="BR4" i="10"/>
  <c r="BC4" i="10"/>
  <c r="CD4" i="10"/>
  <c r="H4" i="10"/>
  <c r="CB4" i="10"/>
  <c r="AS4" i="10"/>
  <c r="CA4" i="10"/>
  <c r="BZ4" i="10"/>
  <c r="BF4" i="10"/>
  <c r="AJ103" i="17"/>
  <c r="P103" i="17"/>
  <c r="S103" i="17"/>
  <c r="R103" i="17"/>
  <c r="U103" i="17"/>
  <c r="O103" i="17"/>
  <c r="N103" i="17"/>
  <c r="Q103" i="17"/>
  <c r="K103" i="17"/>
  <c r="J103" i="17"/>
  <c r="M103" i="17"/>
  <c r="H103" i="17"/>
  <c r="AA103" i="17"/>
  <c r="AK103" i="17"/>
  <c r="AB103" i="17"/>
  <c r="G103" i="17"/>
  <c r="AC103" i="17"/>
  <c r="L103" i="17"/>
  <c r="W103" i="17"/>
  <c r="AG103" i="17"/>
  <c r="AD103" i="17"/>
  <c r="I103" i="17"/>
  <c r="T49" i="17"/>
  <c r="U49" i="17"/>
  <c r="G49" i="17"/>
  <c r="AI103" i="17"/>
  <c r="AF85" i="17"/>
  <c r="AD85" i="17"/>
  <c r="N85" i="17"/>
  <c r="J85" i="17"/>
  <c r="P85" i="17"/>
  <c r="W85" i="17"/>
  <c r="V49" i="14"/>
  <c r="R19" i="14"/>
  <c r="AB49" i="14"/>
  <c r="L94" i="16"/>
  <c r="I94" i="17"/>
  <c r="AC36" i="9"/>
  <c r="K94" i="13"/>
  <c r="Z49" i="14"/>
  <c r="Y103" i="17"/>
  <c r="AC94" i="17"/>
  <c r="Q4" i="10"/>
  <c r="W4" i="10"/>
  <c r="S4" i="10"/>
  <c r="U4" i="10"/>
  <c r="BB4" i="10"/>
  <c r="BD4" i="10"/>
  <c r="BG4" i="10"/>
  <c r="BM4" i="10"/>
  <c r="BS4" i="10"/>
  <c r="BO4" i="10"/>
  <c r="BQ4" i="10"/>
  <c r="E76" i="11"/>
  <c r="H76" i="11"/>
  <c r="AF76" i="11"/>
  <c r="W76" i="11"/>
  <c r="V76" i="11"/>
  <c r="Y76" i="11"/>
  <c r="AJ76" i="11"/>
  <c r="S76" i="11"/>
  <c r="R76" i="11"/>
  <c r="U76" i="11"/>
  <c r="G76" i="11"/>
  <c r="F76" i="11"/>
  <c r="I76" i="11"/>
  <c r="AF31" i="15"/>
  <c r="AE31" i="15"/>
  <c r="I31" i="15"/>
  <c r="AB31" i="15"/>
  <c r="AA31" i="15"/>
  <c r="X31" i="15"/>
  <c r="K31" i="15"/>
  <c r="J31" i="15"/>
  <c r="G31" i="15"/>
  <c r="F31" i="15"/>
  <c r="AG31" i="15"/>
  <c r="M31" i="15"/>
  <c r="F103" i="17"/>
  <c r="S36" i="9"/>
  <c r="Z36" i="9"/>
  <c r="AA36" i="9"/>
  <c r="M36" i="9"/>
  <c r="R36" i="9"/>
  <c r="Q36" i="9"/>
  <c r="AF36" i="9"/>
  <c r="AI36" i="9"/>
  <c r="P19" i="14"/>
  <c r="H19" i="14"/>
  <c r="Y19" i="14"/>
  <c r="AE49" i="14"/>
  <c r="AC31" i="15"/>
  <c r="V103" i="17"/>
  <c r="AA103" i="16"/>
  <c r="Q103" i="16"/>
  <c r="X103" i="16"/>
  <c r="AF103" i="16"/>
  <c r="L103" i="16"/>
  <c r="M103" i="16"/>
  <c r="AH103" i="16"/>
  <c r="T103" i="16"/>
  <c r="H103" i="16"/>
  <c r="AD103" i="16"/>
  <c r="F103" i="16"/>
  <c r="J103" i="16"/>
  <c r="P103" i="16"/>
  <c r="AK31" i="15"/>
  <c r="O3" i="14"/>
  <c r="N103" i="16"/>
  <c r="Z103" i="17"/>
  <c r="E103" i="17"/>
  <c r="D7" i="8"/>
  <c r="AD7" i="8"/>
  <c r="S7" i="8"/>
  <c r="G7" i="8"/>
  <c r="X7" i="8"/>
  <c r="Z7" i="8"/>
  <c r="AC7" i="8"/>
  <c r="AG7" i="8"/>
  <c r="T7" i="8"/>
  <c r="N7" i="8"/>
  <c r="E7" i="8"/>
  <c r="I7" i="8"/>
  <c r="H7" i="8"/>
  <c r="Y31" i="11"/>
  <c r="AK31" i="11"/>
  <c r="V31" i="11"/>
  <c r="Q31" i="11"/>
  <c r="U31" i="11"/>
  <c r="AE31" i="11"/>
  <c r="R31" i="11"/>
  <c r="AJ31" i="11"/>
  <c r="X31" i="11"/>
  <c r="O31" i="11"/>
  <c r="E19" i="11"/>
  <c r="L19" i="11"/>
  <c r="K19" i="11"/>
  <c r="W19" i="11"/>
  <c r="F19" i="11"/>
  <c r="I19" i="11"/>
  <c r="AJ19" i="11"/>
  <c r="O19" i="11"/>
  <c r="AH19" i="11"/>
  <c r="AK19" i="11"/>
  <c r="AI19" i="11"/>
  <c r="X19" i="11"/>
  <c r="V19" i="11"/>
  <c r="Y19" i="11"/>
  <c r="Y67" i="12"/>
  <c r="AG67" i="12"/>
  <c r="I67" i="12"/>
  <c r="M67" i="12"/>
  <c r="AE67" i="12"/>
  <c r="W67" i="12"/>
  <c r="AK67" i="12"/>
  <c r="S19" i="15"/>
  <c r="AA19" i="15"/>
  <c r="N19" i="15"/>
  <c r="N94" i="17"/>
  <c r="T94" i="17"/>
  <c r="U94" i="17"/>
  <c r="X94" i="17"/>
  <c r="AJ94" i="17"/>
  <c r="Q94" i="17"/>
  <c r="Z94" i="17"/>
  <c r="AD94" i="17"/>
  <c r="M94" i="17"/>
  <c r="E94" i="17"/>
  <c r="AG94" i="17"/>
  <c r="G94" i="17"/>
  <c r="AK94" i="17"/>
  <c r="R94" i="17"/>
  <c r="AI94" i="17"/>
  <c r="W94" i="17"/>
  <c r="P94" i="17"/>
  <c r="Y94" i="17"/>
  <c r="F33" i="9"/>
  <c r="AH33" i="9"/>
  <c r="V33" i="9"/>
  <c r="M33" i="9"/>
  <c r="W33" i="9"/>
  <c r="E49" i="14"/>
  <c r="S49" i="14"/>
  <c r="R49" i="14"/>
  <c r="U49" i="14"/>
  <c r="AF49" i="14"/>
  <c r="O49" i="14"/>
  <c r="N49" i="14"/>
  <c r="Q49" i="14"/>
  <c r="P49" i="14"/>
  <c r="K49" i="14"/>
  <c r="J49" i="14"/>
  <c r="M49" i="14"/>
  <c r="AA49" i="14"/>
  <c r="AK49" i="14"/>
  <c r="H49" i="14"/>
  <c r="G49" i="14"/>
  <c r="AC49" i="14"/>
  <c r="X49" i="14"/>
  <c r="W49" i="14"/>
  <c r="AG49" i="14"/>
  <c r="AD49" i="14"/>
  <c r="I49" i="14"/>
  <c r="AA31" i="14"/>
  <c r="H31" i="14"/>
  <c r="P31" i="14"/>
  <c r="AH31" i="14"/>
  <c r="F31" i="14"/>
  <c r="AC31" i="14"/>
  <c r="S31" i="14"/>
  <c r="U31" i="14"/>
  <c r="AE94" i="16"/>
  <c r="M94" i="16"/>
  <c r="AA94" i="16"/>
  <c r="AD94" i="16"/>
  <c r="T94" i="16"/>
  <c r="O94" i="16"/>
  <c r="E94" i="16"/>
  <c r="V94" i="16"/>
  <c r="AI94" i="16"/>
  <c r="R94" i="16"/>
  <c r="AK94" i="16"/>
  <c r="N94" i="16"/>
  <c r="Z94" i="16"/>
  <c r="K94" i="16"/>
  <c r="AF94" i="16"/>
  <c r="AC94" i="16"/>
  <c r="K94" i="17"/>
  <c r="R94" i="13"/>
  <c r="AF94" i="13"/>
  <c r="AC94" i="13"/>
  <c r="N31" i="15"/>
  <c r="Z103" i="16"/>
  <c r="AH103" i="17"/>
  <c r="AI40" i="11"/>
  <c r="E40" i="11"/>
  <c r="Z40" i="11"/>
  <c r="R40" i="11"/>
  <c r="AA40" i="11"/>
  <c r="AC40" i="11"/>
  <c r="AJ3" i="15"/>
  <c r="Z3" i="15"/>
  <c r="M3" i="15"/>
  <c r="E3" i="15"/>
  <c r="AF3" i="15"/>
  <c r="V3" i="15"/>
  <c r="I3" i="15"/>
  <c r="X3" i="15"/>
  <c r="P3" i="15"/>
  <c r="N3" i="15"/>
  <c r="L3" i="15"/>
  <c r="AC3" i="15"/>
  <c r="W3" i="15"/>
  <c r="Q3" i="15"/>
  <c r="AA3" i="15"/>
  <c r="Y3" i="15"/>
  <c r="K3" i="15"/>
  <c r="AH94" i="17"/>
  <c r="E11" i="15"/>
  <c r="Y11" i="15"/>
  <c r="Q11" i="15"/>
  <c r="S11" i="15"/>
  <c r="Z11" i="15"/>
  <c r="M11" i="15"/>
  <c r="AG11" i="17"/>
  <c r="AI11" i="17"/>
  <c r="AA11" i="17"/>
  <c r="P4" i="7"/>
  <c r="H10" i="8"/>
  <c r="AG10" i="8"/>
  <c r="U10" i="8"/>
  <c r="N10" i="8"/>
  <c r="U58" i="12"/>
  <c r="R58" i="12"/>
  <c r="Y103" i="13"/>
  <c r="AH85" i="13"/>
  <c r="P85" i="13"/>
  <c r="W103" i="13"/>
  <c r="AI103" i="13"/>
  <c r="O103" i="13"/>
  <c r="AD76" i="15"/>
  <c r="N11" i="15"/>
  <c r="AJ11" i="15"/>
  <c r="AE11" i="15"/>
  <c r="H11" i="17"/>
  <c r="AD11" i="13"/>
  <c r="H11" i="13"/>
  <c r="G11" i="13"/>
  <c r="I11" i="13"/>
  <c r="Y11" i="13"/>
  <c r="AG11" i="13"/>
  <c r="AJ58" i="14"/>
  <c r="AF58" i="14"/>
  <c r="H58" i="14"/>
  <c r="R58" i="14"/>
  <c r="AK58" i="14"/>
  <c r="M58" i="14"/>
  <c r="N58" i="14"/>
  <c r="F58" i="14"/>
  <c r="G58" i="14"/>
  <c r="S58" i="14"/>
  <c r="J58" i="14"/>
  <c r="AI103" i="15"/>
  <c r="T103" i="15"/>
  <c r="AH103" i="15"/>
  <c r="M103" i="15"/>
  <c r="S103" i="15"/>
  <c r="L103" i="15"/>
  <c r="X103" i="15"/>
  <c r="R103" i="15"/>
  <c r="I103" i="15"/>
  <c r="P103" i="15"/>
  <c r="N103" i="15"/>
  <c r="O40" i="16"/>
  <c r="N40" i="16"/>
  <c r="J40" i="16"/>
  <c r="AK40" i="16"/>
  <c r="E31" i="16"/>
  <c r="W31" i="16"/>
  <c r="V31" i="16"/>
  <c r="Y31" i="16"/>
  <c r="S31" i="16"/>
  <c r="R31" i="16"/>
  <c r="U31" i="16"/>
  <c r="AJ31" i="16"/>
  <c r="O31" i="16"/>
  <c r="N31" i="16"/>
  <c r="Q31" i="16"/>
  <c r="E58" i="12"/>
  <c r="K58" i="12"/>
  <c r="Z103" i="13"/>
  <c r="T103" i="13"/>
  <c r="N103" i="13"/>
  <c r="R103" i="13"/>
  <c r="AF103" i="13"/>
  <c r="AE103" i="13"/>
  <c r="L103" i="13"/>
  <c r="AA103" i="13"/>
  <c r="G103" i="13"/>
  <c r="V103" i="13"/>
  <c r="F40" i="14"/>
  <c r="AA40" i="14"/>
  <c r="W40" i="14"/>
  <c r="O40" i="14"/>
  <c r="AB8" i="7"/>
  <c r="T10" i="8"/>
  <c r="AE10" i="8"/>
  <c r="O10" i="8"/>
  <c r="Z10" i="8"/>
  <c r="AG58" i="12"/>
  <c r="AD58" i="12"/>
  <c r="O58" i="12"/>
  <c r="P58" i="12"/>
  <c r="AK103" i="13"/>
  <c r="O85" i="13"/>
  <c r="P103" i="13"/>
  <c r="Z40" i="14"/>
  <c r="T58" i="12"/>
  <c r="H103" i="13"/>
  <c r="Q94" i="15"/>
  <c r="X11" i="15"/>
  <c r="K94" i="11"/>
  <c r="W94" i="11"/>
  <c r="L94" i="11"/>
  <c r="N11" i="14"/>
  <c r="G11" i="14"/>
  <c r="Y11" i="14"/>
  <c r="O11" i="14"/>
  <c r="T11" i="14"/>
  <c r="U11" i="14"/>
  <c r="AJ67" i="15"/>
  <c r="E67" i="15"/>
  <c r="AI67" i="15"/>
  <c r="J67" i="15"/>
  <c r="M67" i="15"/>
  <c r="H67" i="15"/>
  <c r="G67" i="15"/>
  <c r="T67" i="15"/>
  <c r="F67" i="15"/>
  <c r="I67" i="15"/>
  <c r="P67" i="15"/>
  <c r="O67" i="15"/>
  <c r="AH67" i="15"/>
  <c r="AK67" i="15"/>
  <c r="F85" i="16"/>
  <c r="Q85" i="16"/>
  <c r="S85" i="16"/>
  <c r="AF85" i="16"/>
  <c r="AH85" i="16"/>
  <c r="T85" i="16"/>
  <c r="M85" i="16"/>
  <c r="AA85" i="16"/>
  <c r="AD85" i="16"/>
  <c r="W85" i="16"/>
  <c r="H85" i="16"/>
  <c r="U85" i="16"/>
  <c r="Z85" i="16"/>
  <c r="AF76" i="15"/>
  <c r="F76" i="15"/>
  <c r="AK76" i="15"/>
  <c r="T76" i="15"/>
  <c r="AI76" i="15"/>
  <c r="Y76" i="15"/>
  <c r="S8" i="7"/>
  <c r="X10" i="8"/>
  <c r="E10" i="8"/>
  <c r="AA10" i="8"/>
  <c r="AD10" i="8"/>
  <c r="AK58" i="12"/>
  <c r="AH58" i="12"/>
  <c r="W58" i="12"/>
  <c r="X58" i="12"/>
  <c r="I103" i="13"/>
  <c r="AE85" i="13"/>
  <c r="AF40" i="14"/>
  <c r="E103" i="13"/>
  <c r="I11" i="15"/>
  <c r="M40" i="14"/>
  <c r="Q85" i="13"/>
  <c r="AF11" i="15"/>
  <c r="K11" i="15"/>
  <c r="S11" i="17"/>
  <c r="I40" i="14"/>
  <c r="X31" i="12"/>
  <c r="E31" i="12"/>
  <c r="E103" i="14"/>
  <c r="AB103" i="14"/>
  <c r="K103" i="14"/>
  <c r="J103" i="14"/>
  <c r="M103" i="14"/>
  <c r="L103" i="14"/>
  <c r="AJ103" i="14"/>
  <c r="G103" i="14"/>
  <c r="F103" i="14"/>
  <c r="I103" i="14"/>
  <c r="AF103" i="14"/>
  <c r="P103" i="14"/>
  <c r="T103" i="14"/>
  <c r="AI103" i="14"/>
  <c r="AH103" i="14"/>
  <c r="AK103" i="14"/>
  <c r="P94" i="14"/>
  <c r="AJ94" i="14"/>
  <c r="K94" i="14"/>
  <c r="M94" i="14"/>
  <c r="N94" i="14"/>
  <c r="AB94" i="14"/>
  <c r="G94" i="14"/>
  <c r="I94" i="14"/>
  <c r="L94" i="14"/>
  <c r="AI94" i="14"/>
  <c r="AK94" i="14"/>
  <c r="E58" i="17"/>
  <c r="O58" i="17"/>
  <c r="U58" i="17"/>
  <c r="AH58" i="17"/>
  <c r="Q58" i="17"/>
  <c r="AD58" i="17"/>
  <c r="M58" i="17"/>
  <c r="U31" i="9"/>
  <c r="E4" i="9"/>
  <c r="J19" i="17"/>
  <c r="T31" i="17"/>
  <c r="G19" i="17"/>
  <c r="AH85" i="15"/>
  <c r="AD85" i="15"/>
  <c r="N85" i="15"/>
  <c r="AB85" i="15"/>
  <c r="AK85" i="15"/>
  <c r="AC85" i="15"/>
  <c r="AG85" i="15"/>
  <c r="AE85" i="15"/>
  <c r="Q85" i="15"/>
  <c r="S85" i="15"/>
  <c r="H19" i="16"/>
  <c r="AJ19" i="16"/>
  <c r="U19" i="16"/>
  <c r="AA19" i="16"/>
  <c r="Z19" i="16"/>
  <c r="T19" i="16"/>
  <c r="AG19" i="16"/>
  <c r="M19" i="16"/>
  <c r="W19" i="16"/>
  <c r="V19" i="16"/>
  <c r="I19" i="16"/>
  <c r="K19" i="16"/>
  <c r="J19" i="16"/>
  <c r="F19" i="16"/>
  <c r="AF19" i="16"/>
  <c r="AK19" i="16"/>
  <c r="G19" i="16"/>
  <c r="P19" i="16"/>
  <c r="AC19" i="16"/>
  <c r="AH19" i="16"/>
  <c r="Y19" i="16"/>
  <c r="E19" i="16"/>
  <c r="AD19" i="16"/>
  <c r="N19" i="16"/>
  <c r="AE19" i="16"/>
  <c r="S19" i="16"/>
  <c r="P3" i="17"/>
  <c r="G3" i="17"/>
  <c r="R19" i="16"/>
  <c r="AJ85" i="15"/>
  <c r="AB19" i="14"/>
  <c r="L19" i="14"/>
  <c r="AJ19" i="14"/>
  <c r="K19" i="14"/>
  <c r="J19" i="14"/>
  <c r="M19" i="14"/>
  <c r="G19" i="14"/>
  <c r="F19" i="14"/>
  <c r="I19" i="14"/>
  <c r="AI19" i="14"/>
  <c r="AH19" i="14"/>
  <c r="AK19" i="14"/>
  <c r="E19" i="14"/>
  <c r="AF19" i="14"/>
  <c r="AA19" i="14"/>
  <c r="N19" i="14"/>
  <c r="W19" i="14"/>
  <c r="AG19" i="14"/>
  <c r="S19" i="14"/>
  <c r="AC19" i="14"/>
  <c r="AD19" i="14"/>
  <c r="U19" i="14"/>
  <c r="T19" i="14"/>
  <c r="X19" i="14"/>
  <c r="Z19" i="14"/>
  <c r="Q19" i="14"/>
  <c r="AA3" i="14"/>
  <c r="AI3" i="14"/>
  <c r="Z3" i="14"/>
  <c r="I3" i="14"/>
  <c r="R3" i="14"/>
  <c r="N3" i="14"/>
  <c r="AK3" i="14"/>
  <c r="E3" i="14"/>
  <c r="AG3" i="14"/>
  <c r="S3" i="14"/>
  <c r="Y3" i="14"/>
  <c r="W3" i="14"/>
  <c r="AD67" i="11"/>
  <c r="AC31" i="12"/>
  <c r="AA31" i="12"/>
  <c r="G40" i="12"/>
  <c r="O19" i="14"/>
  <c r="Y85" i="15"/>
  <c r="O19" i="16"/>
  <c r="L19" i="16"/>
  <c r="P40" i="12"/>
  <c r="S40" i="12"/>
  <c r="L76" i="13"/>
  <c r="AF76" i="13"/>
  <c r="AE76" i="13"/>
  <c r="AH76" i="13"/>
  <c r="AG76" i="13"/>
  <c r="O76" i="13"/>
  <c r="AD76" i="13"/>
  <c r="AC76" i="13"/>
  <c r="S76" i="13"/>
  <c r="G76" i="13"/>
  <c r="Z76" i="13"/>
  <c r="Y76" i="13"/>
  <c r="AI76" i="13"/>
  <c r="V76" i="13"/>
  <c r="N76" i="13"/>
  <c r="K76" i="13"/>
  <c r="R76" i="13"/>
  <c r="AK76" i="13"/>
  <c r="G85" i="15"/>
  <c r="AI19" i="16"/>
  <c r="AB19" i="16"/>
  <c r="AF31" i="12"/>
  <c r="L31" i="12"/>
  <c r="P31" i="12"/>
  <c r="AB31" i="12"/>
  <c r="W31" i="12"/>
  <c r="V31" i="12"/>
  <c r="Y31" i="12"/>
  <c r="N31" i="12"/>
  <c r="Q31" i="12"/>
  <c r="S31" i="12"/>
  <c r="R31" i="12"/>
  <c r="U31" i="12"/>
  <c r="O31" i="12"/>
  <c r="T31" i="12"/>
  <c r="G31" i="12"/>
  <c r="F31" i="12"/>
  <c r="I31" i="12"/>
  <c r="H31" i="12"/>
  <c r="H46" i="13"/>
  <c r="F46" i="13" a="1"/>
  <c r="Y67" i="11"/>
  <c r="AK31" i="12"/>
  <c r="AI31" i="12"/>
  <c r="M67" i="13"/>
  <c r="F3" i="14"/>
  <c r="Z67" i="13"/>
  <c r="O85" i="15"/>
  <c r="J31" i="12"/>
  <c r="M3" i="12"/>
  <c r="AH3" i="14"/>
  <c r="AK18" i="9"/>
  <c r="AS18" i="9"/>
  <c r="AM18" i="9"/>
  <c r="T18" i="9"/>
  <c r="E67" i="11"/>
  <c r="H67" i="11"/>
  <c r="AF67" i="11"/>
  <c r="P67" i="11"/>
  <c r="T67" i="11"/>
  <c r="L67" i="11"/>
  <c r="AJ67" i="11"/>
  <c r="G67" i="11"/>
  <c r="R67" i="11"/>
  <c r="U67" i="11"/>
  <c r="AA67" i="11"/>
  <c r="AB67" i="11"/>
  <c r="AI67" i="11"/>
  <c r="N67" i="11"/>
  <c r="Q67" i="11"/>
  <c r="J67" i="11"/>
  <c r="M67" i="11"/>
  <c r="K67" i="11"/>
  <c r="AH67" i="11"/>
  <c r="AK67" i="11"/>
  <c r="X40" i="12"/>
  <c r="AE40" i="12"/>
  <c r="N40" i="12"/>
  <c r="AJ40" i="12"/>
  <c r="AB40" i="12"/>
  <c r="T40" i="12"/>
  <c r="W40" i="12"/>
  <c r="AA40" i="12"/>
  <c r="R40" i="12"/>
  <c r="Z40" i="12"/>
  <c r="V40" i="12"/>
  <c r="Y40" i="12"/>
  <c r="Q40" i="12"/>
  <c r="J40" i="12"/>
  <c r="AD40" i="12"/>
  <c r="U40" i="12"/>
  <c r="K40" i="12"/>
  <c r="AF40" i="12"/>
  <c r="F40" i="12"/>
  <c r="AH40" i="12"/>
  <c r="I40" i="12"/>
  <c r="AI40" i="12"/>
  <c r="L40" i="12"/>
  <c r="X3" i="12"/>
  <c r="O3" i="12"/>
  <c r="AI3" i="12"/>
  <c r="Z3" i="12"/>
  <c r="AH3" i="12"/>
  <c r="W3" i="12"/>
  <c r="L3" i="12"/>
  <c r="S3" i="12"/>
  <c r="G3" i="12"/>
  <c r="AD3" i="12"/>
  <c r="V3" i="12"/>
  <c r="AJ3" i="12"/>
  <c r="P3" i="12"/>
  <c r="N3" i="12"/>
  <c r="K3" i="12"/>
  <c r="I3" i="12"/>
  <c r="J3" i="12"/>
  <c r="E3" i="12"/>
  <c r="AK3" i="12"/>
  <c r="H3" i="12"/>
  <c r="AG3" i="12"/>
  <c r="AB3" i="12"/>
  <c r="AF3" i="12"/>
  <c r="Y3" i="12"/>
  <c r="AE3" i="12"/>
  <c r="T67" i="13"/>
  <c r="AD67" i="13"/>
  <c r="AI67" i="13"/>
  <c r="AK67" i="13"/>
  <c r="V67" i="13"/>
  <c r="AE67" i="13"/>
  <c r="AG67" i="13"/>
  <c r="N67" i="13"/>
  <c r="AA67" i="13"/>
  <c r="AC67" i="13"/>
  <c r="O67" i="13"/>
  <c r="F67" i="13"/>
  <c r="K67" i="13"/>
  <c r="AF67" i="13"/>
  <c r="G67" i="13"/>
  <c r="R67" i="13"/>
  <c r="J67" i="13"/>
  <c r="P67" i="13"/>
  <c r="U67" i="13"/>
  <c r="AP18" i="9"/>
  <c r="BE18" i="9"/>
  <c r="Q18" i="9"/>
  <c r="AG67" i="11"/>
  <c r="O67" i="11"/>
  <c r="AC40" i="12"/>
  <c r="Z31" i="12"/>
  <c r="Q3" i="12"/>
  <c r="AA3" i="12"/>
  <c r="Y67" i="13"/>
  <c r="O40" i="12"/>
  <c r="J8" i="7"/>
  <c r="W8" i="7"/>
  <c r="L8" i="7"/>
  <c r="AC8" i="7"/>
  <c r="AG8" i="7"/>
  <c r="AE8" i="7"/>
  <c r="R35" i="9"/>
  <c r="W35" i="9"/>
  <c r="F35" i="9"/>
  <c r="AD35" i="9"/>
  <c r="Y35" i="9"/>
  <c r="AC35" i="9"/>
  <c r="AE35" i="9"/>
  <c r="J35" i="9"/>
  <c r="M35" i="9"/>
  <c r="AF103" i="12"/>
  <c r="P103" i="12"/>
  <c r="X103" i="12"/>
  <c r="T103" i="12"/>
  <c r="H103" i="12"/>
  <c r="T94" i="12"/>
  <c r="X94" i="12"/>
  <c r="E94" i="12"/>
  <c r="H94" i="12"/>
  <c r="L94" i="12"/>
  <c r="X19" i="12"/>
  <c r="H19" i="12"/>
  <c r="AE58" i="13"/>
  <c r="J58" i="13"/>
  <c r="AD58" i="13"/>
  <c r="L58" i="13"/>
  <c r="AA58" i="13"/>
  <c r="AK58" i="13"/>
  <c r="X58" i="13"/>
  <c r="G58" i="13"/>
  <c r="V58" i="13"/>
  <c r="AG58" i="13"/>
  <c r="S58" i="13"/>
  <c r="P58" i="13"/>
  <c r="AC58" i="13"/>
  <c r="L11" i="14"/>
  <c r="S11" i="14"/>
  <c r="F11" i="14"/>
  <c r="I11" i="14"/>
  <c r="AA11" i="14"/>
  <c r="AH11" i="14"/>
  <c r="AK11" i="14"/>
  <c r="E11" i="14"/>
  <c r="AI11" i="14"/>
  <c r="AD11" i="14"/>
  <c r="AG11" i="14"/>
  <c r="X76" i="15"/>
  <c r="AJ76" i="15"/>
  <c r="S76" i="15"/>
  <c r="R76" i="15"/>
  <c r="U76" i="15"/>
  <c r="L76" i="15"/>
  <c r="O76" i="15"/>
  <c r="N76" i="15"/>
  <c r="Q76" i="15"/>
  <c r="K76" i="15"/>
  <c r="J76" i="15"/>
  <c r="M76" i="15"/>
  <c r="E11" i="17"/>
  <c r="M11" i="17"/>
  <c r="V11" i="17"/>
  <c r="AJ11" i="17"/>
  <c r="O11" i="17"/>
  <c r="J11" i="17"/>
  <c r="R11" i="17"/>
  <c r="AB11" i="17"/>
  <c r="N11" i="17"/>
  <c r="K11" i="17"/>
  <c r="Z11" i="17"/>
  <c r="AH11" i="17"/>
  <c r="AD11" i="17"/>
  <c r="AE11" i="17"/>
  <c r="G11" i="17"/>
  <c r="F11" i="17"/>
  <c r="P11" i="17"/>
  <c r="L11" i="17"/>
  <c r="U11" i="17"/>
  <c r="Q11" i="17"/>
  <c r="I11" i="17"/>
  <c r="H4" i="8"/>
  <c r="AC4" i="9"/>
  <c r="AF4" i="9"/>
  <c r="AJ4" i="9"/>
  <c r="H4" i="9"/>
  <c r="Y40" i="11"/>
  <c r="V40" i="11"/>
  <c r="W40" i="11"/>
  <c r="P40" i="11"/>
  <c r="X40" i="11"/>
  <c r="U103" i="12"/>
  <c r="R103" i="12"/>
  <c r="S103" i="12"/>
  <c r="U94" i="12"/>
  <c r="R94" i="12"/>
  <c r="S94" i="12"/>
  <c r="U76" i="12"/>
  <c r="I19" i="12"/>
  <c r="F19" i="12"/>
  <c r="G19" i="12"/>
  <c r="V76" i="12"/>
  <c r="AH76" i="12"/>
  <c r="H76" i="12"/>
  <c r="AB103" i="12"/>
  <c r="M58" i="13"/>
  <c r="K58" i="13"/>
  <c r="W58" i="13"/>
  <c r="Q11" i="14"/>
  <c r="Z11" i="14"/>
  <c r="W11" i="14"/>
  <c r="Z76" i="15"/>
  <c r="I49" i="17"/>
  <c r="W11" i="17"/>
  <c r="AC11" i="17"/>
  <c r="Y11" i="12"/>
  <c r="AJ11" i="12"/>
  <c r="AJ3" i="13"/>
  <c r="AI3" i="13"/>
  <c r="V3" i="13"/>
  <c r="AK3" i="13"/>
  <c r="AE3" i="13"/>
  <c r="AC3" i="13"/>
  <c r="R3" i="13"/>
  <c r="AF3" i="13"/>
  <c r="AA3" i="13"/>
  <c r="Y3" i="13"/>
  <c r="X3" i="13"/>
  <c r="N3" i="13"/>
  <c r="AI76" i="14"/>
  <c r="L76" i="14"/>
  <c r="AJ76" i="14"/>
  <c r="AC76" i="14"/>
  <c r="P76" i="14"/>
  <c r="AA76" i="14"/>
  <c r="U76" i="14"/>
  <c r="S76" i="14"/>
  <c r="M76" i="14"/>
  <c r="F76" i="16"/>
  <c r="AC76" i="16"/>
  <c r="Y76" i="16"/>
  <c r="AE76" i="16"/>
  <c r="AD76" i="16"/>
  <c r="U76" i="16"/>
  <c r="Q76" i="16"/>
  <c r="AA76" i="16"/>
  <c r="Z76" i="16"/>
  <c r="AB76" i="16"/>
  <c r="X76" i="16"/>
  <c r="O76" i="16"/>
  <c r="N76" i="16"/>
  <c r="AJ76" i="16"/>
  <c r="S76" i="16"/>
  <c r="T76" i="16"/>
  <c r="K76" i="16"/>
  <c r="L76" i="16"/>
  <c r="G76" i="16"/>
  <c r="AB58" i="15"/>
  <c r="L58" i="15"/>
  <c r="O58" i="15"/>
  <c r="G58" i="15"/>
  <c r="P58" i="15"/>
  <c r="S58" i="15"/>
  <c r="E58" i="15"/>
  <c r="K58" i="15"/>
  <c r="AG58" i="15"/>
  <c r="T58" i="15"/>
  <c r="Y58" i="15"/>
  <c r="U58" i="15"/>
  <c r="AJ67" i="16"/>
  <c r="Z67" i="16"/>
  <c r="H67" i="16"/>
  <c r="AG67" i="16"/>
  <c r="N67" i="16"/>
  <c r="R49" i="17"/>
  <c r="AG49" i="17"/>
  <c r="K49" i="17"/>
  <c r="W49" i="17"/>
  <c r="AI49" i="17"/>
  <c r="H49" i="17"/>
  <c r="L4" i="9"/>
  <c r="AG40" i="11"/>
  <c r="AE40" i="11"/>
  <c r="AA103" i="12"/>
  <c r="L19" i="12"/>
  <c r="AB19" i="12"/>
  <c r="R58" i="15"/>
  <c r="AI58" i="15"/>
  <c r="AF58" i="15"/>
  <c r="AJ103" i="12"/>
  <c r="Q67" i="16"/>
  <c r="AD49" i="17"/>
  <c r="AB58" i="16"/>
  <c r="L58" i="16"/>
  <c r="G58" i="16"/>
  <c r="F58" i="16"/>
  <c r="I58" i="16"/>
  <c r="AF58" i="16"/>
  <c r="AI58" i="16"/>
  <c r="AH58" i="16"/>
  <c r="AK58" i="16"/>
  <c r="T58" i="16"/>
  <c r="H58" i="16"/>
  <c r="W58" i="16"/>
  <c r="V58" i="16"/>
  <c r="Y58" i="16"/>
  <c r="P58" i="16"/>
  <c r="X58" i="16"/>
  <c r="AD58" i="16"/>
  <c r="Q58" i="16"/>
  <c r="AJ58" i="16"/>
  <c r="Z58" i="16"/>
  <c r="M58" i="16"/>
  <c r="R58" i="16"/>
  <c r="M4" i="8"/>
  <c r="I4" i="9"/>
  <c r="F4" i="9"/>
  <c r="J4" i="9"/>
  <c r="R4" i="9"/>
  <c r="X4" i="9"/>
  <c r="AH58" i="11"/>
  <c r="AK40" i="11"/>
  <c r="AH40" i="11"/>
  <c r="X58" i="11"/>
  <c r="AG103" i="12"/>
  <c r="AD103" i="12"/>
  <c r="AE103" i="12"/>
  <c r="AG94" i="12"/>
  <c r="AD94" i="12"/>
  <c r="AE94" i="12"/>
  <c r="AG76" i="12"/>
  <c r="U19" i="12"/>
  <c r="R19" i="12"/>
  <c r="S19" i="12"/>
  <c r="AF94" i="12"/>
  <c r="Y58" i="13"/>
  <c r="AF19" i="12"/>
  <c r="T19" i="12"/>
  <c r="AC11" i="14"/>
  <c r="T58" i="13"/>
  <c r="P94" i="12"/>
  <c r="X11" i="14"/>
  <c r="AC76" i="15"/>
  <c r="G76" i="15"/>
  <c r="AD58" i="15"/>
  <c r="H76" i="15"/>
  <c r="AK67" i="16"/>
  <c r="S58" i="16"/>
  <c r="E58" i="16"/>
  <c r="AK11" i="17"/>
  <c r="B18" i="2"/>
  <c r="B14" i="2"/>
  <c r="V94" i="15"/>
  <c r="G94" i="15"/>
  <c r="AH94" i="15"/>
  <c r="L94" i="15"/>
  <c r="Z94" i="15"/>
  <c r="R94" i="15"/>
  <c r="E40" i="15"/>
  <c r="AB40" i="15"/>
  <c r="AI40" i="15"/>
  <c r="K40" i="15"/>
  <c r="U40" i="15"/>
  <c r="AA40" i="15"/>
  <c r="T40" i="15"/>
  <c r="AH40" i="15"/>
  <c r="I40" i="15"/>
  <c r="AD40" i="15"/>
  <c r="F44" i="15" a="1"/>
  <c r="I44" i="15" s="1"/>
  <c r="L40" i="11"/>
  <c r="AJ40" i="11"/>
  <c r="AB40" i="11"/>
  <c r="E76" i="12"/>
  <c r="X76" i="12"/>
  <c r="T76" i="12"/>
  <c r="W76" i="12"/>
  <c r="AJ76" i="12"/>
  <c r="S76" i="12"/>
  <c r="O76" i="12"/>
  <c r="R76" i="12"/>
  <c r="N76" i="12"/>
  <c r="J76" i="12"/>
  <c r="L76" i="12"/>
  <c r="AK4" i="9"/>
  <c r="S4" i="9"/>
  <c r="N58" i="11"/>
  <c r="AD40" i="11"/>
  <c r="W58" i="11"/>
  <c r="S58" i="11"/>
  <c r="AC103" i="12"/>
  <c r="Z103" i="12"/>
  <c r="AC94" i="12"/>
  <c r="Z94" i="12"/>
  <c r="AA94" i="12"/>
  <c r="AC76" i="12"/>
  <c r="Q19" i="12"/>
  <c r="N19" i="12"/>
  <c r="O19" i="12"/>
  <c r="AF76" i="12"/>
  <c r="Z76" i="12"/>
  <c r="AI76" i="12"/>
  <c r="AG4" i="8"/>
  <c r="M4" i="9"/>
  <c r="K4" i="9"/>
  <c r="O4" i="9"/>
  <c r="W4" i="9"/>
  <c r="I40" i="11"/>
  <c r="F40" i="11"/>
  <c r="G40" i="11"/>
  <c r="AK103" i="12"/>
  <c r="AH103" i="12"/>
  <c r="AI103" i="12"/>
  <c r="AK94" i="12"/>
  <c r="AH94" i="12"/>
  <c r="AI94" i="12"/>
  <c r="AK76" i="12"/>
  <c r="Y19" i="12"/>
  <c r="V19" i="12"/>
  <c r="W19" i="12"/>
  <c r="P19" i="12"/>
  <c r="H58" i="13"/>
  <c r="J11" i="14"/>
  <c r="AJ94" i="12"/>
  <c r="P11" i="14"/>
  <c r="AG76" i="15"/>
  <c r="W76" i="15"/>
  <c r="AH58" i="15"/>
  <c r="U58" i="16"/>
  <c r="AA58" i="16"/>
  <c r="AB76" i="15"/>
  <c r="AF49" i="17"/>
  <c r="AF11" i="17"/>
  <c r="I34" i="9"/>
  <c r="H34" i="9"/>
  <c r="R34" i="9"/>
  <c r="AG85" i="13"/>
  <c r="AK85" i="13"/>
  <c r="E85" i="13"/>
  <c r="F85" i="13"/>
  <c r="AB85" i="13"/>
  <c r="AA85" i="13"/>
  <c r="Z85" i="13"/>
  <c r="I85" i="13"/>
  <c r="X85" i="13"/>
  <c r="W85" i="13"/>
  <c r="V85" i="13"/>
  <c r="Y85" i="13"/>
  <c r="T85" i="13"/>
  <c r="S85" i="13"/>
  <c r="R85" i="13"/>
  <c r="AB40" i="14"/>
  <c r="J40" i="14"/>
  <c r="E40" i="14"/>
  <c r="AI40" i="14"/>
  <c r="W103" i="15"/>
  <c r="AA103" i="15"/>
  <c r="AB103" i="15"/>
  <c r="AF103" i="15"/>
  <c r="AE103" i="15"/>
  <c r="K103" i="15"/>
  <c r="H103" i="15"/>
  <c r="AD103" i="15"/>
  <c r="AG103" i="15"/>
  <c r="O103" i="15"/>
  <c r="Z103" i="15"/>
  <c r="AC103" i="15"/>
  <c r="G103" i="15"/>
  <c r="V103" i="15"/>
  <c r="Y103" i="15"/>
  <c r="E31" i="15"/>
  <c r="T31" i="15"/>
  <c r="R31" i="15"/>
  <c r="P31" i="15"/>
  <c r="AJ31" i="15"/>
  <c r="AH31" i="15"/>
  <c r="AI31" i="15"/>
  <c r="AD31" i="15"/>
  <c r="W31" i="15"/>
  <c r="Y31" i="15"/>
  <c r="Z31" i="15"/>
  <c r="S31" i="15"/>
  <c r="U31" i="15"/>
  <c r="V31" i="15"/>
  <c r="O31" i="15"/>
  <c r="Q31" i="15"/>
  <c r="AI19" i="15"/>
  <c r="AC19" i="15"/>
  <c r="AE19" i="15"/>
  <c r="U19" i="15"/>
  <c r="H19" i="15"/>
  <c r="AH19" i="15"/>
  <c r="J19" i="15"/>
  <c r="Q19" i="15"/>
  <c r="X19" i="15"/>
  <c r="AG42" i="12"/>
  <c r="Z31" i="13"/>
  <c r="L31" i="13"/>
  <c r="AB31" i="13"/>
  <c r="AJ67" i="14"/>
  <c r="H67" i="14"/>
  <c r="H3" i="15"/>
  <c r="AI3" i="15"/>
  <c r="AH3" i="15"/>
  <c r="AK3" i="15"/>
  <c r="AE3" i="15"/>
  <c r="AD3" i="15"/>
  <c r="AG3" i="15"/>
  <c r="T3" i="15"/>
  <c r="S3" i="15"/>
  <c r="R3" i="15"/>
  <c r="U3" i="15"/>
  <c r="E40" i="16"/>
  <c r="G40" i="16"/>
  <c r="AI40" i="16"/>
  <c r="AJ40" i="16"/>
  <c r="V40" i="16"/>
  <c r="Y40" i="16"/>
  <c r="AA40" i="16"/>
  <c r="AB40" i="16"/>
  <c r="R40" i="16"/>
  <c r="U40" i="16"/>
  <c r="P40" i="16"/>
  <c r="F40" i="16"/>
  <c r="I40" i="16"/>
  <c r="X3" i="16"/>
  <c r="E3" i="16"/>
  <c r="AA3" i="16"/>
  <c r="Z3" i="16"/>
  <c r="AC3" i="16"/>
  <c r="H3" i="16"/>
  <c r="W3" i="16"/>
  <c r="V3" i="16"/>
  <c r="Y3" i="16"/>
  <c r="K3" i="16"/>
  <c r="J3" i="16"/>
  <c r="M3" i="16"/>
  <c r="J76" i="17"/>
  <c r="AC76" i="17"/>
  <c r="X76" i="17"/>
  <c r="AD76" i="17"/>
  <c r="M76" i="17"/>
  <c r="F42" i="12" a="1"/>
  <c r="Q42" i="12" s="1"/>
  <c r="AJ11" i="13"/>
  <c r="T11" i="13"/>
  <c r="Y58" i="14"/>
  <c r="AE58" i="14"/>
  <c r="F46" i="14" a="1"/>
  <c r="H46" i="14" s="1"/>
  <c r="AB11" i="15"/>
  <c r="AI11" i="15"/>
  <c r="H11" i="15"/>
  <c r="AH11" i="15"/>
  <c r="AK11" i="15"/>
  <c r="T11" i="15"/>
  <c r="AA11" i="15"/>
  <c r="AD11" i="15"/>
  <c r="AG11" i="15"/>
  <c r="W11" i="15"/>
  <c r="R11" i="15"/>
  <c r="U11" i="15"/>
  <c r="S67" i="17"/>
  <c r="AG67" i="17"/>
  <c r="O67" i="17"/>
  <c r="AC67" i="17"/>
  <c r="AD67" i="17"/>
  <c r="F36" i="9"/>
  <c r="H36" i="9"/>
  <c r="T36" i="9"/>
  <c r="AJ36" i="9"/>
  <c r="I36" i="9"/>
  <c r="Y36" i="9"/>
  <c r="AK36" i="9"/>
  <c r="P36" i="9"/>
  <c r="AB36" i="9"/>
  <c r="AJ103" i="16"/>
  <c r="I103" i="16"/>
  <c r="AB103" i="16"/>
  <c r="V103" i="16"/>
  <c r="W103" i="16"/>
  <c r="AI103" i="16"/>
  <c r="R103" i="16"/>
  <c r="E103" i="16"/>
  <c r="G103" i="16"/>
  <c r="S103" i="16"/>
  <c r="AJ94" i="16"/>
  <c r="F94" i="16"/>
  <c r="X94" i="16"/>
  <c r="W94" i="16"/>
  <c r="Y94" i="16"/>
  <c r="AB94" i="16"/>
  <c r="P94" i="16"/>
  <c r="S94" i="16"/>
  <c r="U94" i="16"/>
  <c r="AH94" i="16"/>
  <c r="G94" i="16"/>
  <c r="I94" i="16"/>
  <c r="AD30" i="9"/>
  <c r="L58" i="17"/>
  <c r="AB19" i="17"/>
  <c r="E19" i="17"/>
  <c r="AG46" i="13"/>
  <c r="L46" i="14"/>
  <c r="J44" i="15"/>
  <c r="K44" i="15"/>
  <c r="L44" i="15"/>
  <c r="AG44" i="15"/>
  <c r="AD46" i="13"/>
  <c r="V44" i="15"/>
  <c r="W44" i="15"/>
  <c r="X44" i="15"/>
  <c r="AK44" i="15"/>
  <c r="M47" i="12"/>
  <c r="U47" i="14"/>
  <c r="Z44" i="15"/>
  <c r="AA44" i="15"/>
  <c r="AB44" i="15"/>
  <c r="AB3" i="11"/>
  <c r="E3" i="11"/>
  <c r="AI3" i="11"/>
  <c r="AH3" i="11"/>
  <c r="AK3" i="11"/>
  <c r="AA3" i="11"/>
  <c r="Z3" i="11"/>
  <c r="AC3" i="11"/>
  <c r="E49" i="13"/>
  <c r="AB49" i="13"/>
  <c r="AF49" i="13"/>
  <c r="AJ49" i="13"/>
  <c r="T49" i="13"/>
  <c r="K49" i="13"/>
  <c r="J49" i="13"/>
  <c r="M49" i="13"/>
  <c r="AA49" i="13"/>
  <c r="V49" i="13"/>
  <c r="U49" i="13"/>
  <c r="S49" i="13"/>
  <c r="N49" i="13"/>
  <c r="I49" i="13"/>
  <c r="B30" i="2"/>
  <c r="AT18" i="9"/>
  <c r="AY18" i="9"/>
  <c r="CC18" i="9"/>
  <c r="AW18" i="9"/>
  <c r="BY18" i="9"/>
  <c r="AG3" i="11"/>
  <c r="K3" i="11"/>
  <c r="X3" i="11"/>
  <c r="F49" i="13"/>
  <c r="AE49" i="13"/>
  <c r="F41" i="12" a="1"/>
  <c r="Q41" i="12" s="1"/>
  <c r="F44" i="12" a="1"/>
  <c r="S44" i="12" s="1"/>
  <c r="F94" i="13"/>
  <c r="AE94" i="13"/>
  <c r="M94" i="13"/>
  <c r="I94" i="13"/>
  <c r="Y94" i="13"/>
  <c r="AJ94" i="13"/>
  <c r="S94" i="13"/>
  <c r="P94" i="13"/>
  <c r="AI94" i="13"/>
  <c r="X94" i="13"/>
  <c r="H94" i="13"/>
  <c r="G94" i="13"/>
  <c r="E94" i="13"/>
  <c r="AH94" i="13"/>
  <c r="Z94" i="13"/>
  <c r="F3" i="17"/>
  <c r="AB3" i="17"/>
  <c r="H3" i="17"/>
  <c r="AE3" i="17"/>
  <c r="AG3" i="17"/>
  <c r="J3" i="17"/>
  <c r="AD3" i="17"/>
  <c r="AA3" i="17"/>
  <c r="AC3" i="17"/>
  <c r="R3" i="17"/>
  <c r="O3" i="17"/>
  <c r="Q3" i="17"/>
  <c r="L3" i="17"/>
  <c r="K3" i="17"/>
  <c r="N3" i="17"/>
  <c r="Z3" i="17"/>
  <c r="U3" i="17"/>
  <c r="T3" i="17"/>
  <c r="AI3" i="17"/>
  <c r="V3" i="17"/>
  <c r="W3" i="17"/>
  <c r="AH3" i="17"/>
  <c r="AK3" i="17"/>
  <c r="AJ3" i="17"/>
  <c r="M3" i="17"/>
  <c r="B27" i="2"/>
  <c r="BN18" i="9"/>
  <c r="BO18" i="9"/>
  <c r="BM18" i="9"/>
  <c r="CO18" i="9"/>
  <c r="F3" i="11"/>
  <c r="O3" i="11"/>
  <c r="J94" i="13"/>
  <c r="R49" i="13"/>
  <c r="AI49" i="13"/>
  <c r="U94" i="13"/>
  <c r="AG31" i="14"/>
  <c r="AI31" i="14"/>
  <c r="I3" i="17"/>
  <c r="P49" i="13"/>
  <c r="F5" i="5"/>
  <c r="AA5" i="5"/>
  <c r="AG5" i="5"/>
  <c r="BB5" i="5"/>
  <c r="F58" i="11"/>
  <c r="L58" i="11"/>
  <c r="Y58" i="11"/>
  <c r="E58" i="11"/>
  <c r="AD58" i="11"/>
  <c r="AI58" i="11"/>
  <c r="O58" i="11"/>
  <c r="AK58" i="11"/>
  <c r="V58" i="11"/>
  <c r="G67" i="12"/>
  <c r="Q67" i="12"/>
  <c r="AD67" i="12"/>
  <c r="AB67" i="12"/>
  <c r="V67" i="12"/>
  <c r="AJ67" i="12"/>
  <c r="F67" i="12"/>
  <c r="Z67" i="12"/>
  <c r="AI67" i="12"/>
  <c r="X67" i="12"/>
  <c r="H67" i="12"/>
  <c r="R67" i="12"/>
  <c r="P67" i="12"/>
  <c r="AA67" i="12"/>
  <c r="F44" i="17" a="1"/>
  <c r="V44" i="17" s="1"/>
  <c r="B31" i="2"/>
  <c r="CR5" i="5"/>
  <c r="BZ18" i="9"/>
  <c r="BS18" i="9"/>
  <c r="CK18" i="9"/>
  <c r="J3" i="11"/>
  <c r="S3" i="11"/>
  <c r="K58" i="11"/>
  <c r="G58" i="11"/>
  <c r="AC58" i="11"/>
  <c r="AD47" i="12"/>
  <c r="R11" i="12"/>
  <c r="AF11" i="12"/>
  <c r="L11" i="12"/>
  <c r="N94" i="13"/>
  <c r="Z49" i="13"/>
  <c r="AA94" i="13"/>
  <c r="AG76" i="14"/>
  <c r="O76" i="14"/>
  <c r="AK31" i="14"/>
  <c r="E76" i="14"/>
  <c r="AH85" i="17"/>
  <c r="Y3" i="17"/>
  <c r="F31" i="9"/>
  <c r="V31" i="9"/>
  <c r="AC31" i="9"/>
  <c r="J31" i="9"/>
  <c r="AD31" i="9"/>
  <c r="R31" i="9"/>
  <c r="AK31" i="9"/>
  <c r="T31" i="9"/>
  <c r="AI31" i="9"/>
  <c r="L31" i="9"/>
  <c r="F31" i="17"/>
  <c r="AC31" i="17"/>
  <c r="G31" i="17"/>
  <c r="L31" i="17"/>
  <c r="U31" i="17"/>
  <c r="AI31" i="17"/>
  <c r="AH31" i="17"/>
  <c r="AJ31" i="17"/>
  <c r="AF31" i="17"/>
  <c r="Y31" i="17"/>
  <c r="W31" i="17"/>
  <c r="V31" i="17"/>
  <c r="AB31" i="17"/>
  <c r="AK31" i="17"/>
  <c r="AG31" i="17"/>
  <c r="AE31" i="17"/>
  <c r="N31" i="17"/>
  <c r="P31" i="17"/>
  <c r="K31" i="17"/>
  <c r="M31" i="17"/>
  <c r="E31" i="17"/>
  <c r="AA31" i="17"/>
  <c r="R31" i="17"/>
  <c r="X31" i="17"/>
  <c r="AR18" i="9"/>
  <c r="F18" i="9"/>
  <c r="AZ18" i="9"/>
  <c r="BP18" i="9"/>
  <c r="AJ18" i="9"/>
  <c r="CJ18" i="9"/>
  <c r="AU18" i="9"/>
  <c r="BV18" i="9"/>
  <c r="J18" i="9"/>
  <c r="BA18" i="9"/>
  <c r="AV18" i="9"/>
  <c r="AI18" i="9"/>
  <c r="BJ18" i="9"/>
  <c r="CP18" i="9"/>
  <c r="X18" i="9"/>
  <c r="W3" i="11"/>
  <c r="AI47" i="12"/>
  <c r="Q49" i="13"/>
  <c r="L31" i="14"/>
  <c r="AE31" i="14"/>
  <c r="AF31" i="14"/>
  <c r="N31" i="14"/>
  <c r="Q31" i="14"/>
  <c r="T31" i="14"/>
  <c r="AB31" i="14"/>
  <c r="O31" i="14"/>
  <c r="X31" i="14"/>
  <c r="Z31" i="14"/>
  <c r="Y31" i="14"/>
  <c r="K31" i="14"/>
  <c r="R31" i="14"/>
  <c r="M31" i="14"/>
  <c r="G18" i="9"/>
  <c r="R3" i="11"/>
  <c r="V94" i="13"/>
  <c r="AH49" i="13"/>
  <c r="AK94" i="13"/>
  <c r="L94" i="13"/>
  <c r="P3" i="11"/>
  <c r="J31" i="14"/>
  <c r="L49" i="13"/>
  <c r="S3" i="17"/>
  <c r="F11" i="12"/>
  <c r="O11" i="12"/>
  <c r="Q11" i="12"/>
  <c r="E11" i="12"/>
  <c r="AC11" i="12"/>
  <c r="G11" i="12"/>
  <c r="AK11" i="12"/>
  <c r="AD11" i="12"/>
  <c r="AJ94" i="15"/>
  <c r="E94" i="15"/>
  <c r="O94" i="15"/>
  <c r="K94" i="15"/>
  <c r="AE94" i="15"/>
  <c r="AF94" i="15"/>
  <c r="J94" i="15"/>
  <c r="P94" i="15"/>
  <c r="AA94" i="15"/>
  <c r="AB94" i="15"/>
  <c r="H94" i="15"/>
  <c r="S94" i="15"/>
  <c r="N94" i="15"/>
  <c r="M94" i="15"/>
  <c r="X94" i="15"/>
  <c r="AG94" i="15"/>
  <c r="W94" i="15"/>
  <c r="AI94" i="15"/>
  <c r="AD94" i="15"/>
  <c r="Y94" i="15"/>
  <c r="S85" i="17"/>
  <c r="AI85" i="17"/>
  <c r="T85" i="17"/>
  <c r="L85" i="17"/>
  <c r="AJ85" i="17"/>
  <c r="O85" i="17"/>
  <c r="X85" i="17"/>
  <c r="AB85" i="17"/>
  <c r="H85" i="17"/>
  <c r="F85" i="17"/>
  <c r="I85" i="17"/>
  <c r="G85" i="17"/>
  <c r="V85" i="17"/>
  <c r="Y85" i="17"/>
  <c r="AE85" i="17"/>
  <c r="Z85" i="17"/>
  <c r="Q85" i="17"/>
  <c r="K85" i="17"/>
  <c r="R85" i="17"/>
  <c r="M85" i="17"/>
  <c r="AK85" i="17"/>
  <c r="AC85" i="17"/>
  <c r="AD18" i="9"/>
  <c r="O18" i="9"/>
  <c r="BD18" i="9"/>
  <c r="BH18" i="9"/>
  <c r="R58" i="11"/>
  <c r="Q3" i="11"/>
  <c r="V3" i="11"/>
  <c r="AA58" i="11"/>
  <c r="AE58" i="11"/>
  <c r="AB58" i="11"/>
  <c r="O67" i="12"/>
  <c r="AF47" i="12"/>
  <c r="AH11" i="12"/>
  <c r="AG11" i="12"/>
  <c r="M11" i="12"/>
  <c r="E67" i="12"/>
  <c r="AD94" i="13"/>
  <c r="AC49" i="13"/>
  <c r="G49" i="13"/>
  <c r="N67" i="12"/>
  <c r="Q94" i="13"/>
  <c r="AJ3" i="11"/>
  <c r="L67" i="12"/>
  <c r="N76" i="14"/>
  <c r="V31" i="14"/>
  <c r="X49" i="13"/>
  <c r="G31" i="14"/>
  <c r="U94" i="15"/>
  <c r="AJ31" i="14"/>
  <c r="U85" i="17"/>
  <c r="T94" i="15"/>
  <c r="E85" i="17"/>
  <c r="AF3" i="17"/>
  <c r="P19" i="13"/>
  <c r="H19" i="13"/>
  <c r="S19" i="13"/>
  <c r="R19" i="13"/>
  <c r="U19" i="13"/>
  <c r="E19" i="13"/>
  <c r="X19" i="13"/>
  <c r="AH19" i="13"/>
  <c r="AG19" i="13"/>
  <c r="T19" i="13"/>
  <c r="AF19" i="13"/>
  <c r="AE19" i="13"/>
  <c r="Z19" i="13"/>
  <c r="Y19" i="13"/>
  <c r="M67" i="14"/>
  <c r="T67" i="14"/>
  <c r="F67" i="14"/>
  <c r="AF67" i="14"/>
  <c r="AC67" i="14"/>
  <c r="X67" i="14"/>
  <c r="P67" i="14"/>
  <c r="L67" i="14"/>
  <c r="E67" i="14"/>
  <c r="K67" i="14"/>
  <c r="J67" i="14"/>
  <c r="G67" i="14"/>
  <c r="U67" i="14"/>
  <c r="Y67" i="14"/>
  <c r="AI67" i="14"/>
  <c r="AD67" i="14"/>
  <c r="E19" i="15"/>
  <c r="AF19" i="15"/>
  <c r="P19" i="15"/>
  <c r="AJ19" i="15"/>
  <c r="AB19" i="15"/>
  <c r="W19" i="15"/>
  <c r="V19" i="15"/>
  <c r="Y19" i="15"/>
  <c r="T19" i="15"/>
  <c r="G19" i="15"/>
  <c r="F19" i="15"/>
  <c r="I19" i="15"/>
  <c r="O19" i="15"/>
  <c r="AK19" i="15"/>
  <c r="K19" i="15"/>
  <c r="AG19" i="15"/>
  <c r="L19" i="15"/>
  <c r="AD19" i="15"/>
  <c r="M19" i="15"/>
  <c r="R19" i="15"/>
  <c r="F42" i="16" a="1"/>
  <c r="AC42" i="16" s="1"/>
  <c r="F42" i="17" a="1"/>
  <c r="J42" i="17" s="1"/>
  <c r="B28" i="2"/>
  <c r="CA18" i="9"/>
  <c r="CG18" i="9"/>
  <c r="I3" i="11"/>
  <c r="N3" i="11"/>
  <c r="AD49" i="13"/>
  <c r="L3" i="11"/>
  <c r="B32" i="2"/>
  <c r="N18" i="9"/>
  <c r="CE18" i="9"/>
  <c r="AF18" i="9"/>
  <c r="M3" i="11"/>
  <c r="AE3" i="11"/>
  <c r="H47" i="12"/>
  <c r="Y49" i="13"/>
  <c r="H49" i="13"/>
  <c r="W31" i="14"/>
  <c r="T3" i="11"/>
  <c r="X3" i="17"/>
  <c r="AF3" i="11"/>
  <c r="AF76" i="14"/>
  <c r="G76" i="14"/>
  <c r="F76" i="14"/>
  <c r="I76" i="14"/>
  <c r="T76" i="14"/>
  <c r="X76" i="14"/>
  <c r="AE76" i="14"/>
  <c r="Z76" i="14"/>
  <c r="Y76" i="14"/>
  <c r="AB76" i="14"/>
  <c r="W76" i="14"/>
  <c r="R76" i="14"/>
  <c r="Q76" i="14"/>
  <c r="CH5" i="5"/>
  <c r="BG5" i="5"/>
  <c r="AH18" i="9"/>
  <c r="S18" i="9"/>
  <c r="CR18" i="9"/>
  <c r="I18" i="9"/>
  <c r="AC18" i="9"/>
  <c r="BX18" i="9"/>
  <c r="Z58" i="11"/>
  <c r="U3" i="11"/>
  <c r="AD3" i="11"/>
  <c r="AF58" i="11"/>
  <c r="AJ58" i="11"/>
  <c r="AG58" i="11"/>
  <c r="H58" i="11"/>
  <c r="S67" i="12"/>
  <c r="Q47" i="12"/>
  <c r="K11" i="12"/>
  <c r="S11" i="12"/>
  <c r="J67" i="12"/>
  <c r="AG49" i="13"/>
  <c r="O49" i="13"/>
  <c r="W94" i="13"/>
  <c r="V76" i="14"/>
  <c r="I31" i="14"/>
  <c r="AD31" i="14"/>
  <c r="E31" i="14"/>
  <c r="AC94" i="15"/>
  <c r="AG85" i="17"/>
  <c r="E8" i="5"/>
  <c r="AV8" i="5"/>
  <c r="BS8" i="5"/>
  <c r="AM8" i="5"/>
  <c r="G8" i="5"/>
  <c r="CM8" i="5"/>
  <c r="BN8" i="5"/>
  <c r="AH8" i="5"/>
  <c r="CJ8" i="5"/>
  <c r="CQ8" i="5"/>
  <c r="BM8" i="5"/>
  <c r="AG8" i="5"/>
  <c r="X8" i="5"/>
  <c r="BK8" i="5"/>
  <c r="AE8" i="5"/>
  <c r="CF8" i="5"/>
  <c r="E85" i="11"/>
  <c r="AF85" i="11"/>
  <c r="AE85" i="11"/>
  <c r="Z85" i="11"/>
  <c r="AC85" i="11"/>
  <c r="AI85" i="11"/>
  <c r="P85" i="11"/>
  <c r="O85" i="11"/>
  <c r="R85" i="11"/>
  <c r="U85" i="11"/>
  <c r="F31" i="11"/>
  <c r="AC31" i="11"/>
  <c r="AI31" i="11"/>
  <c r="AH31" i="11"/>
  <c r="AG31" i="11"/>
  <c r="AF31" i="11"/>
  <c r="M31" i="11"/>
  <c r="AA31" i="11"/>
  <c r="Z31" i="11"/>
  <c r="T3" i="14"/>
  <c r="H3" i="14"/>
  <c r="G3" i="14"/>
  <c r="L3" i="14"/>
  <c r="K3" i="14"/>
  <c r="X3" i="14"/>
  <c r="AF3" i="14"/>
  <c r="J3" i="14"/>
  <c r="M3" i="14"/>
  <c r="AJ3" i="14"/>
  <c r="AE3" i="14"/>
  <c r="AD3" i="14"/>
  <c r="AC3" i="14"/>
  <c r="AB3" i="14"/>
  <c r="P3" i="14"/>
  <c r="V3" i="14"/>
  <c r="U3" i="14"/>
  <c r="E85" i="15"/>
  <c r="P85" i="15"/>
  <c r="T85" i="15"/>
  <c r="L85" i="15"/>
  <c r="X85" i="15"/>
  <c r="AF85" i="15"/>
  <c r="AA85" i="15"/>
  <c r="Z85" i="15"/>
  <c r="K85" i="15"/>
  <c r="J85" i="15"/>
  <c r="M85" i="15"/>
  <c r="H85" i="15"/>
  <c r="AI85" i="15"/>
  <c r="V85" i="15"/>
  <c r="U85" i="15"/>
  <c r="R85" i="15"/>
  <c r="I85" i="15"/>
  <c r="W85" i="15"/>
  <c r="F85" i="15"/>
  <c r="W58" i="15"/>
  <c r="AJ58" i="15"/>
  <c r="Z58" i="15"/>
  <c r="AC58" i="15"/>
  <c r="H58" i="15"/>
  <c r="AA58" i="15"/>
  <c r="J58" i="15"/>
  <c r="M58" i="15"/>
  <c r="AE58" i="15"/>
  <c r="N58" i="15"/>
  <c r="V58" i="15"/>
  <c r="I58" i="15"/>
  <c r="X58" i="15"/>
  <c r="F58" i="15"/>
  <c r="AB67" i="16"/>
  <c r="AE67" i="16"/>
  <c r="L67" i="16"/>
  <c r="G67" i="16"/>
  <c r="T67" i="16"/>
  <c r="W67" i="16"/>
  <c r="F67" i="16"/>
  <c r="I67" i="16"/>
  <c r="X67" i="16"/>
  <c r="S67" i="16"/>
  <c r="V67" i="16"/>
  <c r="Y67" i="16"/>
  <c r="O67" i="16"/>
  <c r="AF67" i="16"/>
  <c r="AI67" i="16"/>
  <c r="AH67" i="16"/>
  <c r="AC67" i="16"/>
  <c r="P67" i="16"/>
  <c r="AA67" i="16"/>
  <c r="AD67" i="16"/>
  <c r="U67" i="16"/>
  <c r="E67" i="16"/>
  <c r="R67" i="16"/>
  <c r="K67" i="16"/>
  <c r="J67" i="16"/>
  <c r="F46" i="16" a="1"/>
  <c r="I46" i="16" s="1"/>
  <c r="N40" i="14"/>
  <c r="AJ40" i="14"/>
  <c r="V40" i="14"/>
  <c r="G40" i="14"/>
  <c r="AC40" i="14"/>
  <c r="Q40" i="14"/>
  <c r="T40" i="14"/>
  <c r="AG40" i="14"/>
  <c r="L40" i="14"/>
  <c r="X40" i="14"/>
  <c r="R40" i="14"/>
  <c r="AD40" i="14"/>
  <c r="AH40" i="14"/>
  <c r="P40" i="14"/>
  <c r="S40" i="14"/>
  <c r="AE76" i="17"/>
  <c r="K76" i="17"/>
  <c r="AJ76" i="17"/>
  <c r="G76" i="17"/>
  <c r="AF76" i="17"/>
  <c r="AI76" i="17"/>
  <c r="H76" i="17"/>
  <c r="F76" i="17"/>
  <c r="I76" i="17"/>
  <c r="O76" i="17"/>
  <c r="V76" i="17"/>
  <c r="Y76" i="17"/>
  <c r="T76" i="17"/>
  <c r="AB76" i="17"/>
  <c r="S76" i="17"/>
  <c r="AK76" i="17"/>
  <c r="W76" i="17"/>
  <c r="L76" i="17"/>
  <c r="AG76" i="17"/>
  <c r="L49" i="17"/>
  <c r="S49" i="17"/>
  <c r="Z49" i="17"/>
  <c r="AC49" i="17"/>
  <c r="AJ49" i="17"/>
  <c r="AA49" i="17"/>
  <c r="V49" i="17"/>
  <c r="Y49" i="17"/>
  <c r="O49" i="17"/>
  <c r="P49" i="17"/>
  <c r="J49" i="17"/>
  <c r="M49" i="17"/>
  <c r="X49" i="17"/>
  <c r="F49" i="17"/>
  <c r="AE49" i="17"/>
  <c r="AB49" i="17"/>
  <c r="AH49" i="17"/>
  <c r="Q49" i="17"/>
  <c r="N49" i="17"/>
  <c r="E49" i="17"/>
  <c r="AK49" i="17"/>
  <c r="AJ40" i="15"/>
  <c r="H40" i="15"/>
  <c r="AF40" i="15"/>
  <c r="P40" i="15"/>
  <c r="S40" i="15"/>
  <c r="X40" i="15"/>
  <c r="L40" i="15"/>
  <c r="W40" i="15"/>
  <c r="Z40" i="15"/>
  <c r="AC40" i="15"/>
  <c r="J40" i="15"/>
  <c r="M40" i="15"/>
  <c r="O40" i="15"/>
  <c r="G40" i="15"/>
  <c r="V40" i="15"/>
  <c r="Q40" i="15"/>
  <c r="X67" i="17"/>
  <c r="AF67" i="17"/>
  <c r="AJ67" i="17"/>
  <c r="P67" i="17"/>
  <c r="T67" i="17"/>
  <c r="AB67" i="17"/>
  <c r="E67" i="17"/>
  <c r="G67" i="17"/>
  <c r="F67" i="17"/>
  <c r="I67" i="17"/>
  <c r="L67" i="17"/>
  <c r="H67" i="17"/>
  <c r="W67" i="17"/>
  <c r="V67" i="17"/>
  <c r="Y67" i="17"/>
  <c r="AI67" i="17"/>
  <c r="Z67" i="17"/>
  <c r="Q67" i="17"/>
  <c r="AE67" i="17"/>
  <c r="R67" i="17"/>
  <c r="M67" i="17"/>
  <c r="AG40" i="15"/>
  <c r="AE40" i="15"/>
  <c r="G30" i="9"/>
  <c r="L30" i="9"/>
  <c r="AK30" i="9"/>
  <c r="M30" i="9"/>
  <c r="V30" i="9"/>
  <c r="AC30" i="9"/>
  <c r="I30" i="9"/>
  <c r="N30" i="9"/>
  <c r="I32" i="9"/>
  <c r="M32" i="9"/>
  <c r="P32" i="9"/>
  <c r="AC32" i="9"/>
  <c r="H32" i="9"/>
  <c r="X32" i="9"/>
  <c r="AF32" i="9"/>
  <c r="AB76" i="13"/>
  <c r="P76" i="13"/>
  <c r="AA76" i="13"/>
  <c r="E76" i="13"/>
  <c r="AJ76" i="13"/>
  <c r="T76" i="13"/>
  <c r="X76" i="13"/>
  <c r="W76" i="13"/>
  <c r="J76" i="13"/>
  <c r="M76" i="13"/>
  <c r="F41" i="13" a="1"/>
  <c r="E31" i="13"/>
  <c r="AH31" i="13"/>
  <c r="J31" i="13"/>
  <c r="F31" i="13"/>
  <c r="T31" i="13"/>
  <c r="R31" i="13"/>
  <c r="AD31" i="13"/>
  <c r="AE31" i="13"/>
  <c r="AG31" i="13"/>
  <c r="I44" i="11"/>
  <c r="AI47" i="11"/>
  <c r="AJ58" i="12"/>
  <c r="S58" i="12"/>
  <c r="F45" i="12" a="1"/>
  <c r="N45" i="12" s="1"/>
  <c r="F3" i="13"/>
  <c r="AG3" i="13"/>
  <c r="L3" i="13"/>
  <c r="U3" i="13"/>
  <c r="AK45" i="14"/>
  <c r="X49" i="15"/>
  <c r="H49" i="15"/>
  <c r="AB49" i="15"/>
  <c r="AA49" i="15"/>
  <c r="Z49" i="15"/>
  <c r="AC49" i="15"/>
  <c r="E49" i="15"/>
  <c r="AJ49" i="15"/>
  <c r="K49" i="15"/>
  <c r="J49" i="15"/>
  <c r="M49" i="15"/>
  <c r="M46" i="15"/>
  <c r="K40" i="17"/>
  <c r="Z40" i="17"/>
  <c r="AC40" i="17"/>
  <c r="AE40" i="17"/>
  <c r="V40" i="17"/>
  <c r="Y40" i="17"/>
  <c r="T40" i="17"/>
  <c r="P40" i="17"/>
  <c r="J40" i="17"/>
  <c r="M40" i="17"/>
  <c r="AG40" i="17"/>
  <c r="E40" i="17"/>
  <c r="R40" i="17"/>
  <c r="F47" i="17" a="1"/>
  <c r="AB47" i="17" s="1"/>
  <c r="F43" i="16" a="1"/>
  <c r="AJ43" i="16" s="1"/>
  <c r="F42" i="11" a="1"/>
  <c r="U42" i="11" s="1"/>
  <c r="F44" i="13" a="1"/>
  <c r="AJ44" i="13" s="1"/>
  <c r="F43" i="14" a="1"/>
  <c r="AG43" i="14" s="1"/>
  <c r="K49" i="16"/>
  <c r="S49" i="16"/>
  <c r="AJ49" i="16"/>
  <c r="X49" i="16"/>
  <c r="O49" i="16"/>
  <c r="F49" i="16"/>
  <c r="I49" i="16"/>
  <c r="AA49" i="16"/>
  <c r="V49" i="16"/>
  <c r="Y49" i="16"/>
  <c r="K35" i="9"/>
  <c r="G35" i="9"/>
  <c r="U35" i="9"/>
  <c r="AG35" i="9"/>
  <c r="I35" i="9"/>
  <c r="V35" i="9"/>
  <c r="AH35" i="9"/>
  <c r="N35" i="9"/>
  <c r="Z35" i="9"/>
  <c r="F43" i="13" a="1"/>
  <c r="Q43" i="13" s="1"/>
  <c r="I43" i="15"/>
  <c r="K103" i="16"/>
  <c r="AK103" i="16"/>
  <c r="O103" i="16"/>
  <c r="Y103" i="16"/>
  <c r="AE103" i="16"/>
  <c r="F45" i="16" a="1"/>
  <c r="AJ45" i="16" s="1"/>
  <c r="AB31" i="16"/>
  <c r="P31" i="16"/>
  <c r="T31" i="16"/>
  <c r="S58" i="17"/>
  <c r="F43" i="17" a="1"/>
  <c r="F43" i="17" s="1"/>
  <c r="F43" i="11" a="1"/>
  <c r="N43" i="11" s="1"/>
  <c r="E67" i="13"/>
  <c r="AB67" i="13"/>
  <c r="L67" i="13"/>
  <c r="AH67" i="13"/>
  <c r="F44" i="14" a="1"/>
  <c r="AJ44" i="14" s="1"/>
  <c r="AF103" i="17"/>
  <c r="T103" i="17"/>
  <c r="X103" i="17"/>
  <c r="J94" i="17"/>
  <c r="AB94" i="17"/>
  <c r="O94" i="17"/>
  <c r="AA94" i="17"/>
  <c r="L94" i="17"/>
  <c r="AE94" i="17"/>
  <c r="H94" i="17"/>
  <c r="V94" i="17"/>
  <c r="S94" i="17"/>
  <c r="F94" i="17"/>
  <c r="AK35" i="9"/>
  <c r="O35" i="9"/>
  <c r="F46" i="12" a="1"/>
  <c r="AD46" i="12" s="1"/>
  <c r="AC45" i="13"/>
  <c r="F41" i="15" a="1"/>
  <c r="F41" i="15" s="1"/>
  <c r="Q47" i="15"/>
  <c r="U103" i="16"/>
  <c r="AG47" i="16"/>
  <c r="X58" i="17"/>
  <c r="K58" i="17"/>
  <c r="Z58" i="17"/>
  <c r="AC58" i="17"/>
  <c r="AA58" i="17"/>
  <c r="AE58" i="17"/>
  <c r="V58" i="17"/>
  <c r="Y58" i="17"/>
  <c r="H58" i="17"/>
  <c r="AJ58" i="17"/>
  <c r="G58" i="17"/>
  <c r="J58" i="17"/>
  <c r="AG33" i="9"/>
  <c r="X45" i="11"/>
  <c r="U47" i="12"/>
  <c r="K46" i="13"/>
  <c r="Q44" i="15"/>
  <c r="AJ85" i="16"/>
  <c r="L85" i="16"/>
  <c r="X45" i="17"/>
  <c r="AH36" i="9"/>
  <c r="X36" i="9"/>
  <c r="L36" i="9"/>
  <c r="U47" i="13"/>
  <c r="M45" i="15"/>
  <c r="Y85" i="16"/>
  <c r="O19" i="17"/>
  <c r="AG36" i="9"/>
  <c r="U36" i="9"/>
  <c r="K36" i="9"/>
  <c r="Q41" i="11"/>
  <c r="F46" i="11" a="1"/>
  <c r="X46" i="11" s="1"/>
  <c r="T43" i="12"/>
  <c r="J42" i="13"/>
  <c r="F47" i="13" a="1"/>
  <c r="AF47" i="13" s="1"/>
  <c r="W42" i="14"/>
  <c r="AG47" i="14"/>
  <c r="F41" i="16" a="1"/>
  <c r="M41" i="16" s="1"/>
  <c r="Q44" i="16"/>
  <c r="G41" i="17"/>
  <c r="N6" i="5"/>
  <c r="BA6" i="5"/>
  <c r="BW6" i="5"/>
  <c r="BM6" i="5"/>
  <c r="BZ6" i="5"/>
  <c r="CI6" i="5"/>
  <c r="BN6" i="5"/>
  <c r="W6" i="5"/>
  <c r="BJ6" i="5"/>
  <c r="O6" i="5"/>
  <c r="M6" i="5"/>
  <c r="BQ6" i="5"/>
  <c r="CN6" i="5"/>
  <c r="CH6" i="5"/>
  <c r="AA6" i="5"/>
  <c r="CF6" i="5"/>
  <c r="Q6" i="5"/>
  <c r="BB6" i="5"/>
  <c r="F6" i="5"/>
  <c r="AB6" i="5"/>
  <c r="BK6" i="5"/>
  <c r="E4" i="10"/>
  <c r="AH42" i="17"/>
  <c r="R42" i="17"/>
  <c r="AC42" i="17"/>
  <c r="F47" i="16"/>
  <c r="AI45" i="12"/>
  <c r="F47" i="17"/>
  <c r="AB43" i="15"/>
  <c r="R44" i="16"/>
  <c r="AH44" i="16"/>
  <c r="AO4" i="10"/>
  <c r="H44" i="11"/>
  <c r="AG45" i="12"/>
  <c r="P45" i="12"/>
  <c r="Q44" i="11"/>
  <c r="K45" i="12"/>
  <c r="P45" i="14"/>
  <c r="AH44" i="14"/>
  <c r="AA45" i="12"/>
  <c r="AB45" i="12"/>
  <c r="W45" i="14"/>
  <c r="U44" i="14"/>
  <c r="AB47" i="16"/>
  <c r="J44" i="17"/>
  <c r="I47" i="16"/>
  <c r="H45" i="14"/>
  <c r="Q47" i="13"/>
  <c r="AE45" i="14"/>
  <c r="L45" i="14"/>
  <c r="L44" i="17"/>
  <c r="U44" i="17"/>
  <c r="Y43" i="15"/>
  <c r="X43" i="15"/>
  <c r="Z41" i="11"/>
  <c r="R43" i="12"/>
  <c r="AE42" i="13"/>
  <c r="G44" i="16"/>
  <c r="U44" i="16"/>
  <c r="X43" i="12"/>
  <c r="T44" i="16"/>
  <c r="Y41" i="17"/>
  <c r="V42" i="13"/>
  <c r="AF43" i="12"/>
  <c r="AC41" i="17"/>
  <c r="AD41" i="17"/>
  <c r="AH41" i="17"/>
  <c r="F41" i="17"/>
  <c r="F41" i="11"/>
  <c r="AB47" i="14"/>
  <c r="AG41" i="17"/>
  <c r="AD41" i="11"/>
  <c r="V43" i="12"/>
  <c r="Q43" i="12"/>
  <c r="L42" i="13"/>
  <c r="S47" i="13"/>
  <c r="AD43" i="12"/>
  <c r="G42" i="16"/>
  <c r="P44" i="16"/>
  <c r="AA41" i="17"/>
  <c r="L44" i="11"/>
  <c r="AJ42" i="11"/>
  <c r="W43" i="12"/>
  <c r="F43" i="12"/>
  <c r="Y47" i="13"/>
  <c r="AJ44" i="16"/>
  <c r="M44" i="16"/>
  <c r="AD47" i="17"/>
  <c r="AE43" i="12"/>
  <c r="I43" i="12"/>
  <c r="AC47" i="13"/>
  <c r="Z45" i="15"/>
  <c r="AB41" i="16"/>
  <c r="AG47" i="17"/>
  <c r="S43" i="12"/>
  <c r="AE47" i="13"/>
  <c r="AB47" i="13"/>
  <c r="AE47" i="14"/>
  <c r="S46" i="15"/>
  <c r="N44" i="16"/>
  <c r="N41" i="17"/>
  <c r="J44" i="11"/>
  <c r="T44" i="11"/>
  <c r="S44" i="11"/>
  <c r="O44" i="11"/>
  <c r="AA44" i="11"/>
  <c r="J47" i="12"/>
  <c r="L47" i="12"/>
  <c r="AC47" i="12"/>
  <c r="Y46" i="16"/>
  <c r="N44" i="17"/>
  <c r="P44" i="17"/>
  <c r="U43" i="13"/>
  <c r="U43" i="15"/>
  <c r="X44" i="11"/>
  <c r="AB44" i="11"/>
  <c r="AD44" i="11"/>
  <c r="Z44" i="11"/>
  <c r="W44" i="11"/>
  <c r="AH47" i="12"/>
  <c r="AJ47" i="12"/>
  <c r="AH44" i="11"/>
  <c r="N41" i="16"/>
  <c r="Z44" i="17"/>
  <c r="AB44" i="17"/>
  <c r="Y44" i="11"/>
  <c r="AF44" i="11"/>
  <c r="AI44" i="11"/>
  <c r="AE44" i="11"/>
  <c r="AC44" i="11"/>
  <c r="G47" i="12"/>
  <c r="F47" i="12"/>
  <c r="AG43" i="15"/>
  <c r="T46" i="16"/>
  <c r="K44" i="17"/>
  <c r="P44" i="11"/>
  <c r="V44" i="11"/>
  <c r="AG44" i="11"/>
  <c r="AJ44" i="11"/>
  <c r="K44" i="11"/>
  <c r="AK44" i="11"/>
  <c r="R44" i="11"/>
  <c r="M44" i="11"/>
  <c r="K47" i="12"/>
  <c r="AK47" i="12"/>
  <c r="AK43" i="13"/>
  <c r="X46" i="16"/>
  <c r="U46" i="16"/>
  <c r="O44" i="17"/>
  <c r="N44" i="11"/>
  <c r="U44" i="11"/>
  <c r="G44" i="11"/>
  <c r="F44" i="11"/>
  <c r="AE47" i="12"/>
  <c r="Z47" i="16"/>
  <c r="I44" i="17"/>
  <c r="Z5" i="5"/>
  <c r="BT5" i="5"/>
  <c r="CK11" i="5"/>
  <c r="BB11" i="5"/>
  <c r="H11" i="5"/>
  <c r="AM5" i="5"/>
  <c r="AR5" i="5"/>
  <c r="U6" i="5"/>
  <c r="AJ6" i="5"/>
  <c r="CK5" i="5"/>
  <c r="AC11" i="5"/>
  <c r="BI11" i="5"/>
  <c r="CO11" i="5"/>
  <c r="BT11" i="5"/>
  <c r="Z11" i="5"/>
  <c r="BF11" i="5"/>
  <c r="CP11" i="5"/>
  <c r="G11" i="5"/>
  <c r="AM11" i="5"/>
  <c r="BS11" i="5"/>
  <c r="X11" i="5"/>
  <c r="AL5" i="5"/>
  <c r="BR5" i="5"/>
  <c r="K5" i="5"/>
  <c r="AQ5" i="5"/>
  <c r="BW5" i="5"/>
  <c r="P5" i="5"/>
  <c r="AV5" i="5"/>
  <c r="CB5" i="5"/>
  <c r="Q5" i="5"/>
  <c r="AW5" i="5"/>
  <c r="AG6" i="5"/>
  <c r="CC6" i="5"/>
  <c r="H6" i="5"/>
  <c r="V6" i="5"/>
  <c r="BH6" i="5"/>
  <c r="AQ6" i="5"/>
  <c r="CQ6" i="5"/>
  <c r="BY5" i="5"/>
  <c r="CC5" i="5"/>
  <c r="CG5" i="5"/>
  <c r="BQ5" i="5"/>
  <c r="U11" i="5"/>
  <c r="BA11" i="5"/>
  <c r="R11" i="5"/>
  <c r="CD11" i="5"/>
  <c r="AE11" i="5"/>
  <c r="AD5" i="5"/>
  <c r="CP5" i="5"/>
  <c r="H5" i="5"/>
  <c r="AO5" i="5"/>
  <c r="Y11" i="5"/>
  <c r="V11" i="5"/>
  <c r="AI11" i="5"/>
  <c r="AH5" i="5"/>
  <c r="BS5" i="5"/>
  <c r="M5" i="5"/>
  <c r="BY6" i="5"/>
  <c r="AE6" i="5"/>
  <c r="AG11" i="5"/>
  <c r="BM11" i="5"/>
  <c r="CL11" i="5"/>
  <c r="CF11" i="5"/>
  <c r="AD11" i="5"/>
  <c r="BJ11" i="5"/>
  <c r="P11" i="5"/>
  <c r="K11" i="5"/>
  <c r="AQ11" i="5"/>
  <c r="BW11" i="5"/>
  <c r="AJ11" i="5"/>
  <c r="J5" i="5"/>
  <c r="AP5" i="5"/>
  <c r="BV5" i="5"/>
  <c r="O5" i="5"/>
  <c r="AU5" i="5"/>
  <c r="CA5" i="5"/>
  <c r="T5" i="5"/>
  <c r="AZ5" i="5"/>
  <c r="CF5" i="5"/>
  <c r="U5" i="5"/>
  <c r="BA5" i="5"/>
  <c r="AK6" i="5"/>
  <c r="CG6" i="5"/>
  <c r="AF6" i="5"/>
  <c r="AP6" i="5"/>
  <c r="BX6" i="5"/>
  <c r="AU6" i="5"/>
  <c r="AN6" i="5"/>
  <c r="CO5" i="5"/>
  <c r="CG11" i="5"/>
  <c r="AX11" i="5"/>
  <c r="BX11" i="5"/>
  <c r="CQ11" i="5"/>
  <c r="BJ5" i="5"/>
  <c r="AI5" i="5"/>
  <c r="BO5" i="5"/>
  <c r="AN5" i="5"/>
  <c r="I5" i="5"/>
  <c r="BE11" i="5"/>
  <c r="CN11" i="5"/>
  <c r="BN5" i="5"/>
  <c r="BX5" i="5"/>
  <c r="R6" i="5"/>
  <c r="AK11" i="5"/>
  <c r="BQ11" i="5"/>
  <c r="L11" i="5"/>
  <c r="CR11" i="5"/>
  <c r="AH11" i="5"/>
  <c r="BN11" i="5"/>
  <c r="AB11" i="5"/>
  <c r="O11" i="5"/>
  <c r="AU11" i="5"/>
  <c r="CA11" i="5"/>
  <c r="AZ11" i="5"/>
  <c r="N5" i="5"/>
  <c r="AT5" i="5"/>
  <c r="BZ5" i="5"/>
  <c r="S5" i="5"/>
  <c r="AY5" i="5"/>
  <c r="CE5" i="5"/>
  <c r="X5" i="5"/>
  <c r="BD5" i="5"/>
  <c r="CJ5" i="5"/>
  <c r="Y5" i="5"/>
  <c r="BE5" i="5"/>
  <c r="AS6" i="5"/>
  <c r="AD6" i="5"/>
  <c r="AR6" i="5"/>
  <c r="AX6" i="5"/>
  <c r="CJ6" i="5"/>
  <c r="BC6" i="5"/>
  <c r="AV6" i="5"/>
  <c r="BF5" i="5"/>
  <c r="CL5" i="5"/>
  <c r="AE5" i="5"/>
  <c r="BK5" i="5"/>
  <c r="CQ5" i="5"/>
  <c r="AJ5" i="5"/>
  <c r="BP5" i="5"/>
  <c r="E5" i="5"/>
  <c r="AK5" i="5"/>
  <c r="BD11" i="5"/>
  <c r="BK11" i="5"/>
  <c r="BL11" i="5"/>
  <c r="CH11" i="5"/>
  <c r="BO11" i="5"/>
  <c r="G5" i="5"/>
  <c r="L5" i="5"/>
  <c r="AS5" i="5"/>
  <c r="CL6" i="5"/>
  <c r="CM6" i="5"/>
  <c r="I11" i="5"/>
  <c r="AO11" i="5"/>
  <c r="BU11" i="5"/>
  <c r="T11" i="5"/>
  <c r="F11" i="5"/>
  <c r="AL11" i="5"/>
  <c r="BR11" i="5"/>
  <c r="AN11" i="5"/>
  <c r="S11" i="5"/>
  <c r="AY11" i="5"/>
  <c r="CE11" i="5"/>
  <c r="R5" i="5"/>
  <c r="AX5" i="5"/>
  <c r="CD5" i="5"/>
  <c r="W5" i="5"/>
  <c r="BC5" i="5"/>
  <c r="CI5" i="5"/>
  <c r="AB5" i="5"/>
  <c r="BH5" i="5"/>
  <c r="CN5" i="5"/>
  <c r="AC5" i="5"/>
  <c r="BI5" i="5"/>
  <c r="AW6" i="5"/>
  <c r="AL6" i="5"/>
  <c r="BD6" i="5"/>
  <c r="BR6" i="5"/>
  <c r="K6" i="5"/>
  <c r="BG6" i="5"/>
  <c r="BT6" i="5"/>
  <c r="BU5" i="5"/>
  <c r="Z33" i="9"/>
  <c r="AE34" i="9"/>
  <c r="AE32" i="9"/>
  <c r="W32" i="9"/>
  <c r="O32" i="9"/>
  <c r="G32" i="9"/>
  <c r="AF33" i="9"/>
  <c r="U33" i="9"/>
  <c r="L33" i="9"/>
  <c r="AB34" i="9"/>
  <c r="Q34" i="9"/>
  <c r="F34" i="9"/>
  <c r="AD33" i="9"/>
  <c r="AI34" i="9"/>
  <c r="AL18" i="9"/>
  <c r="BR18" i="9"/>
  <c r="K18" i="9"/>
  <c r="AQ18" i="9"/>
  <c r="BW18" i="9"/>
  <c r="AN18" i="9"/>
  <c r="BU18" i="9"/>
  <c r="BI18" i="9"/>
  <c r="BQ18" i="9"/>
  <c r="CN18" i="9"/>
  <c r="Y30" i="9"/>
  <c r="J30" i="9"/>
  <c r="AJ31" i="9"/>
  <c r="AB31" i="9"/>
  <c r="S31" i="9"/>
  <c r="K31" i="9"/>
  <c r="AD32" i="9"/>
  <c r="V32" i="9"/>
  <c r="N32" i="9"/>
  <c r="F32" i="9"/>
  <c r="AE33" i="9"/>
  <c r="T33" i="9"/>
  <c r="K33" i="9"/>
  <c r="AK34" i="9"/>
  <c r="Z34" i="9"/>
  <c r="P34" i="9"/>
  <c r="G34" i="9"/>
  <c r="AF35" i="9"/>
  <c r="X35" i="9"/>
  <c r="P35" i="9"/>
  <c r="H35" i="9"/>
  <c r="O34" i="9"/>
  <c r="R18" i="9"/>
  <c r="AX18" i="9"/>
  <c r="CD18" i="9"/>
  <c r="W18" i="9"/>
  <c r="BC18" i="9"/>
  <c r="CI18" i="9"/>
  <c r="BL18" i="9"/>
  <c r="Y18" i="9"/>
  <c r="L18" i="9"/>
  <c r="CF18" i="9"/>
  <c r="AH30" i="9"/>
  <c r="R30" i="9"/>
  <c r="F30" i="9"/>
  <c r="AG31" i="9"/>
  <c r="Y31" i="9"/>
  <c r="P31" i="9"/>
  <c r="H31" i="9"/>
  <c r="AI32" i="9"/>
  <c r="AA32" i="9"/>
  <c r="S32" i="9"/>
  <c r="K32" i="9"/>
  <c r="AK33" i="9"/>
  <c r="AA33" i="9"/>
  <c r="P33" i="9"/>
  <c r="H33" i="9"/>
  <c r="AG34" i="9"/>
  <c r="V34" i="9"/>
  <c r="L34" i="9"/>
  <c r="AE36" i="9"/>
  <c r="W36" i="9"/>
  <c r="O36" i="9"/>
  <c r="G36" i="9"/>
  <c r="AK32" i="9"/>
  <c r="K34" i="9"/>
  <c r="Q33" i="9"/>
  <c r="AH34" i="9"/>
  <c r="S34" i="9"/>
  <c r="V18" i="9"/>
  <c r="BB18" i="9"/>
  <c r="CH18" i="9"/>
  <c r="AA18" i="9"/>
  <c r="BG18" i="9"/>
  <c r="CM18" i="9"/>
  <c r="H18" i="9"/>
  <c r="BT18" i="9"/>
  <c r="AG18" i="9"/>
  <c r="E18" i="9"/>
  <c r="AB18" i="9"/>
  <c r="AG30" i="9"/>
  <c r="Q30" i="9"/>
  <c r="AF31" i="9"/>
  <c r="X31" i="9"/>
  <c r="O31" i="9"/>
  <c r="G31" i="9"/>
  <c r="AH32" i="9"/>
  <c r="Z32" i="9"/>
  <c r="R32" i="9"/>
  <c r="J32" i="9"/>
  <c r="AJ33" i="9"/>
  <c r="Y33" i="9"/>
  <c r="O33" i="9"/>
  <c r="G33" i="9"/>
  <c r="AF34" i="9"/>
  <c r="U34" i="9"/>
  <c r="J34" i="9"/>
  <c r="AJ35" i="9"/>
  <c r="AB35" i="9"/>
  <c r="T35" i="9"/>
  <c r="L35" i="9"/>
  <c r="AD36" i="9"/>
  <c r="V36" i="9"/>
  <c r="N36" i="9"/>
  <c r="AC33" i="9"/>
  <c r="S33" i="9"/>
  <c r="J33" i="9"/>
  <c r="AJ34" i="9"/>
  <c r="Y34" i="9"/>
  <c r="N34" i="9"/>
  <c r="AH31" i="9"/>
  <c r="Z31" i="9"/>
  <c r="Q31" i="9"/>
  <c r="I31" i="9"/>
  <c r="AJ32" i="9"/>
  <c r="AB32" i="9"/>
  <c r="T32" i="9"/>
  <c r="L32" i="9"/>
  <c r="AB33" i="9"/>
  <c r="I33" i="9"/>
  <c r="X34" i="9"/>
  <c r="M34" i="9"/>
  <c r="R33" i="9"/>
  <c r="W34" i="9"/>
  <c r="Z18" i="9"/>
  <c r="BF18" i="9"/>
  <c r="CL18" i="9"/>
  <c r="AE18" i="9"/>
  <c r="BK18" i="9"/>
  <c r="CQ18" i="9"/>
  <c r="P18" i="9"/>
  <c r="CB18" i="9"/>
  <c r="AO18" i="9"/>
  <c r="M18" i="9"/>
  <c r="U18" i="9"/>
  <c r="AE31" i="9"/>
  <c r="W31" i="9"/>
  <c r="N31" i="9"/>
  <c r="AG32" i="9"/>
  <c r="Y32" i="9"/>
  <c r="Q32" i="9"/>
  <c r="AI33" i="9"/>
  <c r="X33" i="9"/>
  <c r="N33" i="9"/>
  <c r="AD34" i="9"/>
  <c r="T34" i="9"/>
  <c r="AI35" i="9"/>
  <c r="AA35" i="9"/>
  <c r="S35" i="9"/>
  <c r="L4" i="8"/>
  <c r="E4" i="8"/>
  <c r="W4" i="8"/>
  <c r="AH4" i="8"/>
  <c r="P4" i="8"/>
  <c r="I4" i="8"/>
  <c r="F4" i="8"/>
  <c r="AA4" i="8"/>
  <c r="X4" i="8"/>
  <c r="N4" i="8"/>
  <c r="AB4" i="8"/>
  <c r="U4" i="8"/>
  <c r="R4" i="8"/>
  <c r="S4" i="8"/>
  <c r="AF4" i="8"/>
  <c r="Y4" i="8"/>
  <c r="V4" i="8"/>
  <c r="G4" i="8"/>
  <c r="Q4" i="8"/>
  <c r="AJ4" i="8"/>
  <c r="AC4" i="8"/>
  <c r="Z4" i="8"/>
  <c r="K4" i="8"/>
  <c r="AA4" i="7"/>
  <c r="T4" i="7"/>
  <c r="AB4" i="7"/>
  <c r="AG4" i="7"/>
  <c r="Q4" i="7"/>
  <c r="AE4" i="7"/>
  <c r="AJ4" i="7"/>
  <c r="J4" i="7"/>
  <c r="W4" i="7"/>
  <c r="V4" i="7"/>
  <c r="AI4" i="7"/>
  <c r="Z4" i="7"/>
  <c r="I4" i="7"/>
  <c r="AH4" i="7"/>
  <c r="H12" i="7"/>
  <c r="I12" i="7"/>
  <c r="S12" i="7"/>
  <c r="N12" i="7"/>
  <c r="X4" i="7"/>
  <c r="E4" i="7"/>
  <c r="O4" i="7"/>
  <c r="AD4" i="7"/>
  <c r="D12" i="7"/>
  <c r="D4" i="7"/>
  <c r="P12" i="7"/>
  <c r="Q12" i="7"/>
  <c r="AI12" i="7"/>
  <c r="V12" i="7"/>
  <c r="AF4" i="7"/>
  <c r="M4" i="7"/>
  <c r="F4" i="7"/>
  <c r="K4" i="7"/>
  <c r="X12" i="7"/>
  <c r="Y12" i="7"/>
  <c r="O12" i="7"/>
  <c r="AD12" i="7"/>
  <c r="H4" i="7"/>
  <c r="G4" i="7"/>
  <c r="U4" i="7"/>
  <c r="N4" i="7"/>
  <c r="D8" i="7"/>
  <c r="AB12" i="7"/>
  <c r="AC12" i="7"/>
  <c r="W12" i="7"/>
  <c r="L4" i="7"/>
  <c r="S4" i="7"/>
  <c r="Y4" i="7"/>
  <c r="G21" i="7"/>
  <c r="G14" i="7" s="1"/>
  <c r="T8" i="7"/>
  <c r="E8" i="7"/>
  <c r="Z8" i="7"/>
  <c r="V8" i="7"/>
  <c r="X8" i="7"/>
  <c r="I8" i="7"/>
  <c r="K8" i="7"/>
  <c r="AD8" i="7"/>
  <c r="AF8" i="7"/>
  <c r="Q8" i="7"/>
  <c r="AI8" i="7"/>
  <c r="O8" i="7"/>
  <c r="AJ8" i="7"/>
  <c r="U8" i="7"/>
  <c r="F8" i="7"/>
  <c r="AA8" i="7"/>
  <c r="H8" i="7"/>
  <c r="G8" i="7"/>
  <c r="Y8" i="7"/>
  <c r="N45" i="11"/>
  <c r="O45" i="11"/>
  <c r="Y47" i="11"/>
  <c r="Y45" i="13"/>
  <c r="AE45" i="15"/>
  <c r="L47" i="15"/>
  <c r="AA46" i="16"/>
  <c r="AE45" i="11"/>
  <c r="AI45" i="15"/>
  <c r="F41" i="16"/>
  <c r="X47" i="11"/>
  <c r="N47" i="12"/>
  <c r="O47" i="12"/>
  <c r="P47" i="12"/>
  <c r="AG47" i="12"/>
  <c r="AG46" i="12"/>
  <c r="J43" i="13"/>
  <c r="K45" i="13"/>
  <c r="J43" i="14"/>
  <c r="R45" i="14"/>
  <c r="AK43" i="14"/>
  <c r="V43" i="15"/>
  <c r="AB45" i="15"/>
  <c r="F47" i="15"/>
  <c r="O44" i="16"/>
  <c r="AI46" i="16"/>
  <c r="AK44" i="16"/>
  <c r="AC44" i="16"/>
  <c r="L41" i="17"/>
  <c r="AH45" i="17"/>
  <c r="H41" i="17"/>
  <c r="AK45" i="13"/>
  <c r="AE43" i="16"/>
  <c r="T47" i="11"/>
  <c r="J45" i="13"/>
  <c r="T47" i="15"/>
  <c r="V41" i="16"/>
  <c r="AD46" i="16"/>
  <c r="AK47" i="11"/>
  <c r="R47" i="12"/>
  <c r="S47" i="12"/>
  <c r="T47" i="12"/>
  <c r="AE45" i="13"/>
  <c r="N43" i="14"/>
  <c r="V45" i="14"/>
  <c r="I45" i="14"/>
  <c r="Z43" i="15"/>
  <c r="AK47" i="15"/>
  <c r="S44" i="16"/>
  <c r="Y41" i="16"/>
  <c r="Q41" i="16"/>
  <c r="P41" i="17"/>
  <c r="J41" i="17"/>
  <c r="K47" i="15"/>
  <c r="V47" i="12"/>
  <c r="W47" i="12"/>
  <c r="X47" i="12"/>
  <c r="I47" i="12"/>
  <c r="R43" i="13"/>
  <c r="S43" i="13"/>
  <c r="AD45" i="14"/>
  <c r="T45" i="14"/>
  <c r="S43" i="15"/>
  <c r="J47" i="15"/>
  <c r="AG47" i="15"/>
  <c r="AH41" i="16"/>
  <c r="AI41" i="16"/>
  <c r="AI44" i="16"/>
  <c r="L46" i="16"/>
  <c r="I44" i="16"/>
  <c r="M46" i="16"/>
  <c r="AF41" i="17"/>
  <c r="M41" i="17"/>
  <c r="AE41" i="17"/>
  <c r="Z47" i="12"/>
  <c r="AA47" i="12"/>
  <c r="AB47" i="12"/>
  <c r="Y47" i="12"/>
  <c r="S45" i="14"/>
  <c r="W43" i="15"/>
  <c r="R47" i="15"/>
  <c r="I47" i="15"/>
  <c r="AH43" i="16"/>
  <c r="H44" i="16"/>
  <c r="P46" i="16"/>
  <c r="Y44" i="16"/>
  <c r="Q46" i="16"/>
  <c r="AC46" i="16"/>
  <c r="AJ41" i="17"/>
  <c r="R41" i="17"/>
  <c r="I41" i="17"/>
  <c r="AK41" i="17"/>
  <c r="M47" i="11"/>
  <c r="U47" i="15"/>
  <c r="H42" i="14"/>
  <c r="G42" i="14"/>
  <c r="Z42" i="14"/>
  <c r="AK42" i="14"/>
  <c r="Y42" i="14"/>
  <c r="AJ42" i="14"/>
  <c r="AI42" i="14"/>
  <c r="AH42" i="14"/>
  <c r="U42" i="14"/>
  <c r="AF42" i="14"/>
  <c r="AE42" i="14"/>
  <c r="AD42" i="14"/>
  <c r="F42" i="14"/>
  <c r="AB42" i="14"/>
  <c r="AA42" i="14"/>
  <c r="I42" i="14"/>
  <c r="AG42" i="14"/>
  <c r="T42" i="14"/>
  <c r="S42" i="14"/>
  <c r="R42" i="14"/>
  <c r="Q42" i="14"/>
  <c r="P42" i="14"/>
  <c r="O42" i="14"/>
  <c r="N42" i="14"/>
  <c r="M45" i="17"/>
  <c r="Y45" i="17"/>
  <c r="U45" i="17"/>
  <c r="T45" i="17"/>
  <c r="S45" i="17"/>
  <c r="R45" i="17"/>
  <c r="Q45" i="17"/>
  <c r="G45" i="17"/>
  <c r="I45" i="17"/>
  <c r="F45" i="17"/>
  <c r="P45" i="17"/>
  <c r="O45" i="17"/>
  <c r="N45" i="17"/>
  <c r="AG45" i="17"/>
  <c r="AC45" i="17"/>
  <c r="L45" i="17"/>
  <c r="K45" i="17"/>
  <c r="J45" i="17"/>
  <c r="H45" i="17"/>
  <c r="AF45" i="17"/>
  <c r="AE45" i="17"/>
  <c r="AD45" i="17"/>
  <c r="AB45" i="17"/>
  <c r="AA45" i="17"/>
  <c r="Z45" i="17"/>
  <c r="L42" i="14"/>
  <c r="W45" i="17"/>
  <c r="AK45" i="11"/>
  <c r="F45" i="11"/>
  <c r="P45" i="11"/>
  <c r="L45" i="11"/>
  <c r="V45" i="11"/>
  <c r="I45" i="11"/>
  <c r="S45" i="11"/>
  <c r="M45" i="13"/>
  <c r="AB45" i="13"/>
  <c r="AA45" i="13"/>
  <c r="Z45" i="13"/>
  <c r="O45" i="13"/>
  <c r="X45" i="13"/>
  <c r="W45" i="13"/>
  <c r="V45" i="13"/>
  <c r="T45" i="13"/>
  <c r="S45" i="13"/>
  <c r="R45" i="13"/>
  <c r="P45" i="13"/>
  <c r="N45" i="13"/>
  <c r="U45" i="13"/>
  <c r="AG45" i="13"/>
  <c r="H45" i="13"/>
  <c r="G45" i="13"/>
  <c r="F45" i="13"/>
  <c r="Q45" i="13"/>
  <c r="AJ45" i="13"/>
  <c r="AI45" i="13"/>
  <c r="AH45" i="13"/>
  <c r="AD45" i="13"/>
  <c r="X42" i="14"/>
  <c r="AI45" i="17"/>
  <c r="AK45" i="17"/>
  <c r="AF46" i="17"/>
  <c r="AD46" i="17"/>
  <c r="AE46" i="17"/>
  <c r="AJ45" i="17"/>
  <c r="AJ41" i="15"/>
  <c r="H41" i="15"/>
  <c r="AK41" i="15"/>
  <c r="AA41" i="15"/>
  <c r="U41" i="15"/>
  <c r="AC41" i="15"/>
  <c r="H46" i="15"/>
  <c r="AF46" i="15"/>
  <c r="AI46" i="15"/>
  <c r="AH46" i="15"/>
  <c r="W46" i="15"/>
  <c r="AB46" i="15"/>
  <c r="AK46" i="15"/>
  <c r="X46" i="15"/>
  <c r="AE46" i="15"/>
  <c r="AD46" i="15"/>
  <c r="T46" i="15"/>
  <c r="V46" i="15"/>
  <c r="AJ46" i="15"/>
  <c r="L46" i="15"/>
  <c r="AC46" i="15"/>
  <c r="P46" i="15"/>
  <c r="AA46" i="15"/>
  <c r="Z46" i="15"/>
  <c r="Y46" i="15"/>
  <c r="U46" i="15"/>
  <c r="Q46" i="15"/>
  <c r="F46" i="15"/>
  <c r="O46" i="15"/>
  <c r="N46" i="15"/>
  <c r="K46" i="15"/>
  <c r="J46" i="15"/>
  <c r="AC47" i="16"/>
  <c r="X47" i="16"/>
  <c r="W47" i="16"/>
  <c r="V47" i="16"/>
  <c r="AK47" i="16"/>
  <c r="K47" i="16"/>
  <c r="M47" i="16"/>
  <c r="T47" i="16"/>
  <c r="S47" i="16"/>
  <c r="R47" i="16"/>
  <c r="L47" i="16"/>
  <c r="P47" i="16"/>
  <c r="O47" i="16"/>
  <c r="N47" i="16"/>
  <c r="J47" i="16"/>
  <c r="U47" i="16"/>
  <c r="Q47" i="16"/>
  <c r="AJ47" i="16"/>
  <c r="AI47" i="16"/>
  <c r="AH47" i="16"/>
  <c r="Y47" i="16"/>
  <c r="AF47" i="16"/>
  <c r="AE47" i="16"/>
  <c r="AD47" i="16"/>
  <c r="L45" i="13"/>
  <c r="J42" i="14"/>
  <c r="G47" i="16"/>
  <c r="AF41" i="14"/>
  <c r="I41" i="14"/>
  <c r="AJ41" i="14"/>
  <c r="AH41" i="14"/>
  <c r="Q41" i="14"/>
  <c r="T41" i="14"/>
  <c r="R41" i="14"/>
  <c r="H41" i="14"/>
  <c r="AK41" i="14"/>
  <c r="P41" i="14"/>
  <c r="N41" i="14"/>
  <c r="S41" i="14"/>
  <c r="F41" i="14"/>
  <c r="O41" i="14"/>
  <c r="I46" i="14"/>
  <c r="M46" i="14"/>
  <c r="AG46" i="14"/>
  <c r="AK46" i="14"/>
  <c r="AJ46" i="14"/>
  <c r="AI46" i="14"/>
  <c r="AH46" i="14"/>
  <c r="AE46" i="14"/>
  <c r="AD46" i="14"/>
  <c r="AB46" i="14"/>
  <c r="Q46" i="14"/>
  <c r="O46" i="14"/>
  <c r="N46" i="14"/>
  <c r="AF45" i="13"/>
  <c r="V42" i="14"/>
  <c r="M42" i="14"/>
  <c r="R46" i="15"/>
  <c r="I46" i="15"/>
  <c r="AA47" i="16"/>
  <c r="U43" i="12"/>
  <c r="P43" i="12"/>
  <c r="O43" i="12"/>
  <c r="N43" i="12"/>
  <c r="AJ43" i="12"/>
  <c r="AH43" i="12"/>
  <c r="AC43" i="12"/>
  <c r="L43" i="12"/>
  <c r="K43" i="12"/>
  <c r="J43" i="12"/>
  <c r="AI43" i="12"/>
  <c r="H43" i="12"/>
  <c r="G43" i="12"/>
  <c r="AK43" i="12"/>
  <c r="M43" i="12"/>
  <c r="AG43" i="12"/>
  <c r="Y43" i="12"/>
  <c r="AB43" i="12"/>
  <c r="AA43" i="12"/>
  <c r="Z43" i="12"/>
  <c r="J45" i="11"/>
  <c r="I45" i="13"/>
  <c r="K42" i="14"/>
  <c r="AC42" i="14"/>
  <c r="G46" i="15"/>
  <c r="H47" i="16"/>
  <c r="V45" i="17"/>
  <c r="X42" i="15"/>
  <c r="W42" i="15"/>
  <c r="V42" i="15"/>
  <c r="V47" i="13"/>
  <c r="W47" i="13"/>
  <c r="X47" i="13"/>
  <c r="K42" i="13"/>
  <c r="AF47" i="14"/>
  <c r="AH47" i="15"/>
  <c r="AJ47" i="15"/>
  <c r="J44" i="16"/>
  <c r="K44" i="16"/>
  <c r="L44" i="16"/>
  <c r="F44" i="16"/>
  <c r="AH47" i="13"/>
  <c r="AI47" i="13"/>
  <c r="AJ47" i="13"/>
  <c r="U42" i="13"/>
  <c r="T44" i="14"/>
  <c r="S47" i="15"/>
  <c r="V44" i="16"/>
  <c r="W44" i="16"/>
  <c r="X44" i="16"/>
  <c r="H41" i="11"/>
  <c r="G47" i="13"/>
  <c r="H47" i="13"/>
  <c r="F47" i="13"/>
  <c r="AG42" i="13"/>
  <c r="AI47" i="15"/>
  <c r="AC47" i="15"/>
  <c r="Z44" i="16"/>
  <c r="AA44" i="16"/>
  <c r="AB44" i="16"/>
  <c r="AG44" i="16"/>
  <c r="J47" i="13"/>
  <c r="K47" i="13"/>
  <c r="L47" i="13"/>
  <c r="AK47" i="13"/>
  <c r="I47" i="13"/>
  <c r="M47" i="13"/>
  <c r="AG47" i="13"/>
  <c r="AB44" i="14"/>
  <c r="AA47" i="14"/>
  <c r="H47" i="15"/>
  <c r="AD44" i="16"/>
  <c r="AE44" i="16"/>
  <c r="AF44" i="16"/>
  <c r="N44" i="13"/>
  <c r="AC44" i="13"/>
  <c r="K42" i="15"/>
  <c r="S46" i="17"/>
  <c r="K41" i="12"/>
  <c r="F42" i="13"/>
  <c r="M42" i="13"/>
  <c r="Y42" i="13"/>
  <c r="W42" i="13"/>
  <c r="H42" i="13"/>
  <c r="S42" i="13"/>
  <c r="AB42" i="13"/>
  <c r="Q42" i="13"/>
  <c r="O42" i="13"/>
  <c r="AJ42" i="13"/>
  <c r="AH42" i="13"/>
  <c r="Z42" i="13"/>
  <c r="AI42" i="13"/>
  <c r="I42" i="13"/>
  <c r="AF42" i="13"/>
  <c r="AD42" i="13"/>
  <c r="G42" i="13"/>
  <c r="AK42" i="13"/>
  <c r="AA42" i="13"/>
  <c r="T42" i="13"/>
  <c r="R42" i="13"/>
  <c r="AC43" i="17"/>
  <c r="AG43" i="17"/>
  <c r="AK43" i="17"/>
  <c r="AF43" i="17"/>
  <c r="AB43" i="17"/>
  <c r="AA43" i="17"/>
  <c r="E32" i="17" a="1"/>
  <c r="E36" i="17" s="1"/>
  <c r="AJ43" i="11"/>
  <c r="N42" i="13"/>
  <c r="O42" i="15"/>
  <c r="T43" i="17"/>
  <c r="W46" i="17"/>
  <c r="M42" i="16"/>
  <c r="W42" i="16"/>
  <c r="E32" i="16" a="1"/>
  <c r="E34" i="16" s="1"/>
  <c r="F42" i="16"/>
  <c r="O42" i="16"/>
  <c r="N42" i="16"/>
  <c r="Q44" i="12"/>
  <c r="V44" i="12"/>
  <c r="L42" i="15"/>
  <c r="T46" i="17"/>
  <c r="L45" i="16"/>
  <c r="V45" i="16"/>
  <c r="AG45" i="16"/>
  <c r="U45" i="16"/>
  <c r="P42" i="13"/>
  <c r="AC42" i="13"/>
  <c r="P42" i="15"/>
  <c r="F45" i="16"/>
  <c r="X45" i="15"/>
  <c r="AA45" i="15"/>
  <c r="AD45" i="15"/>
  <c r="K45" i="15"/>
  <c r="F45" i="15"/>
  <c r="AF45" i="15"/>
  <c r="AG45" i="15"/>
  <c r="AJ45" i="15"/>
  <c r="AH45" i="15"/>
  <c r="I45" i="15"/>
  <c r="Q45" i="15"/>
  <c r="L45" i="15"/>
  <c r="J45" i="15"/>
  <c r="AC46" i="17"/>
  <c r="P46" i="17"/>
  <c r="O46" i="17"/>
  <c r="N46" i="17"/>
  <c r="F46" i="17"/>
  <c r="Y46" i="17"/>
  <c r="AI46" i="17"/>
  <c r="M46" i="17"/>
  <c r="L46" i="17"/>
  <c r="K46" i="17"/>
  <c r="J46" i="17"/>
  <c r="Q46" i="17"/>
  <c r="AJ46" i="17"/>
  <c r="AH46" i="17"/>
  <c r="AG46" i="17"/>
  <c r="H46" i="17"/>
  <c r="G46" i="17"/>
  <c r="I46" i="17"/>
  <c r="U46" i="17"/>
  <c r="AB46" i="17"/>
  <c r="AA46" i="17"/>
  <c r="Z46" i="17"/>
  <c r="AK46" i="17"/>
  <c r="X46" i="17"/>
  <c r="X42" i="13"/>
  <c r="J42" i="15"/>
  <c r="R46" i="17"/>
  <c r="P43" i="14"/>
  <c r="O43" i="14"/>
  <c r="Y43" i="14"/>
  <c r="V43" i="14"/>
  <c r="I42" i="15"/>
  <c r="Y42" i="15"/>
  <c r="H42" i="15"/>
  <c r="G42" i="15"/>
  <c r="AB42" i="15"/>
  <c r="Z42" i="15"/>
  <c r="AK42" i="15"/>
  <c r="AC42" i="15"/>
  <c r="AJ42" i="15"/>
  <c r="AI42" i="15"/>
  <c r="AH42" i="15"/>
  <c r="F42" i="15"/>
  <c r="AA42" i="15"/>
  <c r="AG42" i="15"/>
  <c r="U42" i="15"/>
  <c r="M42" i="15"/>
  <c r="AF42" i="15"/>
  <c r="AE42" i="15"/>
  <c r="AD42" i="15"/>
  <c r="Q42" i="15"/>
  <c r="T42" i="15"/>
  <c r="S42" i="15"/>
  <c r="R42" i="15"/>
  <c r="P43" i="11"/>
  <c r="AG43" i="11"/>
  <c r="AI43" i="11"/>
  <c r="H43" i="11"/>
  <c r="AH43" i="11"/>
  <c r="N42" i="15"/>
  <c r="V46" i="17"/>
  <c r="AF47" i="11"/>
  <c r="P41" i="11"/>
  <c r="J41" i="14"/>
  <c r="K41" i="14"/>
  <c r="L41" i="14"/>
  <c r="H47" i="14"/>
  <c r="Y47" i="14"/>
  <c r="AH43" i="15"/>
  <c r="AJ43" i="15"/>
  <c r="Q43" i="15"/>
  <c r="H43" i="16"/>
  <c r="T44" i="17"/>
  <c r="W41" i="17"/>
  <c r="F44" i="17"/>
  <c r="S41" i="17"/>
  <c r="Y44" i="17"/>
  <c r="E32" i="11" a="1"/>
  <c r="E34" i="11" s="1"/>
  <c r="F34" i="11" s="1" a="1"/>
  <c r="I47" i="11"/>
  <c r="V41" i="14"/>
  <c r="W41" i="14"/>
  <c r="X41" i="14"/>
  <c r="Z47" i="14"/>
  <c r="F47" i="14"/>
  <c r="Y41" i="14"/>
  <c r="AC41" i="14"/>
  <c r="AA43" i="15"/>
  <c r="T41" i="17"/>
  <c r="AD44" i="17"/>
  <c r="AE44" i="17"/>
  <c r="AF44" i="17"/>
  <c r="AI41" i="17"/>
  <c r="O41" i="17"/>
  <c r="K41" i="17"/>
  <c r="R47" i="11"/>
  <c r="AG41" i="11"/>
  <c r="V47" i="11"/>
  <c r="W47" i="11"/>
  <c r="AE41" i="11"/>
  <c r="K47" i="11"/>
  <c r="Z41" i="14"/>
  <c r="AA41" i="14"/>
  <c r="AB41" i="14"/>
  <c r="AD47" i="14"/>
  <c r="U41" i="14"/>
  <c r="AI43" i="15"/>
  <c r="AK43" i="15"/>
  <c r="M43" i="15"/>
  <c r="W43" i="16"/>
  <c r="X43" i="16"/>
  <c r="X41" i="17"/>
  <c r="AH44" i="17"/>
  <c r="AI44" i="17"/>
  <c r="AG44" i="17"/>
  <c r="U41" i="17"/>
  <c r="Q41" i="17"/>
  <c r="L41" i="11"/>
  <c r="Y41" i="11"/>
  <c r="AD47" i="11"/>
  <c r="M41" i="11"/>
  <c r="AE47" i="11"/>
  <c r="AD41" i="14"/>
  <c r="AE41" i="14"/>
  <c r="G47" i="14"/>
  <c r="M47" i="14"/>
  <c r="R43" i="15"/>
  <c r="T43" i="15"/>
  <c r="AB41" i="17"/>
  <c r="G44" i="17"/>
  <c r="Z41" i="17"/>
  <c r="V41" i="17"/>
  <c r="AH41" i="11"/>
  <c r="R45" i="11"/>
  <c r="T45" i="11"/>
  <c r="Z47" i="11"/>
  <c r="AB47" i="11"/>
  <c r="K41" i="11"/>
  <c r="G41" i="11"/>
  <c r="K45" i="11"/>
  <c r="AJ41" i="11"/>
  <c r="AA47" i="11"/>
  <c r="S43" i="11"/>
  <c r="J41" i="11"/>
  <c r="R43" i="11"/>
  <c r="T43" i="11"/>
  <c r="Z45" i="11"/>
  <c r="AB45" i="11"/>
  <c r="AH47" i="11"/>
  <c r="AJ47" i="11"/>
  <c r="Q45" i="11"/>
  <c r="F43" i="11"/>
  <c r="S41" i="11"/>
  <c r="U41" i="11"/>
  <c r="W41" i="11"/>
  <c r="AA45" i="11"/>
  <c r="M45" i="11"/>
  <c r="K43" i="11"/>
  <c r="N41" i="11"/>
  <c r="V43" i="11"/>
  <c r="X43" i="11"/>
  <c r="AD45" i="11"/>
  <c r="AF45" i="11"/>
  <c r="H47" i="11"/>
  <c r="F47" i="11"/>
  <c r="Y45" i="11"/>
  <c r="U43" i="11"/>
  <c r="X41" i="11"/>
  <c r="AA41" i="11"/>
  <c r="AB41" i="11"/>
  <c r="AI45" i="11"/>
  <c r="I41" i="11"/>
  <c r="U45" i="11"/>
  <c r="G45" i="11"/>
  <c r="Q47" i="11"/>
  <c r="AA43" i="11"/>
  <c r="Q43" i="11"/>
  <c r="R41" i="11"/>
  <c r="AH45" i="11"/>
  <c r="AJ45" i="11"/>
  <c r="J47" i="11"/>
  <c r="L47" i="11"/>
  <c r="U47" i="11"/>
  <c r="AG45" i="11"/>
  <c r="AC41" i="11"/>
  <c r="AF41" i="11"/>
  <c r="G47" i="11"/>
  <c r="O43" i="11"/>
  <c r="O41" i="11"/>
  <c r="AC45" i="11"/>
  <c r="W45" i="11"/>
  <c r="AG47" i="11"/>
  <c r="S47" i="11"/>
  <c r="V41" i="11"/>
  <c r="AD43" i="11"/>
  <c r="AF43" i="11"/>
  <c r="H45" i="11"/>
  <c r="N47" i="11"/>
  <c r="P47" i="11"/>
  <c r="AC47" i="11"/>
  <c r="AI41" i="11"/>
  <c r="AK41" i="11"/>
  <c r="O47" i="11"/>
  <c r="W43" i="11"/>
  <c r="T41" i="11"/>
  <c r="E32" i="12" a="1"/>
  <c r="E33" i="12" s="1"/>
  <c r="AH44" i="12"/>
  <c r="AI44" i="12"/>
  <c r="P46" i="12"/>
  <c r="AG44" i="12"/>
  <c r="I44" i="12"/>
  <c r="H46" i="12"/>
  <c r="K44" i="12"/>
  <c r="L44" i="12"/>
  <c r="T46" i="12"/>
  <c r="O44" i="12"/>
  <c r="P44" i="12"/>
  <c r="AH46" i="13"/>
  <c r="AJ46" i="13"/>
  <c r="J46" i="13"/>
  <c r="L46" i="13"/>
  <c r="O46" i="13"/>
  <c r="F46" i="13"/>
  <c r="U46" i="13"/>
  <c r="AK46" i="13"/>
  <c r="Q46" i="13"/>
  <c r="N46" i="13"/>
  <c r="P46" i="13"/>
  <c r="W46" i="13"/>
  <c r="AA46" i="13"/>
  <c r="G46" i="13"/>
  <c r="R46" i="13"/>
  <c r="T46" i="13"/>
  <c r="AE46" i="13"/>
  <c r="E32" i="13" a="1"/>
  <c r="E36" i="13" s="1"/>
  <c r="I46" i="13"/>
  <c r="V46" i="13"/>
  <c r="X46" i="13"/>
  <c r="M46" i="13"/>
  <c r="S46" i="13"/>
  <c r="R43" i="14"/>
  <c r="T43" i="14"/>
  <c r="Z45" i="14"/>
  <c r="AA45" i="14"/>
  <c r="AH47" i="14"/>
  <c r="AI47" i="14"/>
  <c r="AJ47" i="14"/>
  <c r="I47" i="14"/>
  <c r="AC47" i="14"/>
  <c r="AC45" i="14"/>
  <c r="U45" i="14"/>
  <c r="Z43" i="14"/>
  <c r="AB43" i="14"/>
  <c r="AH45" i="14"/>
  <c r="AI45" i="14"/>
  <c r="J47" i="14"/>
  <c r="K47" i="14"/>
  <c r="L47" i="14"/>
  <c r="AK47" i="14"/>
  <c r="X45" i="14"/>
  <c r="M45" i="14"/>
  <c r="F45" i="14"/>
  <c r="AD43" i="14"/>
  <c r="AF43" i="14"/>
  <c r="G45" i="14"/>
  <c r="N47" i="14"/>
  <c r="O47" i="14"/>
  <c r="P47" i="14"/>
  <c r="M43" i="14"/>
  <c r="AF45" i="14"/>
  <c r="Y45" i="14"/>
  <c r="Q45" i="14"/>
  <c r="AG45" i="14"/>
  <c r="AH43" i="14"/>
  <c r="AJ43" i="14"/>
  <c r="J45" i="14"/>
  <c r="K45" i="14"/>
  <c r="R47" i="14"/>
  <c r="S47" i="14"/>
  <c r="T47" i="14"/>
  <c r="Q47" i="14"/>
  <c r="E32" i="14" a="1"/>
  <c r="E37" i="14" s="1"/>
  <c r="AJ45" i="14"/>
  <c r="AB45" i="14"/>
  <c r="G43" i="14"/>
  <c r="N45" i="14"/>
  <c r="O45" i="14"/>
  <c r="V47" i="14"/>
  <c r="W47" i="14"/>
  <c r="X47" i="14"/>
  <c r="F43" i="14"/>
  <c r="I43" i="14"/>
  <c r="W41" i="15"/>
  <c r="AD43" i="15"/>
  <c r="AE43" i="15"/>
  <c r="AF43" i="15"/>
  <c r="G45" i="15"/>
  <c r="H45" i="15"/>
  <c r="N47" i="15"/>
  <c r="O47" i="15"/>
  <c r="P47" i="15"/>
  <c r="Y47" i="15"/>
  <c r="M47" i="15"/>
  <c r="AE41" i="15"/>
  <c r="G43" i="15"/>
  <c r="H43" i="15"/>
  <c r="N45" i="15"/>
  <c r="O45" i="15"/>
  <c r="P45" i="15"/>
  <c r="V47" i="15"/>
  <c r="W47" i="15"/>
  <c r="X47" i="15"/>
  <c r="AC45" i="15"/>
  <c r="AK45" i="15"/>
  <c r="AG41" i="15"/>
  <c r="AH41" i="15"/>
  <c r="J43" i="15"/>
  <c r="K43" i="15"/>
  <c r="L43" i="15"/>
  <c r="R45" i="15"/>
  <c r="S45" i="15"/>
  <c r="T45" i="15"/>
  <c r="Z47" i="15"/>
  <c r="AA47" i="15"/>
  <c r="AB47" i="15"/>
  <c r="Y45" i="15"/>
  <c r="P41" i="15"/>
  <c r="U45" i="15"/>
  <c r="E32" i="15" a="1"/>
  <c r="E34" i="15" s="1"/>
  <c r="AC43" i="15"/>
  <c r="Q41" i="15"/>
  <c r="N43" i="15"/>
  <c r="O43" i="15"/>
  <c r="P43" i="15"/>
  <c r="V45" i="15"/>
  <c r="W45" i="15"/>
  <c r="AD47" i="15"/>
  <c r="AE47" i="15"/>
  <c r="AF47" i="15"/>
  <c r="F43" i="15"/>
  <c r="M41" i="15"/>
  <c r="AB36" i="2"/>
  <c r="AL36" i="2"/>
  <c r="G36" i="2"/>
  <c r="AM36" i="2"/>
  <c r="BH36" i="2"/>
  <c r="AG36" i="2"/>
  <c r="F36" i="2"/>
  <c r="CA6" i="5"/>
  <c r="I6" i="5"/>
  <c r="AO6" i="5"/>
  <c r="BU6" i="5"/>
  <c r="AT6" i="5"/>
  <c r="T6" i="5"/>
  <c r="J6" i="5"/>
  <c r="BF6" i="5"/>
  <c r="AZ6" i="5"/>
  <c r="S6" i="5"/>
  <c r="AY6" i="5"/>
  <c r="CE6" i="5"/>
  <c r="BL6" i="5"/>
  <c r="Y6" i="5"/>
  <c r="BE6" i="5"/>
  <c r="CK6" i="5"/>
  <c r="BV6" i="5"/>
  <c r="BP6" i="5"/>
  <c r="Z6" i="5"/>
  <c r="CP6" i="5"/>
  <c r="CR6" i="5"/>
  <c r="AI6" i="5"/>
  <c r="BO6" i="5"/>
  <c r="L6" i="5"/>
  <c r="AC6" i="5"/>
  <c r="BI6" i="5"/>
  <c r="CO6" i="5"/>
  <c r="CD6" i="5"/>
  <c r="CB6" i="5"/>
  <c r="AH6" i="5"/>
  <c r="P6" i="5"/>
  <c r="G6" i="5"/>
  <c r="AM6" i="5"/>
  <c r="BS6" i="5"/>
  <c r="X6" i="5"/>
  <c r="AF36" i="2"/>
  <c r="E36" i="2"/>
  <c r="AK36" i="2"/>
  <c r="K36" i="2"/>
  <c r="AQ36" i="2"/>
  <c r="B20" i="2"/>
  <c r="AJ36" i="2"/>
  <c r="I36" i="2"/>
  <c r="AO36" i="2"/>
  <c r="N36" i="2"/>
  <c r="AT36" i="2"/>
  <c r="O36" i="2"/>
  <c r="AU36" i="2"/>
  <c r="AT4" i="10"/>
  <c r="AE4" i="10"/>
  <c r="AP36" i="2"/>
  <c r="AN36" i="2"/>
  <c r="AS36" i="2"/>
  <c r="AX36" i="2"/>
  <c r="AY36" i="2"/>
  <c r="P36" i="2"/>
  <c r="AV36" i="2"/>
  <c r="U36" i="2"/>
  <c r="BA36" i="2"/>
  <c r="Z36" i="2"/>
  <c r="BF36" i="2"/>
  <c r="AA36" i="2"/>
  <c r="BG36" i="2"/>
  <c r="J4" i="10"/>
  <c r="AR4" i="10"/>
  <c r="AC4" i="10"/>
  <c r="J36" i="2"/>
  <c r="H36" i="2"/>
  <c r="M36" i="2"/>
  <c r="R36" i="2"/>
  <c r="S36" i="2"/>
  <c r="AG4" i="10"/>
  <c r="T36" i="2"/>
  <c r="AZ36" i="2"/>
  <c r="Y36" i="2"/>
  <c r="BE36" i="2"/>
  <c r="AD36" i="2"/>
  <c r="BJ36" i="2"/>
  <c r="AE36" i="2"/>
  <c r="G4" i="10"/>
  <c r="AI4" i="10"/>
  <c r="AD4" i="10"/>
  <c r="AP4" i="10"/>
  <c r="L36" i="2"/>
  <c r="AR36" i="2"/>
  <c r="Q36" i="2"/>
  <c r="AW36" i="2"/>
  <c r="V36" i="2"/>
  <c r="BB36" i="2"/>
  <c r="W36" i="2"/>
  <c r="BC36" i="2"/>
  <c r="AH4" i="10"/>
  <c r="X36" i="2"/>
  <c r="BD36" i="2"/>
  <c r="AC36" i="2"/>
  <c r="BI36" i="2"/>
  <c r="AH36" i="2"/>
  <c r="C36" i="2"/>
  <c r="AI36" i="2"/>
  <c r="AU4" i="10"/>
  <c r="P5" i="9"/>
  <c r="V5" i="9"/>
  <c r="Q5" i="9"/>
  <c r="U5" i="9"/>
  <c r="AH5" i="9"/>
  <c r="AB5" i="9"/>
  <c r="T5" i="9"/>
  <c r="J5" i="9"/>
  <c r="I5" i="9"/>
  <c r="F5" i="9"/>
  <c r="R5" i="9"/>
  <c r="AD5" i="9"/>
  <c r="M5" i="9"/>
  <c r="K5" i="9"/>
  <c r="W5" i="9"/>
  <c r="AI5" i="9"/>
  <c r="AA5" i="9"/>
  <c r="AC5" i="9"/>
  <c r="AF5" i="9"/>
  <c r="N5" i="9"/>
  <c r="O5" i="9"/>
  <c r="H5" i="9"/>
  <c r="AG5" i="9"/>
  <c r="G5" i="9"/>
  <c r="S5" i="9"/>
  <c r="AJ5" i="9"/>
  <c r="Y5" i="9"/>
  <c r="AE5" i="9"/>
  <c r="AK5" i="9"/>
  <c r="L5" i="9"/>
  <c r="X5" i="9"/>
  <c r="Z5" i="9"/>
  <c r="AI5" i="8"/>
  <c r="AF5" i="8"/>
  <c r="Y5" i="8"/>
  <c r="AD5" i="8"/>
  <c r="G5" i="8"/>
  <c r="D5" i="8"/>
  <c r="AJ5" i="8"/>
  <c r="AC5" i="8"/>
  <c r="AH5" i="8"/>
  <c r="K5" i="8"/>
  <c r="H5" i="8"/>
  <c r="AG5" i="8"/>
  <c r="F5" i="8"/>
  <c r="AA5" i="8"/>
  <c r="X5" i="8"/>
  <c r="Q5" i="8"/>
  <c r="V5" i="8"/>
  <c r="O5" i="8"/>
  <c r="E5" i="8"/>
  <c r="S5" i="8"/>
  <c r="I5" i="8"/>
  <c r="W5" i="8"/>
  <c r="M5" i="8"/>
  <c r="T5" i="8"/>
  <c r="R5" i="8"/>
  <c r="AE5" i="8"/>
  <c r="L5" i="8"/>
  <c r="P5" i="8"/>
  <c r="Z5" i="8"/>
  <c r="AB5" i="8"/>
  <c r="U5" i="8"/>
  <c r="J5" i="8"/>
  <c r="N5" i="8"/>
  <c r="S6" i="7"/>
  <c r="H6" i="7"/>
  <c r="M6" i="7"/>
  <c r="N6" i="7"/>
  <c r="W6" i="7"/>
  <c r="L6" i="7"/>
  <c r="Y6" i="7"/>
  <c r="R6" i="7"/>
  <c r="AA6" i="7"/>
  <c r="P6" i="7"/>
  <c r="E6" i="7"/>
  <c r="V6" i="7"/>
  <c r="K6" i="7"/>
  <c r="AG6" i="7"/>
  <c r="AF6" i="7"/>
  <c r="F6" i="7"/>
  <c r="D6" i="7"/>
  <c r="E189" i="12" s="1"/>
  <c r="J6" i="7"/>
  <c r="T6" i="7"/>
  <c r="Z6" i="7"/>
  <c r="X6" i="7"/>
  <c r="AD6" i="7"/>
  <c r="AI6" i="7"/>
  <c r="Q6" i="7"/>
  <c r="AJ6" i="7"/>
  <c r="I6" i="7"/>
  <c r="AC6" i="7"/>
  <c r="AB6" i="7"/>
  <c r="O6" i="7"/>
  <c r="AE6" i="7"/>
  <c r="U6" i="7"/>
  <c r="G6" i="7"/>
  <c r="AH6" i="7"/>
  <c r="AK183" i="12" l="1"/>
  <c r="AK189" i="12"/>
  <c r="AJ183" i="12"/>
  <c r="AJ189" i="12"/>
  <c r="AI183" i="12"/>
  <c r="AI189" i="12"/>
  <c r="AH183" i="12"/>
  <c r="AH189" i="12"/>
  <c r="AG183" i="12"/>
  <c r="AG189" i="12"/>
  <c r="AF183" i="12"/>
  <c r="AF189" i="12"/>
  <c r="AE183" i="12"/>
  <c r="AE189" i="12"/>
  <c r="AD183" i="12"/>
  <c r="AD189" i="12"/>
  <c r="AC183" i="12"/>
  <c r="AC189" i="12"/>
  <c r="AB183" i="12"/>
  <c r="AB189" i="12"/>
  <c r="AA183" i="12"/>
  <c r="AA189" i="12"/>
  <c r="Z183" i="12"/>
  <c r="Z189" i="12"/>
  <c r="Y183" i="12"/>
  <c r="Y189" i="12"/>
  <c r="X183" i="12"/>
  <c r="X189" i="12"/>
  <c r="W183" i="12"/>
  <c r="W189" i="12"/>
  <c r="V183" i="12"/>
  <c r="V189" i="12"/>
  <c r="U183" i="12"/>
  <c r="U189" i="12"/>
  <c r="T183" i="12"/>
  <c r="T189" i="12"/>
  <c r="S183" i="12"/>
  <c r="S189" i="12"/>
  <c r="R183" i="12"/>
  <c r="R189" i="12"/>
  <c r="Q183" i="12"/>
  <c r="Q189" i="12"/>
  <c r="P183" i="12"/>
  <c r="P189" i="12"/>
  <c r="O183" i="12"/>
  <c r="O189" i="12"/>
  <c r="N183" i="12"/>
  <c r="N189" i="12"/>
  <c r="M183" i="12"/>
  <c r="M189" i="12"/>
  <c r="L183" i="12"/>
  <c r="L189" i="12"/>
  <c r="K183" i="12"/>
  <c r="K189" i="12"/>
  <c r="J183" i="12"/>
  <c r="J189" i="12"/>
  <c r="I183" i="12"/>
  <c r="I189" i="12"/>
  <c r="H183" i="12"/>
  <c r="H189" i="12"/>
  <c r="G183" i="12"/>
  <c r="G189" i="12"/>
  <c r="F183" i="12"/>
  <c r="F189" i="12"/>
  <c r="E177" i="12"/>
  <c r="E183" i="12"/>
  <c r="AK171" i="12"/>
  <c r="AK177" i="12"/>
  <c r="AJ171" i="12"/>
  <c r="AJ177" i="12"/>
  <c r="AI171" i="12"/>
  <c r="AI177" i="12"/>
  <c r="AH171" i="12"/>
  <c r="AH177" i="12"/>
  <c r="AG171" i="12"/>
  <c r="AG177" i="12"/>
  <c r="AF171" i="12"/>
  <c r="AF177" i="12"/>
  <c r="AE171" i="12"/>
  <c r="AE177" i="12"/>
  <c r="AD171" i="12"/>
  <c r="AD177" i="12"/>
  <c r="AC171" i="12"/>
  <c r="AC177" i="12"/>
  <c r="AB171" i="12"/>
  <c r="AB177" i="12"/>
  <c r="AA171" i="12"/>
  <c r="AA177" i="12"/>
  <c r="Z171" i="12"/>
  <c r="Z177" i="12"/>
  <c r="Y171" i="12"/>
  <c r="Y177" i="12"/>
  <c r="X171" i="12"/>
  <c r="X177" i="12"/>
  <c r="W171" i="12"/>
  <c r="W177" i="12"/>
  <c r="V171" i="12"/>
  <c r="V177" i="12"/>
  <c r="U171" i="12"/>
  <c r="U177" i="12"/>
  <c r="T171" i="12"/>
  <c r="T177" i="12"/>
  <c r="S171" i="12"/>
  <c r="S177" i="12"/>
  <c r="R171" i="12"/>
  <c r="R177" i="12"/>
  <c r="Q171" i="12"/>
  <c r="Q177" i="12"/>
  <c r="P171" i="12"/>
  <c r="P177" i="12"/>
  <c r="O171" i="12"/>
  <c r="O177" i="12"/>
  <c r="N171" i="12"/>
  <c r="N177" i="12"/>
  <c r="M171" i="12"/>
  <c r="M177" i="12"/>
  <c r="L171" i="12"/>
  <c r="L177" i="12"/>
  <c r="K171" i="12"/>
  <c r="K177" i="12"/>
  <c r="J171" i="12"/>
  <c r="J177" i="12"/>
  <c r="I171" i="12"/>
  <c r="I177" i="12"/>
  <c r="H171" i="12"/>
  <c r="H177" i="12"/>
  <c r="G171" i="12"/>
  <c r="G177" i="12"/>
  <c r="F171" i="12"/>
  <c r="F177" i="12"/>
  <c r="E165" i="12"/>
  <c r="E171" i="12"/>
  <c r="AK159" i="12"/>
  <c r="AK165" i="12"/>
  <c r="AJ159" i="12"/>
  <c r="AJ165" i="12"/>
  <c r="AI159" i="12"/>
  <c r="AI165" i="12"/>
  <c r="AH159" i="12"/>
  <c r="AH165" i="12"/>
  <c r="AG159" i="12"/>
  <c r="AG165" i="12"/>
  <c r="AF159" i="12"/>
  <c r="AF165" i="12"/>
  <c r="AE159" i="12"/>
  <c r="AE165" i="12"/>
  <c r="AD159" i="12"/>
  <c r="AD165" i="12"/>
  <c r="AC159" i="12"/>
  <c r="AC165" i="12"/>
  <c r="AB159" i="12"/>
  <c r="AB165" i="12"/>
  <c r="AA159" i="12"/>
  <c r="AA165" i="12"/>
  <c r="Z159" i="12"/>
  <c r="Z165" i="12"/>
  <c r="Y159" i="12"/>
  <c r="Y165" i="12"/>
  <c r="X159" i="12"/>
  <c r="X165" i="12"/>
  <c r="W159" i="12"/>
  <c r="W165" i="12"/>
  <c r="V159" i="12"/>
  <c r="V165" i="12"/>
  <c r="U159" i="12"/>
  <c r="U165" i="12"/>
  <c r="T159" i="12"/>
  <c r="T165" i="12"/>
  <c r="S159" i="12"/>
  <c r="S165" i="12"/>
  <c r="R159" i="12"/>
  <c r="R165" i="12"/>
  <c r="Q159" i="12"/>
  <c r="Q165" i="12"/>
  <c r="P159" i="12"/>
  <c r="P165" i="12"/>
  <c r="O159" i="12"/>
  <c r="O165" i="12"/>
  <c r="N159" i="12"/>
  <c r="N165" i="12"/>
  <c r="M159" i="12"/>
  <c r="M165" i="12"/>
  <c r="L159" i="12"/>
  <c r="L165" i="12"/>
  <c r="K159" i="12"/>
  <c r="K165" i="12"/>
  <c r="J159" i="12"/>
  <c r="J165" i="12"/>
  <c r="I159" i="12"/>
  <c r="I165" i="12"/>
  <c r="H159" i="12"/>
  <c r="H165" i="12"/>
  <c r="G159" i="12"/>
  <c r="G165" i="12"/>
  <c r="F159" i="12"/>
  <c r="F165" i="12"/>
  <c r="E153" i="12"/>
  <c r="E159" i="12"/>
  <c r="AK146" i="12"/>
  <c r="AK153" i="12"/>
  <c r="AJ146" i="12"/>
  <c r="AJ153" i="12"/>
  <c r="AI146" i="12"/>
  <c r="AI153" i="12"/>
  <c r="AH146" i="12"/>
  <c r="AH153" i="12"/>
  <c r="AG146" i="12"/>
  <c r="AG153" i="12"/>
  <c r="AF146" i="12"/>
  <c r="AF153" i="12"/>
  <c r="AE146" i="12"/>
  <c r="AE153" i="12"/>
  <c r="AD146" i="12"/>
  <c r="AD153" i="12"/>
  <c r="AC146" i="12"/>
  <c r="AC153" i="12"/>
  <c r="AB146" i="12"/>
  <c r="AB153" i="12"/>
  <c r="AA146" i="12"/>
  <c r="AA153" i="12"/>
  <c r="Z146" i="12"/>
  <c r="Z153" i="12"/>
  <c r="Y146" i="12"/>
  <c r="Y153" i="12"/>
  <c r="X146" i="12"/>
  <c r="X153" i="12"/>
  <c r="W146" i="12"/>
  <c r="W153" i="12"/>
  <c r="V146" i="12"/>
  <c r="V153" i="12"/>
  <c r="U146" i="12"/>
  <c r="U153" i="12"/>
  <c r="T146" i="12"/>
  <c r="T153" i="12"/>
  <c r="S146" i="12"/>
  <c r="S153" i="12"/>
  <c r="R146" i="12"/>
  <c r="R153" i="12"/>
  <c r="Q146" i="12"/>
  <c r="Q153" i="12"/>
  <c r="P146" i="12"/>
  <c r="P153" i="12"/>
  <c r="O146" i="12"/>
  <c r="O153" i="12"/>
  <c r="N146" i="12"/>
  <c r="N153" i="12"/>
  <c r="M146" i="12"/>
  <c r="M153" i="12"/>
  <c r="L146" i="12"/>
  <c r="L153" i="12"/>
  <c r="K146" i="12"/>
  <c r="K153" i="12"/>
  <c r="J146" i="12"/>
  <c r="J153" i="12"/>
  <c r="I146" i="12"/>
  <c r="I153" i="12"/>
  <c r="H146" i="12"/>
  <c r="H153" i="12"/>
  <c r="G146" i="12"/>
  <c r="G153" i="12"/>
  <c r="F146" i="12"/>
  <c r="F153" i="12"/>
  <c r="E140" i="12"/>
  <c r="E146" i="12"/>
  <c r="AK134" i="12"/>
  <c r="AK140" i="12"/>
  <c r="AJ134" i="12"/>
  <c r="AJ140" i="12"/>
  <c r="AI134" i="12"/>
  <c r="AI140" i="12"/>
  <c r="AH134" i="12"/>
  <c r="AH140" i="12"/>
  <c r="AG134" i="12"/>
  <c r="AG140" i="12"/>
  <c r="AF134" i="12"/>
  <c r="AF140" i="12"/>
  <c r="AE134" i="12"/>
  <c r="AE140" i="12"/>
  <c r="AD134" i="12"/>
  <c r="AD140" i="12"/>
  <c r="AC134" i="12"/>
  <c r="AC140" i="12"/>
  <c r="AB134" i="12"/>
  <c r="AB140" i="12"/>
  <c r="AA134" i="12"/>
  <c r="AA140" i="12"/>
  <c r="Z134" i="12"/>
  <c r="Z140" i="12"/>
  <c r="Y134" i="12"/>
  <c r="Y140" i="12"/>
  <c r="X134" i="12"/>
  <c r="X140" i="12"/>
  <c r="W134" i="12"/>
  <c r="W140" i="12"/>
  <c r="V134" i="12"/>
  <c r="V140" i="12"/>
  <c r="U134" i="12"/>
  <c r="U140" i="12"/>
  <c r="T134" i="12"/>
  <c r="T140" i="12"/>
  <c r="S134" i="12"/>
  <c r="S140" i="12"/>
  <c r="R134" i="12"/>
  <c r="R140" i="12"/>
  <c r="Q134" i="12"/>
  <c r="Q140" i="12"/>
  <c r="P134" i="12"/>
  <c r="P140" i="12"/>
  <c r="O134" i="12"/>
  <c r="O140" i="12"/>
  <c r="N134" i="12"/>
  <c r="N140" i="12"/>
  <c r="M134" i="12"/>
  <c r="M140" i="12"/>
  <c r="L134" i="12"/>
  <c r="L140" i="12"/>
  <c r="K134" i="12"/>
  <c r="K140" i="12"/>
  <c r="J134" i="12"/>
  <c r="J140" i="12"/>
  <c r="I134" i="12"/>
  <c r="I140" i="12"/>
  <c r="H134" i="12"/>
  <c r="H140" i="12"/>
  <c r="G134" i="12"/>
  <c r="G140" i="12"/>
  <c r="F134" i="12"/>
  <c r="F140" i="12"/>
  <c r="E128" i="12"/>
  <c r="E134" i="12"/>
  <c r="AK122" i="12"/>
  <c r="AK128" i="12"/>
  <c r="AJ122" i="12"/>
  <c r="AJ128" i="12"/>
  <c r="AI122" i="12"/>
  <c r="AI128" i="12"/>
  <c r="AH122" i="12"/>
  <c r="AH128" i="12"/>
  <c r="AG122" i="12"/>
  <c r="AG128" i="12"/>
  <c r="AF122" i="12"/>
  <c r="AF128" i="12"/>
  <c r="AE122" i="12"/>
  <c r="AE128" i="12"/>
  <c r="AD122" i="12"/>
  <c r="AD128" i="12"/>
  <c r="AC122" i="12"/>
  <c r="AC128" i="12"/>
  <c r="AB122" i="12"/>
  <c r="AB128" i="12"/>
  <c r="AA122" i="12"/>
  <c r="AA128" i="12"/>
  <c r="Z122" i="12"/>
  <c r="Z128" i="12"/>
  <c r="Y122" i="12"/>
  <c r="Y128" i="12"/>
  <c r="X122" i="12"/>
  <c r="X128" i="12"/>
  <c r="W122" i="12"/>
  <c r="W128" i="12"/>
  <c r="V122" i="12"/>
  <c r="V128" i="12"/>
  <c r="U122" i="12"/>
  <c r="U128" i="12"/>
  <c r="T122" i="12"/>
  <c r="T128" i="12"/>
  <c r="S122" i="12"/>
  <c r="S128" i="12"/>
  <c r="R122" i="12"/>
  <c r="R128" i="12"/>
  <c r="Q122" i="12"/>
  <c r="Q128" i="12"/>
  <c r="P122" i="12"/>
  <c r="P128" i="12"/>
  <c r="O122" i="12"/>
  <c r="O128" i="12"/>
  <c r="N122" i="12"/>
  <c r="N128" i="12"/>
  <c r="M122" i="12"/>
  <c r="M128" i="12"/>
  <c r="L122" i="12"/>
  <c r="L128" i="12"/>
  <c r="K122" i="12"/>
  <c r="K128" i="12"/>
  <c r="J122" i="12"/>
  <c r="J128" i="12"/>
  <c r="I122" i="12"/>
  <c r="I128" i="12"/>
  <c r="H122" i="12"/>
  <c r="H128" i="12"/>
  <c r="G122" i="12"/>
  <c r="G128" i="12"/>
  <c r="F122" i="12"/>
  <c r="F128" i="12"/>
  <c r="E116" i="12"/>
  <c r="E122" i="12"/>
  <c r="AK110" i="12"/>
  <c r="AK116" i="12"/>
  <c r="AJ110" i="12"/>
  <c r="AJ116" i="12"/>
  <c r="AI110" i="12"/>
  <c r="AI116" i="12"/>
  <c r="AH110" i="12"/>
  <c r="AH116" i="12"/>
  <c r="AG110" i="12"/>
  <c r="AG116" i="12"/>
  <c r="AF110" i="12"/>
  <c r="AF116" i="12"/>
  <c r="AE110" i="12"/>
  <c r="AE116" i="12"/>
  <c r="AD110" i="12"/>
  <c r="AD116" i="12"/>
  <c r="AC110" i="12"/>
  <c r="AC116" i="12"/>
  <c r="AB110" i="12"/>
  <c r="AB116" i="12"/>
  <c r="AA110" i="12"/>
  <c r="AA116" i="12"/>
  <c r="Z110" i="12"/>
  <c r="Z116" i="12"/>
  <c r="Y110" i="12"/>
  <c r="Y116" i="12"/>
  <c r="X110" i="12"/>
  <c r="X116" i="12"/>
  <c r="W110" i="12"/>
  <c r="W116" i="12"/>
  <c r="V110" i="12"/>
  <c r="V116" i="12"/>
  <c r="U110" i="12"/>
  <c r="U116" i="12"/>
  <c r="T110" i="12"/>
  <c r="T116" i="12"/>
  <c r="S110" i="12"/>
  <c r="S116" i="12"/>
  <c r="R110" i="12"/>
  <c r="R116" i="12"/>
  <c r="Q110" i="12"/>
  <c r="Q116" i="12"/>
  <c r="P110" i="12"/>
  <c r="P116" i="12"/>
  <c r="O110" i="12"/>
  <c r="O116" i="12"/>
  <c r="N110" i="12"/>
  <c r="N116" i="12"/>
  <c r="M110" i="12"/>
  <c r="M116" i="12"/>
  <c r="L110" i="12"/>
  <c r="L116" i="12"/>
  <c r="K110" i="12"/>
  <c r="K116" i="12"/>
  <c r="J110" i="12"/>
  <c r="J116" i="12"/>
  <c r="I110" i="12"/>
  <c r="I116" i="12"/>
  <c r="H110" i="12"/>
  <c r="H116" i="12"/>
  <c r="G110" i="12"/>
  <c r="G116" i="12"/>
  <c r="F110" i="12"/>
  <c r="F116" i="12"/>
  <c r="E189" i="11"/>
  <c r="E110" i="12"/>
  <c r="AF47" i="17"/>
  <c r="Q42" i="17"/>
  <c r="S42" i="17"/>
  <c r="AI42" i="17"/>
  <c r="M42" i="17"/>
  <c r="AK42" i="17"/>
  <c r="T42" i="17"/>
  <c r="AJ42" i="17"/>
  <c r="AK183" i="11"/>
  <c r="AK189" i="11"/>
  <c r="AJ183" i="11"/>
  <c r="AJ189" i="11"/>
  <c r="AI183" i="11"/>
  <c r="AI189" i="11"/>
  <c r="AH183" i="11"/>
  <c r="AH189" i="11"/>
  <c r="AG183" i="11"/>
  <c r="AG189" i="11"/>
  <c r="AF183" i="11"/>
  <c r="AF189" i="11"/>
  <c r="AE183" i="11"/>
  <c r="AE189" i="11"/>
  <c r="AD183" i="11"/>
  <c r="AD189" i="11"/>
  <c r="AC183" i="11"/>
  <c r="AC189" i="11"/>
  <c r="AB183" i="11"/>
  <c r="AB189" i="11"/>
  <c r="AA183" i="11"/>
  <c r="AA189" i="11"/>
  <c r="Z183" i="11"/>
  <c r="Z189" i="11"/>
  <c r="Y183" i="11"/>
  <c r="Y189" i="11"/>
  <c r="X183" i="11"/>
  <c r="X189" i="11"/>
  <c r="W183" i="11"/>
  <c r="W189" i="11"/>
  <c r="V183" i="11"/>
  <c r="V189" i="11"/>
  <c r="U183" i="11"/>
  <c r="U189" i="11"/>
  <c r="T183" i="11"/>
  <c r="T189" i="11"/>
  <c r="S183" i="11"/>
  <c r="S189" i="11"/>
  <c r="R183" i="11"/>
  <c r="R189" i="11"/>
  <c r="Q183" i="11"/>
  <c r="Q189" i="11"/>
  <c r="P183" i="11"/>
  <c r="P189" i="11"/>
  <c r="O183" i="11"/>
  <c r="O189" i="11"/>
  <c r="N183" i="11"/>
  <c r="N189" i="11"/>
  <c r="M183" i="11"/>
  <c r="M189" i="11"/>
  <c r="L183" i="11"/>
  <c r="L189" i="11"/>
  <c r="K183" i="11"/>
  <c r="K189" i="11"/>
  <c r="J183" i="11"/>
  <c r="J189" i="11"/>
  <c r="I183" i="11"/>
  <c r="I189" i="11"/>
  <c r="H183" i="11"/>
  <c r="H189" i="11"/>
  <c r="G183" i="11"/>
  <c r="G189" i="11"/>
  <c r="F183" i="11"/>
  <c r="F189" i="11"/>
  <c r="E177" i="11"/>
  <c r="E183" i="11"/>
  <c r="AK171" i="11"/>
  <c r="AK177" i="11"/>
  <c r="AJ171" i="11"/>
  <c r="AJ177" i="11"/>
  <c r="AI171" i="11"/>
  <c r="AI177" i="11"/>
  <c r="AH171" i="11"/>
  <c r="AH177" i="11"/>
  <c r="AG171" i="11"/>
  <c r="AG177" i="11"/>
  <c r="AF171" i="11"/>
  <c r="AF177" i="11"/>
  <c r="AE171" i="11"/>
  <c r="AE177" i="11"/>
  <c r="AD171" i="11"/>
  <c r="AD177" i="11"/>
  <c r="AC171" i="11"/>
  <c r="AC177" i="11"/>
  <c r="AB171" i="11"/>
  <c r="AB177" i="11"/>
  <c r="AA171" i="11"/>
  <c r="AA177" i="11"/>
  <c r="Z171" i="11"/>
  <c r="Z177" i="11"/>
  <c r="Y171" i="11"/>
  <c r="Y177" i="11"/>
  <c r="X171" i="11"/>
  <c r="X177" i="11"/>
  <c r="W171" i="11"/>
  <c r="W177" i="11"/>
  <c r="V171" i="11"/>
  <c r="V177" i="11"/>
  <c r="U171" i="11"/>
  <c r="U177" i="11"/>
  <c r="T171" i="11"/>
  <c r="T177" i="11"/>
  <c r="S171" i="11"/>
  <c r="S177" i="11"/>
  <c r="R171" i="11"/>
  <c r="R177" i="11"/>
  <c r="Q171" i="11"/>
  <c r="Q177" i="11"/>
  <c r="P171" i="11"/>
  <c r="P177" i="11"/>
  <c r="O171" i="11"/>
  <c r="O177" i="11"/>
  <c r="N171" i="11"/>
  <c r="N177" i="11"/>
  <c r="M171" i="11"/>
  <c r="M177" i="11"/>
  <c r="L171" i="11"/>
  <c r="L177" i="11"/>
  <c r="K171" i="11"/>
  <c r="K177" i="11"/>
  <c r="J171" i="11"/>
  <c r="J177" i="11"/>
  <c r="I171" i="11"/>
  <c r="I177" i="11"/>
  <c r="H171" i="11"/>
  <c r="H177" i="11"/>
  <c r="G171" i="11"/>
  <c r="G177" i="11"/>
  <c r="F171" i="11"/>
  <c r="F177" i="11"/>
  <c r="E165" i="11"/>
  <c r="E171" i="11"/>
  <c r="AK159" i="11"/>
  <c r="AK165" i="11"/>
  <c r="AJ159" i="11"/>
  <c r="AJ165" i="11"/>
  <c r="AI159" i="11"/>
  <c r="AI165" i="11"/>
  <c r="AH159" i="11"/>
  <c r="AH165" i="11"/>
  <c r="AG159" i="11"/>
  <c r="AG165" i="11"/>
  <c r="AF159" i="11"/>
  <c r="AF165" i="11"/>
  <c r="AE159" i="11"/>
  <c r="AE165" i="11"/>
  <c r="AD159" i="11"/>
  <c r="AD165" i="11"/>
  <c r="AC159" i="11"/>
  <c r="AC165" i="11"/>
  <c r="AB159" i="11"/>
  <c r="AB165" i="11"/>
  <c r="AA159" i="11"/>
  <c r="AA165" i="11"/>
  <c r="Z159" i="11"/>
  <c r="Z165" i="11"/>
  <c r="Y159" i="11"/>
  <c r="Y165" i="11"/>
  <c r="X159" i="11"/>
  <c r="X165" i="11"/>
  <c r="W159" i="11"/>
  <c r="W165" i="11"/>
  <c r="V159" i="11"/>
  <c r="V165" i="11"/>
  <c r="U159" i="11"/>
  <c r="U165" i="11"/>
  <c r="T159" i="11"/>
  <c r="T165" i="11"/>
  <c r="S159" i="11"/>
  <c r="S165" i="11"/>
  <c r="R159" i="11"/>
  <c r="R165" i="11"/>
  <c r="Q159" i="11"/>
  <c r="Q165" i="11"/>
  <c r="P159" i="11"/>
  <c r="P165" i="11"/>
  <c r="O159" i="11"/>
  <c r="O165" i="11"/>
  <c r="N159" i="11"/>
  <c r="N165" i="11"/>
  <c r="M159" i="11"/>
  <c r="M165" i="11"/>
  <c r="L159" i="11"/>
  <c r="L165" i="11"/>
  <c r="K159" i="11"/>
  <c r="K165" i="11"/>
  <c r="J159" i="11"/>
  <c r="J165" i="11"/>
  <c r="I159" i="11"/>
  <c r="I165" i="11"/>
  <c r="H159" i="11"/>
  <c r="H165" i="11"/>
  <c r="G159" i="11"/>
  <c r="G165" i="11"/>
  <c r="F159" i="11"/>
  <c r="F165" i="11"/>
  <c r="E153" i="11"/>
  <c r="E159" i="11"/>
  <c r="AK146" i="11"/>
  <c r="AK153" i="11"/>
  <c r="AJ146" i="11"/>
  <c r="AJ153" i="11"/>
  <c r="AI146" i="11"/>
  <c r="AI153" i="11"/>
  <c r="AH146" i="11"/>
  <c r="AH153" i="11"/>
  <c r="AG146" i="11"/>
  <c r="AG153" i="11"/>
  <c r="AF146" i="11"/>
  <c r="AF153" i="11"/>
  <c r="AE146" i="11"/>
  <c r="AE153" i="11"/>
  <c r="AD146" i="11"/>
  <c r="AD153" i="11"/>
  <c r="AC146" i="11"/>
  <c r="AC153" i="11"/>
  <c r="AB146" i="11"/>
  <c r="AB153" i="11"/>
  <c r="AA146" i="11"/>
  <c r="AA153" i="11"/>
  <c r="Z146" i="11"/>
  <c r="Z153" i="11"/>
  <c r="Y146" i="11"/>
  <c r="Y153" i="11"/>
  <c r="X146" i="11"/>
  <c r="X153" i="11"/>
  <c r="W146" i="11"/>
  <c r="W153" i="11"/>
  <c r="V146" i="11"/>
  <c r="V153" i="11"/>
  <c r="U146" i="11"/>
  <c r="U153" i="11"/>
  <c r="T146" i="11"/>
  <c r="T153" i="11"/>
  <c r="S146" i="11"/>
  <c r="S153" i="11"/>
  <c r="R146" i="11"/>
  <c r="R153" i="11"/>
  <c r="Q146" i="11"/>
  <c r="Q153" i="11"/>
  <c r="P146" i="11"/>
  <c r="P153" i="11"/>
  <c r="O146" i="11"/>
  <c r="O153" i="11"/>
  <c r="N146" i="11"/>
  <c r="N153" i="11"/>
  <c r="M146" i="11"/>
  <c r="M153" i="11"/>
  <c r="L146" i="11"/>
  <c r="L153" i="11"/>
  <c r="K146" i="11"/>
  <c r="K153" i="11"/>
  <c r="J146" i="11"/>
  <c r="J153" i="11"/>
  <c r="I146" i="11"/>
  <c r="I153" i="11"/>
  <c r="H146" i="11"/>
  <c r="H153" i="11"/>
  <c r="G146" i="11"/>
  <c r="G153" i="11"/>
  <c r="F146" i="11"/>
  <c r="F153" i="11"/>
  <c r="E140" i="11"/>
  <c r="E146" i="11"/>
  <c r="AK134" i="11"/>
  <c r="AK140" i="11"/>
  <c r="AJ134" i="11"/>
  <c r="AJ140" i="11"/>
  <c r="AI134" i="11"/>
  <c r="AI140" i="11"/>
  <c r="AH134" i="11"/>
  <c r="AH140" i="11"/>
  <c r="AG134" i="11"/>
  <c r="AG140" i="11"/>
  <c r="AF134" i="11"/>
  <c r="AF140" i="11"/>
  <c r="AE134" i="11"/>
  <c r="AE140" i="11"/>
  <c r="AD134" i="11"/>
  <c r="AD140" i="11"/>
  <c r="AC134" i="11"/>
  <c r="AC140" i="11"/>
  <c r="AB134" i="11"/>
  <c r="AB140" i="11"/>
  <c r="AA134" i="11"/>
  <c r="AA140" i="11"/>
  <c r="Z134" i="11"/>
  <c r="Z140" i="11"/>
  <c r="Y134" i="11"/>
  <c r="Y140" i="11"/>
  <c r="X134" i="11"/>
  <c r="X140" i="11"/>
  <c r="W134" i="11"/>
  <c r="W140" i="11"/>
  <c r="V134" i="11"/>
  <c r="V140" i="11"/>
  <c r="U134" i="11"/>
  <c r="U140" i="11"/>
  <c r="T134" i="11"/>
  <c r="T140" i="11"/>
  <c r="S134" i="11"/>
  <c r="S140" i="11"/>
  <c r="R134" i="11"/>
  <c r="R140" i="11"/>
  <c r="Q134" i="11"/>
  <c r="Q140" i="11"/>
  <c r="P134" i="11"/>
  <c r="P140" i="11"/>
  <c r="O134" i="11"/>
  <c r="O140" i="11"/>
  <c r="N134" i="11"/>
  <c r="N140" i="11"/>
  <c r="M134" i="11"/>
  <c r="M140" i="11"/>
  <c r="L134" i="11"/>
  <c r="L140" i="11"/>
  <c r="K134" i="11"/>
  <c r="K140" i="11"/>
  <c r="J134" i="11"/>
  <c r="J140" i="11"/>
  <c r="I134" i="11"/>
  <c r="I140" i="11"/>
  <c r="H134" i="11"/>
  <c r="H140" i="11"/>
  <c r="G134" i="11"/>
  <c r="G140" i="11"/>
  <c r="F134" i="11"/>
  <c r="F140" i="11"/>
  <c r="E128" i="11"/>
  <c r="E134" i="11"/>
  <c r="AK122" i="11"/>
  <c r="AK128" i="11"/>
  <c r="AJ122" i="11"/>
  <c r="AJ128" i="11"/>
  <c r="AI122" i="11"/>
  <c r="AI128" i="11"/>
  <c r="AH122" i="11"/>
  <c r="AH128" i="11"/>
  <c r="AG122" i="11"/>
  <c r="AG128" i="11"/>
  <c r="AF122" i="11"/>
  <c r="AF128" i="11"/>
  <c r="AE122" i="11"/>
  <c r="AE128" i="11"/>
  <c r="AD122" i="11"/>
  <c r="AD128" i="11"/>
  <c r="AC122" i="11"/>
  <c r="AC128" i="11"/>
  <c r="AB122" i="11"/>
  <c r="AB128" i="11"/>
  <c r="AA122" i="11"/>
  <c r="AA128" i="11"/>
  <c r="Z122" i="11"/>
  <c r="Z128" i="11"/>
  <c r="Y122" i="11"/>
  <c r="Y128" i="11"/>
  <c r="X122" i="11"/>
  <c r="X128" i="11"/>
  <c r="W122" i="11"/>
  <c r="W128" i="11"/>
  <c r="V122" i="11"/>
  <c r="V128" i="11"/>
  <c r="U122" i="11"/>
  <c r="U128" i="11"/>
  <c r="T122" i="11"/>
  <c r="T128" i="11"/>
  <c r="S122" i="11"/>
  <c r="S128" i="11"/>
  <c r="R122" i="11"/>
  <c r="R128" i="11"/>
  <c r="Q122" i="11"/>
  <c r="Q128" i="11"/>
  <c r="P122" i="11"/>
  <c r="P128" i="11"/>
  <c r="O122" i="11"/>
  <c r="O128" i="11"/>
  <c r="N122" i="11"/>
  <c r="N128" i="11"/>
  <c r="M122" i="11"/>
  <c r="M128" i="11"/>
  <c r="L122" i="11"/>
  <c r="L128" i="11"/>
  <c r="K122" i="11"/>
  <c r="K128" i="11"/>
  <c r="J122" i="11"/>
  <c r="J128" i="11"/>
  <c r="I122" i="11"/>
  <c r="I128" i="11"/>
  <c r="H122" i="11"/>
  <c r="H128" i="11"/>
  <c r="G122" i="11"/>
  <c r="G128" i="11"/>
  <c r="F122" i="11"/>
  <c r="F128" i="11"/>
  <c r="E116" i="11"/>
  <c r="E122" i="11"/>
  <c r="AK110" i="11"/>
  <c r="AK116" i="11"/>
  <c r="AJ110" i="11"/>
  <c r="AJ116" i="11"/>
  <c r="AI110" i="11"/>
  <c r="AI116" i="11"/>
  <c r="AH110" i="11"/>
  <c r="AH116" i="11"/>
  <c r="AG110" i="11"/>
  <c r="AG116" i="11"/>
  <c r="AF110" i="11"/>
  <c r="AF116" i="11"/>
  <c r="AE110" i="11"/>
  <c r="AE116" i="11"/>
  <c r="AD110" i="11"/>
  <c r="AD116" i="11"/>
  <c r="AC110" i="11"/>
  <c r="AC116" i="11"/>
  <c r="AB110" i="11"/>
  <c r="AB116" i="11"/>
  <c r="AA110" i="11"/>
  <c r="AA116" i="11"/>
  <c r="Z110" i="11"/>
  <c r="Z116" i="11"/>
  <c r="Y110" i="11"/>
  <c r="Y116" i="11"/>
  <c r="X110" i="11"/>
  <c r="X116" i="11"/>
  <c r="W110" i="11"/>
  <c r="W116" i="11"/>
  <c r="V110" i="11"/>
  <c r="V116" i="11"/>
  <c r="U110" i="11"/>
  <c r="U116" i="11"/>
  <c r="T110" i="11"/>
  <c r="T116" i="11"/>
  <c r="S110" i="11"/>
  <c r="S116" i="11"/>
  <c r="R110" i="11"/>
  <c r="R116" i="11"/>
  <c r="Q110" i="11"/>
  <c r="Q116" i="11"/>
  <c r="P110" i="11"/>
  <c r="P116" i="11"/>
  <c r="O110" i="11"/>
  <c r="O116" i="11"/>
  <c r="N110" i="11"/>
  <c r="N116" i="11"/>
  <c r="M110" i="11"/>
  <c r="M116" i="11"/>
  <c r="L110" i="11"/>
  <c r="L116" i="11"/>
  <c r="K110" i="11"/>
  <c r="K116" i="11"/>
  <c r="J110" i="11"/>
  <c r="J116" i="11"/>
  <c r="I110" i="11"/>
  <c r="I116" i="11"/>
  <c r="H110" i="11"/>
  <c r="H116" i="11"/>
  <c r="G110" i="11"/>
  <c r="G116" i="11"/>
  <c r="F110" i="11"/>
  <c r="F116" i="11"/>
  <c r="E189" i="13"/>
  <c r="E110" i="11"/>
  <c r="AK183" i="13"/>
  <c r="AK189" i="13"/>
  <c r="AJ183" i="13"/>
  <c r="AJ189" i="13"/>
  <c r="AI183" i="13"/>
  <c r="AI189" i="13"/>
  <c r="AH183" i="13"/>
  <c r="AH189" i="13"/>
  <c r="AG183" i="13"/>
  <c r="AG189" i="13"/>
  <c r="AF183" i="13"/>
  <c r="AF189" i="13"/>
  <c r="AE183" i="13"/>
  <c r="AE189" i="13"/>
  <c r="AD183" i="13"/>
  <c r="AD189" i="13"/>
  <c r="AC183" i="13"/>
  <c r="AC189" i="13"/>
  <c r="AB183" i="13"/>
  <c r="AB189" i="13"/>
  <c r="AA183" i="13"/>
  <c r="AA189" i="13"/>
  <c r="Z183" i="13"/>
  <c r="Z189" i="13"/>
  <c r="Y183" i="13"/>
  <c r="Y189" i="13"/>
  <c r="X183" i="13"/>
  <c r="X189" i="13"/>
  <c r="W183" i="13"/>
  <c r="W189" i="13"/>
  <c r="V183" i="13"/>
  <c r="V189" i="13"/>
  <c r="U183" i="13"/>
  <c r="U189" i="13"/>
  <c r="T183" i="13"/>
  <c r="T189" i="13"/>
  <c r="S183" i="13"/>
  <c r="S189" i="13"/>
  <c r="R183" i="13"/>
  <c r="R189" i="13"/>
  <c r="Q183" i="13"/>
  <c r="Q189" i="13"/>
  <c r="P183" i="13"/>
  <c r="P189" i="13"/>
  <c r="O183" i="13"/>
  <c r="O189" i="13"/>
  <c r="N183" i="13"/>
  <c r="N189" i="13"/>
  <c r="M183" i="13"/>
  <c r="M189" i="13"/>
  <c r="L183" i="13"/>
  <c r="L189" i="13"/>
  <c r="K183" i="13"/>
  <c r="K189" i="13"/>
  <c r="J183" i="13"/>
  <c r="J189" i="13"/>
  <c r="I183" i="13"/>
  <c r="I189" i="13"/>
  <c r="H183" i="13"/>
  <c r="H189" i="13"/>
  <c r="G183" i="13"/>
  <c r="G189" i="13"/>
  <c r="F183" i="13"/>
  <c r="F189" i="13"/>
  <c r="E177" i="13"/>
  <c r="E183" i="13"/>
  <c r="AK171" i="13"/>
  <c r="AK177" i="13"/>
  <c r="AJ171" i="13"/>
  <c r="AJ177" i="13"/>
  <c r="AI171" i="13"/>
  <c r="AI177" i="13"/>
  <c r="AH171" i="13"/>
  <c r="AH177" i="13"/>
  <c r="AG171" i="13"/>
  <c r="AG177" i="13"/>
  <c r="AF171" i="13"/>
  <c r="AF177" i="13"/>
  <c r="AE171" i="13"/>
  <c r="AE177" i="13"/>
  <c r="AD171" i="13"/>
  <c r="AD177" i="13"/>
  <c r="AC171" i="13"/>
  <c r="AC177" i="13"/>
  <c r="AB171" i="13"/>
  <c r="AB177" i="13"/>
  <c r="AA171" i="13"/>
  <c r="AA177" i="13"/>
  <c r="Z171" i="13"/>
  <c r="Z177" i="13"/>
  <c r="Y171" i="13"/>
  <c r="Y177" i="13"/>
  <c r="X171" i="13"/>
  <c r="X177" i="13"/>
  <c r="W171" i="13"/>
  <c r="W177" i="13"/>
  <c r="V171" i="13"/>
  <c r="V177" i="13"/>
  <c r="U171" i="13"/>
  <c r="U177" i="13"/>
  <c r="T171" i="13"/>
  <c r="T177" i="13"/>
  <c r="S171" i="13"/>
  <c r="S177" i="13"/>
  <c r="R171" i="13"/>
  <c r="R177" i="13"/>
  <c r="Q171" i="13"/>
  <c r="Q177" i="13"/>
  <c r="P171" i="13"/>
  <c r="P177" i="13"/>
  <c r="O171" i="13"/>
  <c r="O177" i="13"/>
  <c r="N171" i="13"/>
  <c r="N177" i="13"/>
  <c r="M171" i="13"/>
  <c r="M177" i="13"/>
  <c r="L171" i="13"/>
  <c r="L177" i="13"/>
  <c r="K171" i="13"/>
  <c r="K177" i="13"/>
  <c r="J171" i="13"/>
  <c r="J177" i="13"/>
  <c r="I171" i="13"/>
  <c r="I177" i="13"/>
  <c r="H171" i="13"/>
  <c r="H177" i="13"/>
  <c r="G171" i="13"/>
  <c r="G177" i="13"/>
  <c r="F171" i="13"/>
  <c r="F177" i="13"/>
  <c r="E165" i="13"/>
  <c r="E171" i="13"/>
  <c r="AK159" i="13"/>
  <c r="AK165" i="13"/>
  <c r="AJ159" i="13"/>
  <c r="AJ165" i="13"/>
  <c r="AI159" i="13"/>
  <c r="AI165" i="13"/>
  <c r="AH159" i="13"/>
  <c r="AH165" i="13"/>
  <c r="AG159" i="13"/>
  <c r="AG165" i="13"/>
  <c r="AF159" i="13"/>
  <c r="AF165" i="13"/>
  <c r="AE159" i="13"/>
  <c r="AE165" i="13"/>
  <c r="AD159" i="13"/>
  <c r="AD165" i="13"/>
  <c r="AC159" i="13"/>
  <c r="AC165" i="13"/>
  <c r="AB159" i="13"/>
  <c r="AB165" i="13"/>
  <c r="AA159" i="13"/>
  <c r="AA165" i="13"/>
  <c r="Z159" i="13"/>
  <c r="Z165" i="13"/>
  <c r="Y159" i="13"/>
  <c r="Y165" i="13"/>
  <c r="X159" i="13"/>
  <c r="X165" i="13"/>
  <c r="W159" i="13"/>
  <c r="W165" i="13"/>
  <c r="V159" i="13"/>
  <c r="V165" i="13"/>
  <c r="U159" i="13"/>
  <c r="U165" i="13"/>
  <c r="T159" i="13"/>
  <c r="T165" i="13"/>
  <c r="S159" i="13"/>
  <c r="S165" i="13"/>
  <c r="R159" i="13"/>
  <c r="R165" i="13"/>
  <c r="Q159" i="13"/>
  <c r="Q165" i="13"/>
  <c r="P159" i="13"/>
  <c r="P165" i="13"/>
  <c r="O159" i="13"/>
  <c r="O165" i="13"/>
  <c r="N159" i="13"/>
  <c r="N165" i="13"/>
  <c r="M159" i="13"/>
  <c r="M165" i="13"/>
  <c r="L159" i="13"/>
  <c r="L165" i="13"/>
  <c r="K159" i="13"/>
  <c r="K165" i="13"/>
  <c r="J159" i="13"/>
  <c r="J165" i="13"/>
  <c r="I159" i="13"/>
  <c r="I165" i="13"/>
  <c r="H159" i="13"/>
  <c r="H165" i="13"/>
  <c r="G159" i="13"/>
  <c r="G165" i="13"/>
  <c r="F159" i="13"/>
  <c r="F165" i="13"/>
  <c r="E153" i="13"/>
  <c r="E159" i="13"/>
  <c r="AK146" i="13"/>
  <c r="AK153" i="13"/>
  <c r="AJ146" i="13"/>
  <c r="AJ153" i="13"/>
  <c r="AI146" i="13"/>
  <c r="AI153" i="13"/>
  <c r="AH146" i="13"/>
  <c r="AH153" i="13"/>
  <c r="AG146" i="13"/>
  <c r="AG153" i="13"/>
  <c r="AF146" i="13"/>
  <c r="AF153" i="13"/>
  <c r="AE146" i="13"/>
  <c r="AE153" i="13"/>
  <c r="AD146" i="13"/>
  <c r="AD153" i="13"/>
  <c r="AC146" i="13"/>
  <c r="AC153" i="13"/>
  <c r="AB146" i="13"/>
  <c r="AB153" i="13"/>
  <c r="AA146" i="13"/>
  <c r="AA153" i="13"/>
  <c r="Z146" i="13"/>
  <c r="Z153" i="13"/>
  <c r="Y146" i="13"/>
  <c r="Y153" i="13"/>
  <c r="X146" i="13"/>
  <c r="X153" i="13"/>
  <c r="W146" i="13"/>
  <c r="W153" i="13"/>
  <c r="V146" i="13"/>
  <c r="V153" i="13"/>
  <c r="U146" i="13"/>
  <c r="U153" i="13"/>
  <c r="T146" i="13"/>
  <c r="T153" i="13"/>
  <c r="S146" i="13"/>
  <c r="S153" i="13"/>
  <c r="R146" i="13"/>
  <c r="R153" i="13"/>
  <c r="Q146" i="13"/>
  <c r="Q153" i="13"/>
  <c r="P146" i="13"/>
  <c r="P153" i="13"/>
  <c r="O146" i="13"/>
  <c r="O153" i="13"/>
  <c r="N146" i="13"/>
  <c r="N153" i="13"/>
  <c r="M146" i="13"/>
  <c r="M153" i="13"/>
  <c r="L146" i="13"/>
  <c r="L153" i="13"/>
  <c r="K146" i="13"/>
  <c r="K153" i="13"/>
  <c r="J146" i="13"/>
  <c r="J153" i="13"/>
  <c r="I146" i="13"/>
  <c r="I153" i="13"/>
  <c r="H146" i="13"/>
  <c r="H153" i="13"/>
  <c r="G146" i="13"/>
  <c r="G153" i="13"/>
  <c r="F146" i="13"/>
  <c r="F153" i="13"/>
  <c r="E140" i="13"/>
  <c r="E146" i="13"/>
  <c r="AK134" i="13"/>
  <c r="AK140" i="13"/>
  <c r="AJ134" i="13"/>
  <c r="AJ140" i="13"/>
  <c r="AI134" i="13"/>
  <c r="AI140" i="13"/>
  <c r="AH134" i="13"/>
  <c r="AH140" i="13"/>
  <c r="AG134" i="13"/>
  <c r="AG140" i="13"/>
  <c r="AF134" i="13"/>
  <c r="AF140" i="13"/>
  <c r="AE134" i="13"/>
  <c r="AE140" i="13"/>
  <c r="AD134" i="13"/>
  <c r="AD140" i="13"/>
  <c r="AC134" i="13"/>
  <c r="AC140" i="13"/>
  <c r="AB134" i="13"/>
  <c r="AB140" i="13"/>
  <c r="AA134" i="13"/>
  <c r="AA140" i="13"/>
  <c r="Z134" i="13"/>
  <c r="Z140" i="13"/>
  <c r="Y134" i="13"/>
  <c r="Y140" i="13"/>
  <c r="X134" i="13"/>
  <c r="X140" i="13"/>
  <c r="W134" i="13"/>
  <c r="W140" i="13"/>
  <c r="V134" i="13"/>
  <c r="V140" i="13"/>
  <c r="U134" i="13"/>
  <c r="U140" i="13"/>
  <c r="T134" i="13"/>
  <c r="T140" i="13"/>
  <c r="S134" i="13"/>
  <c r="S140" i="13"/>
  <c r="R134" i="13"/>
  <c r="R140" i="13"/>
  <c r="Q134" i="13"/>
  <c r="Q140" i="13"/>
  <c r="P134" i="13"/>
  <c r="P140" i="13"/>
  <c r="O134" i="13"/>
  <c r="O140" i="13"/>
  <c r="N134" i="13"/>
  <c r="N140" i="13"/>
  <c r="M134" i="13"/>
  <c r="M140" i="13"/>
  <c r="L134" i="13"/>
  <c r="L140" i="13"/>
  <c r="K134" i="13"/>
  <c r="K140" i="13"/>
  <c r="J134" i="13"/>
  <c r="J140" i="13"/>
  <c r="I134" i="13"/>
  <c r="I140" i="13"/>
  <c r="H134" i="13"/>
  <c r="H140" i="13"/>
  <c r="G134" i="13"/>
  <c r="G140" i="13"/>
  <c r="F134" i="13"/>
  <c r="F140" i="13"/>
  <c r="E128" i="13"/>
  <c r="E134" i="13"/>
  <c r="AK122" i="13"/>
  <c r="AK128" i="13"/>
  <c r="AJ122" i="13"/>
  <c r="AJ128" i="13"/>
  <c r="AI122" i="13"/>
  <c r="AI128" i="13"/>
  <c r="AH122" i="13"/>
  <c r="AH128" i="13"/>
  <c r="AG122" i="13"/>
  <c r="AG128" i="13"/>
  <c r="AF122" i="13"/>
  <c r="AF128" i="13"/>
  <c r="AE122" i="13"/>
  <c r="AE128" i="13"/>
  <c r="AD122" i="13"/>
  <c r="AD128" i="13"/>
  <c r="AC122" i="13"/>
  <c r="AC128" i="13"/>
  <c r="AB122" i="13"/>
  <c r="AB128" i="13"/>
  <c r="AA122" i="13"/>
  <c r="AA128" i="13"/>
  <c r="Z122" i="13"/>
  <c r="Z128" i="13"/>
  <c r="Y122" i="13"/>
  <c r="Y128" i="13"/>
  <c r="X122" i="13"/>
  <c r="X128" i="13"/>
  <c r="W122" i="13"/>
  <c r="W128" i="13"/>
  <c r="V122" i="13"/>
  <c r="V128" i="13"/>
  <c r="U122" i="13"/>
  <c r="U128" i="13"/>
  <c r="T122" i="13"/>
  <c r="T128" i="13"/>
  <c r="S122" i="13"/>
  <c r="S128" i="13"/>
  <c r="R122" i="13"/>
  <c r="R128" i="13"/>
  <c r="Q122" i="13"/>
  <c r="Q128" i="13"/>
  <c r="P122" i="13"/>
  <c r="P128" i="13"/>
  <c r="O122" i="13"/>
  <c r="O128" i="13"/>
  <c r="N122" i="13"/>
  <c r="N128" i="13"/>
  <c r="M122" i="13"/>
  <c r="M128" i="13"/>
  <c r="L122" i="13"/>
  <c r="L128" i="13"/>
  <c r="K122" i="13"/>
  <c r="K128" i="13"/>
  <c r="J122" i="13"/>
  <c r="J128" i="13"/>
  <c r="I122" i="13"/>
  <c r="I128" i="13"/>
  <c r="H122" i="13"/>
  <c r="H128" i="13"/>
  <c r="G122" i="13"/>
  <c r="G128" i="13"/>
  <c r="F122" i="13"/>
  <c r="F128" i="13"/>
  <c r="E116" i="13"/>
  <c r="E122" i="13"/>
  <c r="AK110" i="13"/>
  <c r="AK116" i="13"/>
  <c r="AJ110" i="13"/>
  <c r="AJ116" i="13"/>
  <c r="AI110" i="13"/>
  <c r="AI116" i="13"/>
  <c r="AH110" i="13"/>
  <c r="AH116" i="13"/>
  <c r="AG110" i="13"/>
  <c r="AG116" i="13"/>
  <c r="AF110" i="13"/>
  <c r="AF116" i="13"/>
  <c r="AE110" i="13"/>
  <c r="AE116" i="13"/>
  <c r="AD110" i="13"/>
  <c r="AD116" i="13"/>
  <c r="AC110" i="13"/>
  <c r="AC116" i="13"/>
  <c r="AB110" i="13"/>
  <c r="AB116" i="13"/>
  <c r="AA110" i="13"/>
  <c r="AA116" i="13"/>
  <c r="Z110" i="13"/>
  <c r="Z116" i="13"/>
  <c r="Y110" i="13"/>
  <c r="Y116" i="13"/>
  <c r="X110" i="13"/>
  <c r="X116" i="13"/>
  <c r="W110" i="13"/>
  <c r="W116" i="13"/>
  <c r="V110" i="13"/>
  <c r="V116" i="13"/>
  <c r="U110" i="13"/>
  <c r="U116" i="13"/>
  <c r="T110" i="13"/>
  <c r="T116" i="13"/>
  <c r="S110" i="13"/>
  <c r="S116" i="13"/>
  <c r="R110" i="13"/>
  <c r="R116" i="13"/>
  <c r="Q110" i="13"/>
  <c r="Q116" i="13"/>
  <c r="P110" i="13"/>
  <c r="P116" i="13"/>
  <c r="O110" i="13"/>
  <c r="O116" i="13"/>
  <c r="N110" i="13"/>
  <c r="N116" i="13"/>
  <c r="M110" i="13"/>
  <c r="M116" i="13"/>
  <c r="L110" i="13"/>
  <c r="L116" i="13"/>
  <c r="K110" i="13"/>
  <c r="K116" i="13"/>
  <c r="J110" i="13"/>
  <c r="J116" i="13"/>
  <c r="I110" i="13"/>
  <c r="I116" i="13"/>
  <c r="H110" i="13"/>
  <c r="H116" i="13"/>
  <c r="G110" i="13"/>
  <c r="G116" i="13"/>
  <c r="F110" i="13"/>
  <c r="F116" i="13"/>
  <c r="E189" i="14"/>
  <c r="E110" i="13"/>
  <c r="AK183" i="14"/>
  <c r="AK189" i="14"/>
  <c r="AJ183" i="14"/>
  <c r="AJ189" i="14"/>
  <c r="AI183" i="14"/>
  <c r="AI189" i="14"/>
  <c r="AH183" i="14"/>
  <c r="AH189" i="14"/>
  <c r="AG183" i="14"/>
  <c r="AG189" i="14"/>
  <c r="AF183" i="14"/>
  <c r="AF189" i="14"/>
  <c r="AE183" i="14"/>
  <c r="AE189" i="14"/>
  <c r="AD183" i="14"/>
  <c r="AD189" i="14"/>
  <c r="AC183" i="14"/>
  <c r="AC189" i="14"/>
  <c r="AB183" i="14"/>
  <c r="AB189" i="14"/>
  <c r="AA183" i="14"/>
  <c r="AA189" i="14"/>
  <c r="Z183" i="14"/>
  <c r="Z189" i="14"/>
  <c r="Y183" i="14"/>
  <c r="Y189" i="14"/>
  <c r="X183" i="14"/>
  <c r="X189" i="14"/>
  <c r="W183" i="14"/>
  <c r="W189" i="14"/>
  <c r="V183" i="14"/>
  <c r="V189" i="14"/>
  <c r="U183" i="14"/>
  <c r="U189" i="14"/>
  <c r="T183" i="14"/>
  <c r="T189" i="14"/>
  <c r="S183" i="14"/>
  <c r="S189" i="14"/>
  <c r="R183" i="14"/>
  <c r="R189" i="14"/>
  <c r="Q183" i="14"/>
  <c r="Q189" i="14"/>
  <c r="P183" i="14"/>
  <c r="P189" i="14"/>
  <c r="O183" i="14"/>
  <c r="O189" i="14"/>
  <c r="N183" i="14"/>
  <c r="N189" i="14"/>
  <c r="M183" i="14"/>
  <c r="M189" i="14"/>
  <c r="L183" i="14"/>
  <c r="L189" i="14"/>
  <c r="K183" i="14"/>
  <c r="K189" i="14"/>
  <c r="J183" i="14"/>
  <c r="J189" i="14"/>
  <c r="I183" i="14"/>
  <c r="I189" i="14"/>
  <c r="H183" i="14"/>
  <c r="H189" i="14"/>
  <c r="G183" i="14"/>
  <c r="G189" i="14"/>
  <c r="F183" i="14"/>
  <c r="F189" i="14"/>
  <c r="E177" i="14"/>
  <c r="E183" i="14"/>
  <c r="AK171" i="14"/>
  <c r="AK177" i="14"/>
  <c r="AJ171" i="14"/>
  <c r="AJ177" i="14"/>
  <c r="AI171" i="14"/>
  <c r="AI177" i="14"/>
  <c r="AH171" i="14"/>
  <c r="AH177" i="14"/>
  <c r="AG171" i="14"/>
  <c r="AG177" i="14"/>
  <c r="AF171" i="14"/>
  <c r="AF177" i="14"/>
  <c r="AE171" i="14"/>
  <c r="AE177" i="14"/>
  <c r="AD171" i="14"/>
  <c r="AD177" i="14"/>
  <c r="AC171" i="14"/>
  <c r="AC177" i="14"/>
  <c r="AB171" i="14"/>
  <c r="AB177" i="14"/>
  <c r="AA171" i="14"/>
  <c r="AA177" i="14"/>
  <c r="Z171" i="14"/>
  <c r="Z177" i="14"/>
  <c r="Y171" i="14"/>
  <c r="Y177" i="14"/>
  <c r="X171" i="14"/>
  <c r="X177" i="14"/>
  <c r="W171" i="14"/>
  <c r="W177" i="14"/>
  <c r="V171" i="14"/>
  <c r="V177" i="14"/>
  <c r="U171" i="14"/>
  <c r="U177" i="14"/>
  <c r="T171" i="14"/>
  <c r="T177" i="14"/>
  <c r="S171" i="14"/>
  <c r="S177" i="14"/>
  <c r="R171" i="14"/>
  <c r="R177" i="14"/>
  <c r="Q171" i="14"/>
  <c r="Q177" i="14"/>
  <c r="P171" i="14"/>
  <c r="P177" i="14"/>
  <c r="O171" i="14"/>
  <c r="O177" i="14"/>
  <c r="N171" i="14"/>
  <c r="N177" i="14"/>
  <c r="M171" i="14"/>
  <c r="M177" i="14"/>
  <c r="L171" i="14"/>
  <c r="L177" i="14"/>
  <c r="K171" i="14"/>
  <c r="K177" i="14"/>
  <c r="J171" i="14"/>
  <c r="J177" i="14"/>
  <c r="I171" i="14"/>
  <c r="I177" i="14"/>
  <c r="H171" i="14"/>
  <c r="H177" i="14"/>
  <c r="G171" i="14"/>
  <c r="G177" i="14"/>
  <c r="F171" i="14"/>
  <c r="F177" i="14"/>
  <c r="E165" i="14"/>
  <c r="E171" i="14"/>
  <c r="AK159" i="14"/>
  <c r="AK165" i="14"/>
  <c r="AJ159" i="14"/>
  <c r="AJ165" i="14"/>
  <c r="AI159" i="14"/>
  <c r="AI165" i="14"/>
  <c r="AH159" i="14"/>
  <c r="AH165" i="14"/>
  <c r="AG159" i="14"/>
  <c r="AG165" i="14"/>
  <c r="AF159" i="14"/>
  <c r="AF165" i="14"/>
  <c r="AE159" i="14"/>
  <c r="AE165" i="14"/>
  <c r="AD159" i="14"/>
  <c r="AD165" i="14"/>
  <c r="AC159" i="14"/>
  <c r="AC165" i="14"/>
  <c r="AB159" i="14"/>
  <c r="AB165" i="14"/>
  <c r="AA159" i="14"/>
  <c r="AA165" i="14"/>
  <c r="Z159" i="14"/>
  <c r="Z165" i="14"/>
  <c r="Y159" i="14"/>
  <c r="Y165" i="14"/>
  <c r="X159" i="14"/>
  <c r="X165" i="14"/>
  <c r="W159" i="14"/>
  <c r="W165" i="14"/>
  <c r="V159" i="14"/>
  <c r="V165" i="14"/>
  <c r="U159" i="14"/>
  <c r="U165" i="14"/>
  <c r="T159" i="14"/>
  <c r="T165" i="14"/>
  <c r="S159" i="14"/>
  <c r="S165" i="14"/>
  <c r="R159" i="14"/>
  <c r="R165" i="14"/>
  <c r="Q159" i="14"/>
  <c r="Q165" i="14"/>
  <c r="P159" i="14"/>
  <c r="P165" i="14"/>
  <c r="O159" i="14"/>
  <c r="O165" i="14"/>
  <c r="N159" i="14"/>
  <c r="N165" i="14"/>
  <c r="M159" i="14"/>
  <c r="M165" i="14"/>
  <c r="L159" i="14"/>
  <c r="L165" i="14"/>
  <c r="K159" i="14"/>
  <c r="K165" i="14"/>
  <c r="J159" i="14"/>
  <c r="J165" i="14"/>
  <c r="I159" i="14"/>
  <c r="I165" i="14"/>
  <c r="H159" i="14"/>
  <c r="H165" i="14"/>
  <c r="G159" i="14"/>
  <c r="G165" i="14"/>
  <c r="F159" i="14"/>
  <c r="F165" i="14"/>
  <c r="E153" i="14"/>
  <c r="E159" i="14"/>
  <c r="AK146" i="14"/>
  <c r="AK153" i="14"/>
  <c r="AJ146" i="14"/>
  <c r="AJ153" i="14"/>
  <c r="AI146" i="14"/>
  <c r="AI153" i="14"/>
  <c r="AH146" i="14"/>
  <c r="AH153" i="14"/>
  <c r="AG146" i="14"/>
  <c r="AG153" i="14"/>
  <c r="AF146" i="14"/>
  <c r="AF153" i="14"/>
  <c r="AE146" i="14"/>
  <c r="AE153" i="14"/>
  <c r="AD146" i="14"/>
  <c r="AD153" i="14"/>
  <c r="AC146" i="14"/>
  <c r="AC153" i="14"/>
  <c r="AB146" i="14"/>
  <c r="AB153" i="14"/>
  <c r="AA146" i="14"/>
  <c r="AA153" i="14"/>
  <c r="Z146" i="14"/>
  <c r="Z153" i="14"/>
  <c r="Y146" i="14"/>
  <c r="Y153" i="14"/>
  <c r="X146" i="14"/>
  <c r="X153" i="14"/>
  <c r="W146" i="14"/>
  <c r="W153" i="14"/>
  <c r="V146" i="14"/>
  <c r="V153" i="14"/>
  <c r="U146" i="14"/>
  <c r="U153" i="14"/>
  <c r="T146" i="14"/>
  <c r="T153" i="14"/>
  <c r="S146" i="14"/>
  <c r="S153" i="14"/>
  <c r="R146" i="14"/>
  <c r="R153" i="14"/>
  <c r="Q146" i="14"/>
  <c r="Q153" i="14"/>
  <c r="P146" i="14"/>
  <c r="P153" i="14"/>
  <c r="O146" i="14"/>
  <c r="O153" i="14"/>
  <c r="N146" i="14"/>
  <c r="N153" i="14"/>
  <c r="M146" i="14"/>
  <c r="M153" i="14"/>
  <c r="L146" i="14"/>
  <c r="L153" i="14"/>
  <c r="K146" i="14"/>
  <c r="K153" i="14"/>
  <c r="J146" i="14"/>
  <c r="J153" i="14"/>
  <c r="I146" i="14"/>
  <c r="I153" i="14"/>
  <c r="H146" i="14"/>
  <c r="H153" i="14"/>
  <c r="G146" i="14"/>
  <c r="G153" i="14"/>
  <c r="F146" i="14"/>
  <c r="F153" i="14"/>
  <c r="E140" i="14"/>
  <c r="E146" i="14"/>
  <c r="AK134" i="14"/>
  <c r="AK140" i="14"/>
  <c r="AJ134" i="14"/>
  <c r="AJ140" i="14"/>
  <c r="AI134" i="14"/>
  <c r="AI140" i="14"/>
  <c r="AH134" i="14"/>
  <c r="AH140" i="14"/>
  <c r="AG134" i="14"/>
  <c r="AG140" i="14"/>
  <c r="AF134" i="14"/>
  <c r="AF140" i="14"/>
  <c r="AE134" i="14"/>
  <c r="AE140" i="14"/>
  <c r="AD134" i="14"/>
  <c r="AD140" i="14"/>
  <c r="AC134" i="14"/>
  <c r="AC140" i="14"/>
  <c r="AB134" i="14"/>
  <c r="AB140" i="14"/>
  <c r="AA134" i="14"/>
  <c r="AA140" i="14"/>
  <c r="Z134" i="14"/>
  <c r="Z140" i="14"/>
  <c r="Y134" i="14"/>
  <c r="Y140" i="14"/>
  <c r="X134" i="14"/>
  <c r="X140" i="14"/>
  <c r="W134" i="14"/>
  <c r="W140" i="14"/>
  <c r="V134" i="14"/>
  <c r="V140" i="14"/>
  <c r="U134" i="14"/>
  <c r="U140" i="14"/>
  <c r="T134" i="14"/>
  <c r="T140" i="14"/>
  <c r="S134" i="14"/>
  <c r="S140" i="14"/>
  <c r="R134" i="14"/>
  <c r="R140" i="14"/>
  <c r="Q134" i="14"/>
  <c r="Q140" i="14"/>
  <c r="P134" i="14"/>
  <c r="P140" i="14"/>
  <c r="O134" i="14"/>
  <c r="O140" i="14"/>
  <c r="N134" i="14"/>
  <c r="N140" i="14"/>
  <c r="M134" i="14"/>
  <c r="M140" i="14"/>
  <c r="L134" i="14"/>
  <c r="L140" i="14"/>
  <c r="K134" i="14"/>
  <c r="K140" i="14"/>
  <c r="J134" i="14"/>
  <c r="J140" i="14"/>
  <c r="I134" i="14"/>
  <c r="I140" i="14"/>
  <c r="H134" i="14"/>
  <c r="H140" i="14"/>
  <c r="G134" i="14"/>
  <c r="G140" i="14"/>
  <c r="F134" i="14"/>
  <c r="F140" i="14"/>
  <c r="E128" i="14"/>
  <c r="E134" i="14"/>
  <c r="AK122" i="14"/>
  <c r="AK128" i="14"/>
  <c r="AJ122" i="14"/>
  <c r="AJ128" i="14"/>
  <c r="AI122" i="14"/>
  <c r="AI128" i="14"/>
  <c r="AH122" i="14"/>
  <c r="AH128" i="14"/>
  <c r="AG122" i="14"/>
  <c r="AG128" i="14"/>
  <c r="AF122" i="14"/>
  <c r="AF128" i="14"/>
  <c r="AE122" i="14"/>
  <c r="AE128" i="14"/>
  <c r="AD122" i="14"/>
  <c r="AD128" i="14"/>
  <c r="AC122" i="14"/>
  <c r="AC128" i="14"/>
  <c r="AB122" i="14"/>
  <c r="AB128" i="14"/>
  <c r="AA122" i="14"/>
  <c r="AA128" i="14"/>
  <c r="Z122" i="14"/>
  <c r="Z128" i="14"/>
  <c r="Y122" i="14"/>
  <c r="Y128" i="14"/>
  <c r="X122" i="14"/>
  <c r="X128" i="14"/>
  <c r="W122" i="14"/>
  <c r="W128" i="14"/>
  <c r="V122" i="14"/>
  <c r="V128" i="14"/>
  <c r="U122" i="14"/>
  <c r="U128" i="14"/>
  <c r="T122" i="14"/>
  <c r="T128" i="14"/>
  <c r="S122" i="14"/>
  <c r="S128" i="14"/>
  <c r="R122" i="14"/>
  <c r="R128" i="14"/>
  <c r="Q122" i="14"/>
  <c r="Q128" i="14"/>
  <c r="P122" i="14"/>
  <c r="P128" i="14"/>
  <c r="O122" i="14"/>
  <c r="O128" i="14"/>
  <c r="N122" i="14"/>
  <c r="N128" i="14"/>
  <c r="M122" i="14"/>
  <c r="M128" i="14"/>
  <c r="L122" i="14"/>
  <c r="L128" i="14"/>
  <c r="K122" i="14"/>
  <c r="K128" i="14"/>
  <c r="J122" i="14"/>
  <c r="J128" i="14"/>
  <c r="I122" i="14"/>
  <c r="I128" i="14"/>
  <c r="H122" i="14"/>
  <c r="H128" i="14"/>
  <c r="G122" i="14"/>
  <c r="G128" i="14"/>
  <c r="F122" i="14"/>
  <c r="F128" i="14"/>
  <c r="E116" i="14"/>
  <c r="E122" i="14"/>
  <c r="AK110" i="14"/>
  <c r="AK116" i="14"/>
  <c r="AJ110" i="14"/>
  <c r="AJ116" i="14"/>
  <c r="AI110" i="14"/>
  <c r="AI116" i="14"/>
  <c r="AH110" i="14"/>
  <c r="AH116" i="14"/>
  <c r="AG110" i="14"/>
  <c r="AG116" i="14"/>
  <c r="AF110" i="14"/>
  <c r="AF116" i="14"/>
  <c r="AE110" i="14"/>
  <c r="AE116" i="14"/>
  <c r="AD110" i="14"/>
  <c r="AD116" i="14"/>
  <c r="AC110" i="14"/>
  <c r="AC116" i="14"/>
  <c r="AB110" i="14"/>
  <c r="AB116" i="14"/>
  <c r="AA110" i="14"/>
  <c r="AA116" i="14"/>
  <c r="Z110" i="14"/>
  <c r="Z116" i="14"/>
  <c r="Y110" i="14"/>
  <c r="Y116" i="14"/>
  <c r="X110" i="14"/>
  <c r="X116" i="14"/>
  <c r="W110" i="14"/>
  <c r="W116" i="14"/>
  <c r="V110" i="14"/>
  <c r="V116" i="14"/>
  <c r="U110" i="14"/>
  <c r="U116" i="14"/>
  <c r="T110" i="14"/>
  <c r="T116" i="14"/>
  <c r="S110" i="14"/>
  <c r="S116" i="14"/>
  <c r="R110" i="14"/>
  <c r="R116" i="14"/>
  <c r="Q110" i="14"/>
  <c r="Q116" i="14"/>
  <c r="P110" i="14"/>
  <c r="P116" i="14"/>
  <c r="O110" i="14"/>
  <c r="O116" i="14"/>
  <c r="N110" i="14"/>
  <c r="N116" i="14"/>
  <c r="M110" i="14"/>
  <c r="M116" i="14"/>
  <c r="L110" i="14"/>
  <c r="L116" i="14"/>
  <c r="K110" i="14"/>
  <c r="K116" i="14"/>
  <c r="J110" i="14"/>
  <c r="J116" i="14"/>
  <c r="I110" i="14"/>
  <c r="I116" i="14"/>
  <c r="H110" i="14"/>
  <c r="H116" i="14"/>
  <c r="G110" i="14"/>
  <c r="G116" i="14"/>
  <c r="F110" i="14"/>
  <c r="F116" i="14"/>
  <c r="E189" i="15"/>
  <c r="E110" i="14"/>
  <c r="AK183" i="15"/>
  <c r="AK189" i="15"/>
  <c r="AJ183" i="15"/>
  <c r="AJ189" i="15"/>
  <c r="AI183" i="15"/>
  <c r="AI189" i="15"/>
  <c r="AH183" i="15"/>
  <c r="AH189" i="15"/>
  <c r="AG183" i="15"/>
  <c r="AG189" i="15"/>
  <c r="AF183" i="15"/>
  <c r="AF189" i="15"/>
  <c r="AE183" i="15"/>
  <c r="AE189" i="15"/>
  <c r="AD183" i="15"/>
  <c r="AD189" i="15"/>
  <c r="AC183" i="15"/>
  <c r="AC189" i="15"/>
  <c r="AB183" i="15"/>
  <c r="AB189" i="15"/>
  <c r="AA183" i="15"/>
  <c r="AA189" i="15"/>
  <c r="Z183" i="15"/>
  <c r="Z189" i="15"/>
  <c r="Y183" i="15"/>
  <c r="Y189" i="15"/>
  <c r="X183" i="15"/>
  <c r="X189" i="15"/>
  <c r="W183" i="15"/>
  <c r="W189" i="15"/>
  <c r="V183" i="15"/>
  <c r="V189" i="15"/>
  <c r="U183" i="15"/>
  <c r="U189" i="15"/>
  <c r="T183" i="15"/>
  <c r="T189" i="15"/>
  <c r="S183" i="15"/>
  <c r="S189" i="15"/>
  <c r="R183" i="15"/>
  <c r="R189" i="15"/>
  <c r="Q183" i="15"/>
  <c r="Q189" i="15"/>
  <c r="P183" i="15"/>
  <c r="P189" i="15"/>
  <c r="O183" i="15"/>
  <c r="O189" i="15"/>
  <c r="N183" i="15"/>
  <c r="N189" i="15"/>
  <c r="M183" i="15"/>
  <c r="M189" i="15"/>
  <c r="L183" i="15"/>
  <c r="L189" i="15"/>
  <c r="K183" i="15"/>
  <c r="K189" i="15"/>
  <c r="J183" i="15"/>
  <c r="J189" i="15"/>
  <c r="I183" i="15"/>
  <c r="I189" i="15"/>
  <c r="H183" i="15"/>
  <c r="H189" i="15"/>
  <c r="G183" i="15"/>
  <c r="G189" i="15"/>
  <c r="F183" i="15"/>
  <c r="F189" i="15"/>
  <c r="E177" i="15"/>
  <c r="E183" i="15"/>
  <c r="AK171" i="15"/>
  <c r="AK177" i="15"/>
  <c r="AJ171" i="15"/>
  <c r="AJ177" i="15"/>
  <c r="AI171" i="15"/>
  <c r="AI177" i="15"/>
  <c r="AH171" i="15"/>
  <c r="AH177" i="15"/>
  <c r="AG171" i="15"/>
  <c r="AG177" i="15"/>
  <c r="AF171" i="15"/>
  <c r="AF177" i="15"/>
  <c r="AE171" i="15"/>
  <c r="AE177" i="15"/>
  <c r="AD171" i="15"/>
  <c r="AD177" i="15"/>
  <c r="AC171" i="15"/>
  <c r="AC177" i="15"/>
  <c r="AB171" i="15"/>
  <c r="AB177" i="15"/>
  <c r="AA171" i="15"/>
  <c r="AA177" i="15"/>
  <c r="Z171" i="15"/>
  <c r="Z177" i="15"/>
  <c r="Y171" i="15"/>
  <c r="Y177" i="15"/>
  <c r="X171" i="15"/>
  <c r="X177" i="15"/>
  <c r="W171" i="15"/>
  <c r="W177" i="15"/>
  <c r="V171" i="15"/>
  <c r="V177" i="15"/>
  <c r="U171" i="15"/>
  <c r="U177" i="15"/>
  <c r="T171" i="15"/>
  <c r="T177" i="15"/>
  <c r="S171" i="15"/>
  <c r="S177" i="15"/>
  <c r="R171" i="15"/>
  <c r="R177" i="15"/>
  <c r="Q171" i="15"/>
  <c r="Q177" i="15"/>
  <c r="P171" i="15"/>
  <c r="P177" i="15"/>
  <c r="O171" i="15"/>
  <c r="O177" i="15"/>
  <c r="N171" i="15"/>
  <c r="N177" i="15"/>
  <c r="M171" i="15"/>
  <c r="M177" i="15"/>
  <c r="L171" i="15"/>
  <c r="L177" i="15"/>
  <c r="K171" i="15"/>
  <c r="K177" i="15"/>
  <c r="J171" i="15"/>
  <c r="J177" i="15"/>
  <c r="I171" i="15"/>
  <c r="I177" i="15"/>
  <c r="H171" i="15"/>
  <c r="H177" i="15"/>
  <c r="G171" i="15"/>
  <c r="G177" i="15"/>
  <c r="F171" i="15"/>
  <c r="F177" i="15"/>
  <c r="E165" i="15"/>
  <c r="E171" i="15"/>
  <c r="AK159" i="15"/>
  <c r="AK165" i="15"/>
  <c r="AJ159" i="15"/>
  <c r="AJ165" i="15"/>
  <c r="AI159" i="15"/>
  <c r="AI165" i="15"/>
  <c r="AH159" i="15"/>
  <c r="AH165" i="15"/>
  <c r="AG159" i="15"/>
  <c r="AG165" i="15"/>
  <c r="AF159" i="15"/>
  <c r="AF165" i="15"/>
  <c r="AE159" i="15"/>
  <c r="AE165" i="15"/>
  <c r="AD159" i="15"/>
  <c r="AD165" i="15"/>
  <c r="AC159" i="15"/>
  <c r="AC165" i="15"/>
  <c r="AB159" i="15"/>
  <c r="AB165" i="15"/>
  <c r="AA159" i="15"/>
  <c r="AA165" i="15"/>
  <c r="Z159" i="15"/>
  <c r="Z165" i="15"/>
  <c r="Y159" i="15"/>
  <c r="Y165" i="15"/>
  <c r="X159" i="15"/>
  <c r="X165" i="15"/>
  <c r="W159" i="15"/>
  <c r="W165" i="15"/>
  <c r="V159" i="15"/>
  <c r="V165" i="15"/>
  <c r="U159" i="15"/>
  <c r="U165" i="15"/>
  <c r="T159" i="15"/>
  <c r="T165" i="15"/>
  <c r="S159" i="15"/>
  <c r="S165" i="15"/>
  <c r="R159" i="15"/>
  <c r="R165" i="15"/>
  <c r="Q159" i="15"/>
  <c r="Q165" i="15"/>
  <c r="P159" i="15"/>
  <c r="P165" i="15"/>
  <c r="O159" i="15"/>
  <c r="O165" i="15"/>
  <c r="N159" i="15"/>
  <c r="N165" i="15"/>
  <c r="M159" i="15"/>
  <c r="M165" i="15"/>
  <c r="L159" i="15"/>
  <c r="L165" i="15"/>
  <c r="K159" i="15"/>
  <c r="K165" i="15"/>
  <c r="J159" i="15"/>
  <c r="J165" i="15"/>
  <c r="I159" i="15"/>
  <c r="I165" i="15"/>
  <c r="H159" i="15"/>
  <c r="H165" i="15"/>
  <c r="G159" i="15"/>
  <c r="G165" i="15"/>
  <c r="F159" i="15"/>
  <c r="F165" i="15"/>
  <c r="E153" i="15"/>
  <c r="E159" i="15"/>
  <c r="AK146" i="15"/>
  <c r="AK153" i="15"/>
  <c r="AJ146" i="15"/>
  <c r="AJ153" i="15"/>
  <c r="AI146" i="15"/>
  <c r="AI153" i="15"/>
  <c r="AH146" i="15"/>
  <c r="AH153" i="15"/>
  <c r="AG146" i="15"/>
  <c r="AG153" i="15"/>
  <c r="AF146" i="15"/>
  <c r="AF153" i="15"/>
  <c r="AE146" i="15"/>
  <c r="AE153" i="15"/>
  <c r="AD146" i="15"/>
  <c r="AD153" i="15"/>
  <c r="AC146" i="15"/>
  <c r="AC153" i="15"/>
  <c r="AB146" i="15"/>
  <c r="AB153" i="15"/>
  <c r="AA146" i="15"/>
  <c r="AA153" i="15"/>
  <c r="Z146" i="15"/>
  <c r="Z153" i="15"/>
  <c r="Y146" i="15"/>
  <c r="Y153" i="15"/>
  <c r="X146" i="15"/>
  <c r="X153" i="15"/>
  <c r="W146" i="15"/>
  <c r="W153" i="15"/>
  <c r="V146" i="15"/>
  <c r="V153" i="15"/>
  <c r="U146" i="15"/>
  <c r="U153" i="15"/>
  <c r="T146" i="15"/>
  <c r="T153" i="15"/>
  <c r="S146" i="15"/>
  <c r="S153" i="15"/>
  <c r="R146" i="15"/>
  <c r="R153" i="15"/>
  <c r="Q146" i="15"/>
  <c r="Q153" i="15"/>
  <c r="P146" i="15"/>
  <c r="P153" i="15"/>
  <c r="O146" i="15"/>
  <c r="O153" i="15"/>
  <c r="N146" i="15"/>
  <c r="N153" i="15"/>
  <c r="M146" i="15"/>
  <c r="M153" i="15"/>
  <c r="L146" i="15"/>
  <c r="L153" i="15"/>
  <c r="K146" i="15"/>
  <c r="K153" i="15"/>
  <c r="J146" i="15"/>
  <c r="J153" i="15"/>
  <c r="I146" i="15"/>
  <c r="I153" i="15"/>
  <c r="H146" i="15"/>
  <c r="H153" i="15"/>
  <c r="G146" i="15"/>
  <c r="G153" i="15"/>
  <c r="F146" i="15"/>
  <c r="F153" i="15"/>
  <c r="E140" i="15"/>
  <c r="E146" i="15"/>
  <c r="AK134" i="15"/>
  <c r="AK140" i="15"/>
  <c r="AJ134" i="15"/>
  <c r="AJ140" i="15"/>
  <c r="AI134" i="15"/>
  <c r="AI140" i="15"/>
  <c r="AH134" i="15"/>
  <c r="AH140" i="15"/>
  <c r="AG134" i="15"/>
  <c r="AG140" i="15"/>
  <c r="AF134" i="15"/>
  <c r="AF140" i="15"/>
  <c r="AE134" i="15"/>
  <c r="AE140" i="15"/>
  <c r="AD134" i="15"/>
  <c r="AD140" i="15"/>
  <c r="AC134" i="15"/>
  <c r="AC140" i="15"/>
  <c r="AB134" i="15"/>
  <c r="AB140" i="15"/>
  <c r="AA134" i="15"/>
  <c r="AA140" i="15"/>
  <c r="Z134" i="15"/>
  <c r="Z140" i="15"/>
  <c r="Y134" i="15"/>
  <c r="Y140" i="15"/>
  <c r="X134" i="15"/>
  <c r="X140" i="15"/>
  <c r="W134" i="15"/>
  <c r="W140" i="15"/>
  <c r="V134" i="15"/>
  <c r="V140" i="15"/>
  <c r="U134" i="15"/>
  <c r="U140" i="15"/>
  <c r="T134" i="15"/>
  <c r="T140" i="15"/>
  <c r="S134" i="15"/>
  <c r="S140" i="15"/>
  <c r="R134" i="15"/>
  <c r="R140" i="15"/>
  <c r="Q134" i="15"/>
  <c r="Q140" i="15"/>
  <c r="P134" i="15"/>
  <c r="P140" i="15"/>
  <c r="O134" i="15"/>
  <c r="O140" i="15"/>
  <c r="N134" i="15"/>
  <c r="N140" i="15"/>
  <c r="M134" i="15"/>
  <c r="M140" i="15"/>
  <c r="L134" i="15"/>
  <c r="L140" i="15"/>
  <c r="K134" i="15"/>
  <c r="K140" i="15"/>
  <c r="J134" i="15"/>
  <c r="J140" i="15"/>
  <c r="I134" i="15"/>
  <c r="I140" i="15"/>
  <c r="H134" i="15"/>
  <c r="H140" i="15"/>
  <c r="G134" i="15"/>
  <c r="G140" i="15"/>
  <c r="F134" i="15"/>
  <c r="F140" i="15"/>
  <c r="E128" i="15"/>
  <c r="E134" i="15"/>
  <c r="AK122" i="15"/>
  <c r="AK128" i="15"/>
  <c r="AJ122" i="15"/>
  <c r="AJ128" i="15"/>
  <c r="AI122" i="15"/>
  <c r="AI128" i="15"/>
  <c r="AH122" i="15"/>
  <c r="AH128" i="15"/>
  <c r="AG122" i="15"/>
  <c r="AG128" i="15"/>
  <c r="AF122" i="15"/>
  <c r="AF128" i="15"/>
  <c r="AE122" i="15"/>
  <c r="AE128" i="15"/>
  <c r="AD122" i="15"/>
  <c r="AD128" i="15"/>
  <c r="AC122" i="15"/>
  <c r="AC128" i="15"/>
  <c r="AB122" i="15"/>
  <c r="AB128" i="15"/>
  <c r="AA122" i="15"/>
  <c r="AA128" i="15"/>
  <c r="Z122" i="15"/>
  <c r="Z128" i="15"/>
  <c r="Y122" i="15"/>
  <c r="Y128" i="15"/>
  <c r="X122" i="15"/>
  <c r="X128" i="15"/>
  <c r="W122" i="15"/>
  <c r="W128" i="15"/>
  <c r="V122" i="15"/>
  <c r="V128" i="15"/>
  <c r="U122" i="15"/>
  <c r="U128" i="15"/>
  <c r="T122" i="15"/>
  <c r="T128" i="15"/>
  <c r="S122" i="15"/>
  <c r="S128" i="15"/>
  <c r="R122" i="15"/>
  <c r="R128" i="15"/>
  <c r="Q122" i="15"/>
  <c r="Q128" i="15"/>
  <c r="P122" i="15"/>
  <c r="P128" i="15"/>
  <c r="O122" i="15"/>
  <c r="O128" i="15"/>
  <c r="N122" i="15"/>
  <c r="N128" i="15"/>
  <c r="M122" i="15"/>
  <c r="M128" i="15"/>
  <c r="L122" i="15"/>
  <c r="L128" i="15"/>
  <c r="K122" i="15"/>
  <c r="K128" i="15"/>
  <c r="J122" i="15"/>
  <c r="J128" i="15"/>
  <c r="I122" i="15"/>
  <c r="I128" i="15"/>
  <c r="H122" i="15"/>
  <c r="H128" i="15"/>
  <c r="G122" i="15"/>
  <c r="G128" i="15"/>
  <c r="F122" i="15"/>
  <c r="F128" i="15"/>
  <c r="E116" i="15"/>
  <c r="E122" i="15"/>
  <c r="AK110" i="15"/>
  <c r="AK116" i="15"/>
  <c r="AJ110" i="15"/>
  <c r="AJ116" i="15"/>
  <c r="AI110" i="15"/>
  <c r="AI116" i="15"/>
  <c r="AH110" i="15"/>
  <c r="AH116" i="15"/>
  <c r="AG110" i="15"/>
  <c r="AG116" i="15"/>
  <c r="AF110" i="15"/>
  <c r="AF116" i="15"/>
  <c r="AE110" i="15"/>
  <c r="AE116" i="15"/>
  <c r="AD110" i="15"/>
  <c r="AD116" i="15"/>
  <c r="AC110" i="15"/>
  <c r="AC116" i="15"/>
  <c r="AB110" i="15"/>
  <c r="AB116" i="15"/>
  <c r="AA110" i="15"/>
  <c r="AA116" i="15"/>
  <c r="Z110" i="15"/>
  <c r="Z116" i="15"/>
  <c r="Y110" i="15"/>
  <c r="Y116" i="15"/>
  <c r="X110" i="15"/>
  <c r="X116" i="15"/>
  <c r="W110" i="15"/>
  <c r="W116" i="15"/>
  <c r="V110" i="15"/>
  <c r="V116" i="15"/>
  <c r="U110" i="15"/>
  <c r="U116" i="15"/>
  <c r="T110" i="15"/>
  <c r="T116" i="15"/>
  <c r="S110" i="15"/>
  <c r="S116" i="15"/>
  <c r="R110" i="15"/>
  <c r="R116" i="15"/>
  <c r="Q110" i="15"/>
  <c r="Q116" i="15"/>
  <c r="P110" i="15"/>
  <c r="P116" i="15"/>
  <c r="O110" i="15"/>
  <c r="O116" i="15"/>
  <c r="N110" i="15"/>
  <c r="N116" i="15"/>
  <c r="M110" i="15"/>
  <c r="M116" i="15"/>
  <c r="L110" i="15"/>
  <c r="L116" i="15"/>
  <c r="K110" i="15"/>
  <c r="K116" i="15"/>
  <c r="J110" i="15"/>
  <c r="J116" i="15"/>
  <c r="I110" i="15"/>
  <c r="I116" i="15"/>
  <c r="H110" i="15"/>
  <c r="H116" i="15"/>
  <c r="G110" i="15"/>
  <c r="G116" i="15"/>
  <c r="F110" i="15"/>
  <c r="F116" i="15"/>
  <c r="E189" i="16"/>
  <c r="E110" i="15"/>
  <c r="AK183" i="16"/>
  <c r="AK189" i="16"/>
  <c r="AJ183" i="16"/>
  <c r="AJ189" i="16"/>
  <c r="AI183" i="16"/>
  <c r="AI189" i="16"/>
  <c r="AH183" i="16"/>
  <c r="AH189" i="16"/>
  <c r="AG183" i="16"/>
  <c r="AG189" i="16"/>
  <c r="AF183" i="16"/>
  <c r="AF189" i="16"/>
  <c r="AE183" i="16"/>
  <c r="AE189" i="16"/>
  <c r="AD183" i="16"/>
  <c r="AD189" i="16"/>
  <c r="AC183" i="16"/>
  <c r="AC189" i="16"/>
  <c r="AB183" i="16"/>
  <c r="AB189" i="16"/>
  <c r="AA183" i="16"/>
  <c r="AA189" i="16"/>
  <c r="Z183" i="16"/>
  <c r="Z189" i="16"/>
  <c r="Y183" i="16"/>
  <c r="Y189" i="16"/>
  <c r="X183" i="16"/>
  <c r="X189" i="16"/>
  <c r="W183" i="16"/>
  <c r="W189" i="16"/>
  <c r="V183" i="16"/>
  <c r="V189" i="16"/>
  <c r="U183" i="16"/>
  <c r="U189" i="16"/>
  <c r="T183" i="16"/>
  <c r="T189" i="16"/>
  <c r="S183" i="16"/>
  <c r="S189" i="16"/>
  <c r="R183" i="16"/>
  <c r="R189" i="16"/>
  <c r="Q183" i="16"/>
  <c r="Q189" i="16"/>
  <c r="P183" i="16"/>
  <c r="P189" i="16"/>
  <c r="O183" i="16"/>
  <c r="O189" i="16"/>
  <c r="N183" i="16"/>
  <c r="N189" i="16"/>
  <c r="M183" i="16"/>
  <c r="M189" i="16"/>
  <c r="L183" i="16"/>
  <c r="L189" i="16"/>
  <c r="K183" i="16"/>
  <c r="K189" i="16"/>
  <c r="J183" i="16"/>
  <c r="J189" i="16"/>
  <c r="I183" i="16"/>
  <c r="I189" i="16"/>
  <c r="H183" i="16"/>
  <c r="H189" i="16"/>
  <c r="G183" i="16"/>
  <c r="G189" i="16"/>
  <c r="F183" i="16"/>
  <c r="F189" i="16"/>
  <c r="E177" i="16"/>
  <c r="E183" i="16"/>
  <c r="AK171" i="16"/>
  <c r="AK177" i="16"/>
  <c r="AJ171" i="16"/>
  <c r="AJ177" i="16"/>
  <c r="AI171" i="16"/>
  <c r="AI177" i="16"/>
  <c r="AH171" i="16"/>
  <c r="AH177" i="16"/>
  <c r="AG171" i="16"/>
  <c r="AG177" i="16"/>
  <c r="AF171" i="16"/>
  <c r="AF177" i="16"/>
  <c r="AE171" i="16"/>
  <c r="AE177" i="16"/>
  <c r="AD171" i="16"/>
  <c r="AD177" i="16"/>
  <c r="AC171" i="16"/>
  <c r="AC177" i="16"/>
  <c r="AB171" i="16"/>
  <c r="AB177" i="16"/>
  <c r="AA171" i="16"/>
  <c r="AA177" i="16"/>
  <c r="Z171" i="16"/>
  <c r="Z177" i="16"/>
  <c r="Y171" i="16"/>
  <c r="Y177" i="16"/>
  <c r="X171" i="16"/>
  <c r="X177" i="16"/>
  <c r="W171" i="16"/>
  <c r="W177" i="16"/>
  <c r="V171" i="16"/>
  <c r="V177" i="16"/>
  <c r="U171" i="16"/>
  <c r="U177" i="16"/>
  <c r="T171" i="16"/>
  <c r="T177" i="16"/>
  <c r="S171" i="16"/>
  <c r="S177" i="16"/>
  <c r="R171" i="16"/>
  <c r="R177" i="16"/>
  <c r="Q171" i="16"/>
  <c r="Q177" i="16"/>
  <c r="P171" i="16"/>
  <c r="P177" i="16"/>
  <c r="O171" i="16"/>
  <c r="O177" i="16"/>
  <c r="N171" i="16"/>
  <c r="N177" i="16"/>
  <c r="M171" i="16"/>
  <c r="M177" i="16"/>
  <c r="L171" i="16"/>
  <c r="L177" i="16"/>
  <c r="K171" i="16"/>
  <c r="K177" i="16"/>
  <c r="J171" i="16"/>
  <c r="J177" i="16"/>
  <c r="I171" i="16"/>
  <c r="I177" i="16"/>
  <c r="H171" i="16"/>
  <c r="H177" i="16"/>
  <c r="G171" i="16"/>
  <c r="G177" i="16"/>
  <c r="F171" i="16"/>
  <c r="F177" i="16"/>
  <c r="E165" i="16"/>
  <c r="E171" i="16"/>
  <c r="AK159" i="16"/>
  <c r="AK165" i="16"/>
  <c r="AJ159" i="16"/>
  <c r="AJ165" i="16"/>
  <c r="AI159" i="16"/>
  <c r="AI165" i="16"/>
  <c r="AH159" i="16"/>
  <c r="AH165" i="16"/>
  <c r="AG159" i="16"/>
  <c r="AG165" i="16"/>
  <c r="AF159" i="16"/>
  <c r="AF165" i="16"/>
  <c r="AE159" i="16"/>
  <c r="AE165" i="16"/>
  <c r="AD159" i="16"/>
  <c r="AD165" i="16"/>
  <c r="AC159" i="16"/>
  <c r="AC165" i="16"/>
  <c r="AB159" i="16"/>
  <c r="AB165" i="16"/>
  <c r="AA159" i="16"/>
  <c r="AA165" i="16"/>
  <c r="Z159" i="16"/>
  <c r="Z165" i="16"/>
  <c r="Y159" i="16"/>
  <c r="Y165" i="16"/>
  <c r="X159" i="16"/>
  <c r="X165" i="16"/>
  <c r="W159" i="16"/>
  <c r="W165" i="16"/>
  <c r="V159" i="16"/>
  <c r="V165" i="16"/>
  <c r="U159" i="16"/>
  <c r="U165" i="16"/>
  <c r="T159" i="16"/>
  <c r="T165" i="16"/>
  <c r="S159" i="16"/>
  <c r="S165" i="16"/>
  <c r="R159" i="16"/>
  <c r="R165" i="16"/>
  <c r="Q159" i="16"/>
  <c r="Q165" i="16"/>
  <c r="P159" i="16"/>
  <c r="P165" i="16"/>
  <c r="O159" i="16"/>
  <c r="O165" i="16"/>
  <c r="N159" i="16"/>
  <c r="N165" i="16"/>
  <c r="M159" i="16"/>
  <c r="M165" i="16"/>
  <c r="L159" i="16"/>
  <c r="L165" i="16"/>
  <c r="K159" i="16"/>
  <c r="K165" i="16"/>
  <c r="J159" i="16"/>
  <c r="J165" i="16"/>
  <c r="I159" i="16"/>
  <c r="I165" i="16"/>
  <c r="H159" i="16"/>
  <c r="H165" i="16"/>
  <c r="G159" i="16"/>
  <c r="G165" i="16"/>
  <c r="F159" i="16"/>
  <c r="F165" i="16"/>
  <c r="E153" i="16"/>
  <c r="E159" i="16"/>
  <c r="AK146" i="16"/>
  <c r="AK153" i="16"/>
  <c r="AJ146" i="16"/>
  <c r="AJ153" i="16"/>
  <c r="AI146" i="16"/>
  <c r="AI153" i="16"/>
  <c r="AH146" i="16"/>
  <c r="AH153" i="16"/>
  <c r="AG146" i="16"/>
  <c r="AG153" i="16"/>
  <c r="AF146" i="16"/>
  <c r="AF153" i="16"/>
  <c r="AE146" i="16"/>
  <c r="AE153" i="16"/>
  <c r="AD146" i="16"/>
  <c r="AD153" i="16"/>
  <c r="AC146" i="16"/>
  <c r="AC153" i="16"/>
  <c r="AB146" i="16"/>
  <c r="AB153" i="16"/>
  <c r="AA146" i="16"/>
  <c r="AA153" i="16"/>
  <c r="Z146" i="16"/>
  <c r="Z153" i="16"/>
  <c r="Y146" i="16"/>
  <c r="Y153" i="16"/>
  <c r="X146" i="16"/>
  <c r="X153" i="16"/>
  <c r="W146" i="16"/>
  <c r="W153" i="16"/>
  <c r="V146" i="16"/>
  <c r="V153" i="16"/>
  <c r="U146" i="16"/>
  <c r="U153" i="16"/>
  <c r="T146" i="16"/>
  <c r="T153" i="16"/>
  <c r="S146" i="16"/>
  <c r="S153" i="16"/>
  <c r="R146" i="16"/>
  <c r="R153" i="16"/>
  <c r="Q146" i="16"/>
  <c r="Q153" i="16"/>
  <c r="P146" i="16"/>
  <c r="P153" i="16"/>
  <c r="O146" i="16"/>
  <c r="O153" i="16"/>
  <c r="N146" i="16"/>
  <c r="N153" i="16"/>
  <c r="M146" i="16"/>
  <c r="M153" i="16"/>
  <c r="L146" i="16"/>
  <c r="L153" i="16"/>
  <c r="K146" i="16"/>
  <c r="K153" i="16"/>
  <c r="J146" i="16"/>
  <c r="J153" i="16"/>
  <c r="I146" i="16"/>
  <c r="I153" i="16"/>
  <c r="H146" i="16"/>
  <c r="H153" i="16"/>
  <c r="G146" i="16"/>
  <c r="G153" i="16"/>
  <c r="F146" i="16"/>
  <c r="F153" i="16"/>
  <c r="E140" i="16"/>
  <c r="E146" i="16"/>
  <c r="AK134" i="16"/>
  <c r="AK140" i="16"/>
  <c r="AJ134" i="16"/>
  <c r="AJ140" i="16"/>
  <c r="AI134" i="16"/>
  <c r="AI140" i="16"/>
  <c r="AH134" i="16"/>
  <c r="AH140" i="16"/>
  <c r="AG134" i="16"/>
  <c r="AG140" i="16"/>
  <c r="AF134" i="16"/>
  <c r="AF140" i="16"/>
  <c r="AE134" i="16"/>
  <c r="AE140" i="16"/>
  <c r="AD134" i="16"/>
  <c r="AD140" i="16"/>
  <c r="AC134" i="16"/>
  <c r="AC140" i="16"/>
  <c r="AB134" i="16"/>
  <c r="AB140" i="16"/>
  <c r="AA134" i="16"/>
  <c r="AA140" i="16"/>
  <c r="Z134" i="16"/>
  <c r="Z140" i="16"/>
  <c r="Y134" i="16"/>
  <c r="Y140" i="16"/>
  <c r="X134" i="16"/>
  <c r="X140" i="16"/>
  <c r="W134" i="16"/>
  <c r="W140" i="16"/>
  <c r="V134" i="16"/>
  <c r="V140" i="16"/>
  <c r="U134" i="16"/>
  <c r="U140" i="16"/>
  <c r="T134" i="16"/>
  <c r="T140" i="16"/>
  <c r="S134" i="16"/>
  <c r="S140" i="16"/>
  <c r="R134" i="16"/>
  <c r="R140" i="16"/>
  <c r="Q134" i="16"/>
  <c r="Q140" i="16"/>
  <c r="P134" i="16"/>
  <c r="P140" i="16"/>
  <c r="O134" i="16"/>
  <c r="O140" i="16"/>
  <c r="N134" i="16"/>
  <c r="N140" i="16"/>
  <c r="M134" i="16"/>
  <c r="M140" i="16"/>
  <c r="L134" i="16"/>
  <c r="L140" i="16"/>
  <c r="K134" i="16"/>
  <c r="K140" i="16"/>
  <c r="J134" i="16"/>
  <c r="J140" i="16"/>
  <c r="I134" i="16"/>
  <c r="I140" i="16"/>
  <c r="H134" i="16"/>
  <c r="H140" i="16"/>
  <c r="G134" i="16"/>
  <c r="G140" i="16"/>
  <c r="F134" i="16"/>
  <c r="F140" i="16"/>
  <c r="E128" i="16"/>
  <c r="E134" i="16"/>
  <c r="AK122" i="16"/>
  <c r="AK128" i="16"/>
  <c r="AJ122" i="16"/>
  <c r="AJ128" i="16"/>
  <c r="AI122" i="16"/>
  <c r="AI128" i="16"/>
  <c r="AH122" i="16"/>
  <c r="AH128" i="16"/>
  <c r="AG122" i="16"/>
  <c r="AG128" i="16"/>
  <c r="AF122" i="16"/>
  <c r="AF128" i="16"/>
  <c r="AE122" i="16"/>
  <c r="AE128" i="16"/>
  <c r="AD122" i="16"/>
  <c r="AD128" i="16"/>
  <c r="AC122" i="16"/>
  <c r="AC128" i="16"/>
  <c r="AB122" i="16"/>
  <c r="AB128" i="16"/>
  <c r="AA122" i="16"/>
  <c r="AA128" i="16"/>
  <c r="Z122" i="16"/>
  <c r="Z128" i="16"/>
  <c r="Y122" i="16"/>
  <c r="Y128" i="16"/>
  <c r="X122" i="16"/>
  <c r="X128" i="16"/>
  <c r="W122" i="16"/>
  <c r="W128" i="16"/>
  <c r="V122" i="16"/>
  <c r="V128" i="16"/>
  <c r="U122" i="16"/>
  <c r="U128" i="16"/>
  <c r="T122" i="16"/>
  <c r="T128" i="16"/>
  <c r="S122" i="16"/>
  <c r="S128" i="16"/>
  <c r="R122" i="16"/>
  <c r="R128" i="16"/>
  <c r="Q122" i="16"/>
  <c r="Q128" i="16"/>
  <c r="P122" i="16"/>
  <c r="P128" i="16"/>
  <c r="O122" i="16"/>
  <c r="O128" i="16"/>
  <c r="N122" i="16"/>
  <c r="N128" i="16"/>
  <c r="M122" i="16"/>
  <c r="M128" i="16"/>
  <c r="L122" i="16"/>
  <c r="L128" i="16"/>
  <c r="K122" i="16"/>
  <c r="K128" i="16"/>
  <c r="J122" i="16"/>
  <c r="J128" i="16"/>
  <c r="I122" i="16"/>
  <c r="I128" i="16"/>
  <c r="H122" i="16"/>
  <c r="H128" i="16"/>
  <c r="G122" i="16"/>
  <c r="G128" i="16"/>
  <c r="F122" i="16"/>
  <c r="F128" i="16"/>
  <c r="E116" i="16"/>
  <c r="E122" i="16"/>
  <c r="AK110" i="16"/>
  <c r="AK116" i="16"/>
  <c r="AJ110" i="16"/>
  <c r="AJ116" i="16"/>
  <c r="AI110" i="16"/>
  <c r="AI116" i="16"/>
  <c r="AH110" i="16"/>
  <c r="AH116" i="16"/>
  <c r="AG110" i="16"/>
  <c r="AG116" i="16"/>
  <c r="AF110" i="16"/>
  <c r="AF116" i="16"/>
  <c r="AE110" i="16"/>
  <c r="AE116" i="16"/>
  <c r="AD110" i="16"/>
  <c r="AD116" i="16"/>
  <c r="AC110" i="16"/>
  <c r="AC116" i="16"/>
  <c r="AB110" i="16"/>
  <c r="AB116" i="16"/>
  <c r="AA110" i="16"/>
  <c r="AA116" i="16"/>
  <c r="Z110" i="16"/>
  <c r="Z116" i="16"/>
  <c r="Y110" i="16"/>
  <c r="Y116" i="16"/>
  <c r="X110" i="16"/>
  <c r="X116" i="16"/>
  <c r="W110" i="16"/>
  <c r="W116" i="16"/>
  <c r="V110" i="16"/>
  <c r="V116" i="16"/>
  <c r="U110" i="16"/>
  <c r="U116" i="16"/>
  <c r="T110" i="16"/>
  <c r="T116" i="16"/>
  <c r="S110" i="16"/>
  <c r="S116" i="16"/>
  <c r="R110" i="16"/>
  <c r="R116" i="16"/>
  <c r="Q110" i="16"/>
  <c r="Q116" i="16"/>
  <c r="P110" i="16"/>
  <c r="P116" i="16"/>
  <c r="O110" i="16"/>
  <c r="O116" i="16"/>
  <c r="N110" i="16"/>
  <c r="N116" i="16"/>
  <c r="M110" i="16"/>
  <c r="M116" i="16"/>
  <c r="L110" i="16"/>
  <c r="L116" i="16"/>
  <c r="K110" i="16"/>
  <c r="K116" i="16"/>
  <c r="J110" i="16"/>
  <c r="J116" i="16"/>
  <c r="I110" i="16"/>
  <c r="I116" i="16"/>
  <c r="H110" i="16"/>
  <c r="H116" i="16"/>
  <c r="G110" i="16"/>
  <c r="G116" i="16"/>
  <c r="F110" i="16"/>
  <c r="F116" i="16"/>
  <c r="E189" i="17"/>
  <c r="E110" i="16"/>
  <c r="AK183" i="17"/>
  <c r="AK189" i="17"/>
  <c r="AJ183" i="17"/>
  <c r="AJ189" i="17"/>
  <c r="AI183" i="17"/>
  <c r="AI189" i="17"/>
  <c r="AH183" i="17"/>
  <c r="AH189" i="17"/>
  <c r="AG183" i="17"/>
  <c r="AG189" i="17"/>
  <c r="AF183" i="17"/>
  <c r="AF189" i="17"/>
  <c r="AE183" i="17"/>
  <c r="AE189" i="17"/>
  <c r="AD183" i="17"/>
  <c r="AD189" i="17"/>
  <c r="AC183" i="17"/>
  <c r="AC189" i="17"/>
  <c r="AB183" i="17"/>
  <c r="AB189" i="17"/>
  <c r="AA183" i="17"/>
  <c r="AA189" i="17"/>
  <c r="Z183" i="17"/>
  <c r="Z189" i="17"/>
  <c r="Y183" i="17"/>
  <c r="Y189" i="17"/>
  <c r="X183" i="17"/>
  <c r="X189" i="17"/>
  <c r="W183" i="17"/>
  <c r="W189" i="17"/>
  <c r="V183" i="17"/>
  <c r="V189" i="17"/>
  <c r="U183" i="17"/>
  <c r="U189" i="17"/>
  <c r="T183" i="17"/>
  <c r="T189" i="17"/>
  <c r="S183" i="17"/>
  <c r="S189" i="17"/>
  <c r="R183" i="17"/>
  <c r="R189" i="17"/>
  <c r="Q183" i="17"/>
  <c r="Q189" i="17"/>
  <c r="P183" i="17"/>
  <c r="P189" i="17"/>
  <c r="O183" i="17"/>
  <c r="O189" i="17"/>
  <c r="N183" i="17"/>
  <c r="N189" i="17"/>
  <c r="M183" i="17"/>
  <c r="M189" i="17"/>
  <c r="L183" i="17"/>
  <c r="L189" i="17"/>
  <c r="K183" i="17"/>
  <c r="K189" i="17"/>
  <c r="J183" i="17"/>
  <c r="J189" i="17"/>
  <c r="I183" i="17"/>
  <c r="I189" i="17"/>
  <c r="H183" i="17"/>
  <c r="H189" i="17"/>
  <c r="G183" i="17"/>
  <c r="G189" i="17"/>
  <c r="F183" i="17"/>
  <c r="F189" i="17"/>
  <c r="E177" i="17"/>
  <c r="E183" i="17"/>
  <c r="AK171" i="17"/>
  <c r="AK177" i="17"/>
  <c r="AJ171" i="17"/>
  <c r="AJ177" i="17"/>
  <c r="AI171" i="17"/>
  <c r="AI177" i="17"/>
  <c r="AH171" i="17"/>
  <c r="AH177" i="17"/>
  <c r="AG171" i="17"/>
  <c r="AG177" i="17"/>
  <c r="AF171" i="17"/>
  <c r="AF177" i="17"/>
  <c r="AE171" i="17"/>
  <c r="AE177" i="17"/>
  <c r="AD171" i="17"/>
  <c r="AD177" i="17"/>
  <c r="AC171" i="17"/>
  <c r="AC177" i="17"/>
  <c r="AB171" i="17"/>
  <c r="AB177" i="17"/>
  <c r="AA171" i="17"/>
  <c r="AA177" i="17"/>
  <c r="Z171" i="17"/>
  <c r="Z177" i="17"/>
  <c r="Y171" i="17"/>
  <c r="Y177" i="17"/>
  <c r="X171" i="17"/>
  <c r="X177" i="17"/>
  <c r="W171" i="17"/>
  <c r="W177" i="17"/>
  <c r="V171" i="17"/>
  <c r="V177" i="17"/>
  <c r="U171" i="17"/>
  <c r="U177" i="17"/>
  <c r="T171" i="17"/>
  <c r="T177" i="17"/>
  <c r="S171" i="17"/>
  <c r="S177" i="17"/>
  <c r="R171" i="17"/>
  <c r="R177" i="17"/>
  <c r="Q171" i="17"/>
  <c r="Q177" i="17"/>
  <c r="P171" i="17"/>
  <c r="P177" i="17"/>
  <c r="O171" i="17"/>
  <c r="O177" i="17"/>
  <c r="N171" i="17"/>
  <c r="N177" i="17"/>
  <c r="M171" i="17"/>
  <c r="M177" i="17"/>
  <c r="L171" i="17"/>
  <c r="L177" i="17"/>
  <c r="K171" i="17"/>
  <c r="K177" i="17"/>
  <c r="J171" i="17"/>
  <c r="J177" i="17"/>
  <c r="I171" i="17"/>
  <c r="I177" i="17"/>
  <c r="H171" i="17"/>
  <c r="H177" i="17"/>
  <c r="G171" i="17"/>
  <c r="G177" i="17"/>
  <c r="F171" i="17"/>
  <c r="F177" i="17"/>
  <c r="E165" i="17"/>
  <c r="E171" i="17"/>
  <c r="AK159" i="17"/>
  <c r="AK165" i="17"/>
  <c r="AJ159" i="17"/>
  <c r="AJ165" i="17"/>
  <c r="AI159" i="17"/>
  <c r="AI165" i="17"/>
  <c r="AH159" i="17"/>
  <c r="AH165" i="17"/>
  <c r="AG159" i="17"/>
  <c r="AG165" i="17"/>
  <c r="AF159" i="17"/>
  <c r="AF165" i="17"/>
  <c r="AE159" i="17"/>
  <c r="AE165" i="17"/>
  <c r="AD159" i="17"/>
  <c r="AD165" i="17"/>
  <c r="AC159" i="17"/>
  <c r="AC165" i="17"/>
  <c r="AB159" i="17"/>
  <c r="AB165" i="17"/>
  <c r="AA159" i="17"/>
  <c r="AA165" i="17"/>
  <c r="Z159" i="17"/>
  <c r="Z165" i="17"/>
  <c r="Y159" i="17"/>
  <c r="Y165" i="17"/>
  <c r="X159" i="17"/>
  <c r="X165" i="17"/>
  <c r="W159" i="17"/>
  <c r="W165" i="17"/>
  <c r="V159" i="17"/>
  <c r="V165" i="17"/>
  <c r="U159" i="17"/>
  <c r="U165" i="17"/>
  <c r="T159" i="17"/>
  <c r="T165" i="17"/>
  <c r="S159" i="17"/>
  <c r="S165" i="17"/>
  <c r="R159" i="17"/>
  <c r="R165" i="17"/>
  <c r="Q159" i="17"/>
  <c r="Q165" i="17"/>
  <c r="P159" i="17"/>
  <c r="P165" i="17"/>
  <c r="O159" i="17"/>
  <c r="O165" i="17"/>
  <c r="N159" i="17"/>
  <c r="N165" i="17"/>
  <c r="M159" i="17"/>
  <c r="M165" i="17"/>
  <c r="L159" i="17"/>
  <c r="L165" i="17"/>
  <c r="K159" i="17"/>
  <c r="K165" i="17"/>
  <c r="J159" i="17"/>
  <c r="J165" i="17"/>
  <c r="I159" i="17"/>
  <c r="I165" i="17"/>
  <c r="H159" i="17"/>
  <c r="H165" i="17"/>
  <c r="G159" i="17"/>
  <c r="G165" i="17"/>
  <c r="F159" i="17"/>
  <c r="F165" i="17"/>
  <c r="E153" i="17"/>
  <c r="E159" i="17"/>
  <c r="AK146" i="17"/>
  <c r="AK153" i="17"/>
  <c r="AJ146" i="17"/>
  <c r="AJ153" i="17"/>
  <c r="AI146" i="17"/>
  <c r="AI153" i="17"/>
  <c r="AH146" i="17"/>
  <c r="AH153" i="17"/>
  <c r="AG146" i="17"/>
  <c r="AG153" i="17"/>
  <c r="AF146" i="17"/>
  <c r="AF153" i="17"/>
  <c r="AE146" i="17"/>
  <c r="AE153" i="17"/>
  <c r="AD146" i="17"/>
  <c r="AD153" i="17"/>
  <c r="AC146" i="17"/>
  <c r="AC153" i="17"/>
  <c r="AB146" i="17"/>
  <c r="AB153" i="17"/>
  <c r="AA146" i="17"/>
  <c r="AA153" i="17"/>
  <c r="Z146" i="17"/>
  <c r="Z153" i="17"/>
  <c r="Y146" i="17"/>
  <c r="Y153" i="17"/>
  <c r="X146" i="17"/>
  <c r="X153" i="17"/>
  <c r="W146" i="17"/>
  <c r="W153" i="17"/>
  <c r="V146" i="17"/>
  <c r="V153" i="17"/>
  <c r="U146" i="17"/>
  <c r="U153" i="17"/>
  <c r="T146" i="17"/>
  <c r="T153" i="17"/>
  <c r="S146" i="17"/>
  <c r="S153" i="17"/>
  <c r="R146" i="17"/>
  <c r="R153" i="17"/>
  <c r="Q146" i="17"/>
  <c r="Q153" i="17"/>
  <c r="P146" i="17"/>
  <c r="P153" i="17"/>
  <c r="O146" i="17"/>
  <c r="O153" i="17"/>
  <c r="N146" i="17"/>
  <c r="N153" i="17"/>
  <c r="M146" i="17"/>
  <c r="M153" i="17"/>
  <c r="L146" i="17"/>
  <c r="L153" i="17"/>
  <c r="K146" i="17"/>
  <c r="K153" i="17"/>
  <c r="J146" i="17"/>
  <c r="J153" i="17"/>
  <c r="I146" i="17"/>
  <c r="I153" i="17"/>
  <c r="H146" i="17"/>
  <c r="H153" i="17"/>
  <c r="G146" i="17"/>
  <c r="G153" i="17"/>
  <c r="F146" i="17"/>
  <c r="F153" i="17"/>
  <c r="E140" i="17"/>
  <c r="E146" i="17"/>
  <c r="AK134" i="17"/>
  <c r="AK140" i="17"/>
  <c r="AJ134" i="17"/>
  <c r="AJ140" i="17"/>
  <c r="AI134" i="17"/>
  <c r="AI140" i="17"/>
  <c r="AH134" i="17"/>
  <c r="AH140" i="17"/>
  <c r="AG134" i="17"/>
  <c r="AG140" i="17"/>
  <c r="AF134" i="17"/>
  <c r="AF140" i="17"/>
  <c r="AE134" i="17"/>
  <c r="AE140" i="17"/>
  <c r="AD134" i="17"/>
  <c r="AD140" i="17"/>
  <c r="AC134" i="17"/>
  <c r="AC140" i="17"/>
  <c r="AB134" i="17"/>
  <c r="AB140" i="17"/>
  <c r="AA134" i="17"/>
  <c r="AA140" i="17"/>
  <c r="Z134" i="17"/>
  <c r="Z140" i="17"/>
  <c r="Y134" i="17"/>
  <c r="Y140" i="17"/>
  <c r="X134" i="17"/>
  <c r="X140" i="17"/>
  <c r="W134" i="17"/>
  <c r="W140" i="17"/>
  <c r="V134" i="17"/>
  <c r="V140" i="17"/>
  <c r="U134" i="17"/>
  <c r="U140" i="17"/>
  <c r="T134" i="17"/>
  <c r="T140" i="17"/>
  <c r="S134" i="17"/>
  <c r="S140" i="17"/>
  <c r="R134" i="17"/>
  <c r="R140" i="17"/>
  <c r="Q134" i="17"/>
  <c r="Q140" i="17"/>
  <c r="P134" i="17"/>
  <c r="P140" i="17"/>
  <c r="O134" i="17"/>
  <c r="O140" i="17"/>
  <c r="N134" i="17"/>
  <c r="N140" i="17"/>
  <c r="M134" i="17"/>
  <c r="M140" i="17"/>
  <c r="L134" i="17"/>
  <c r="L140" i="17"/>
  <c r="K134" i="17"/>
  <c r="K140" i="17"/>
  <c r="J134" i="17"/>
  <c r="J140" i="17"/>
  <c r="I134" i="17"/>
  <c r="I140" i="17"/>
  <c r="H134" i="17"/>
  <c r="H140" i="17"/>
  <c r="G134" i="17"/>
  <c r="G140" i="17"/>
  <c r="F134" i="17"/>
  <c r="F140" i="17"/>
  <c r="E128" i="17"/>
  <c r="E134" i="17"/>
  <c r="AK122" i="17"/>
  <c r="AK128" i="17"/>
  <c r="AJ122" i="17"/>
  <c r="AJ128" i="17"/>
  <c r="AI122" i="17"/>
  <c r="AI128" i="17"/>
  <c r="AH122" i="17"/>
  <c r="AH128" i="17"/>
  <c r="AG122" i="17"/>
  <c r="AG128" i="17"/>
  <c r="AF122" i="17"/>
  <c r="AF128" i="17"/>
  <c r="AE122" i="17"/>
  <c r="AE128" i="17"/>
  <c r="AD122" i="17"/>
  <c r="AD128" i="17"/>
  <c r="AC122" i="17"/>
  <c r="AC128" i="17"/>
  <c r="AB122" i="17"/>
  <c r="AB128" i="17"/>
  <c r="AA122" i="17"/>
  <c r="AA128" i="17"/>
  <c r="Z122" i="17"/>
  <c r="Z128" i="17"/>
  <c r="Y122" i="17"/>
  <c r="Y128" i="17"/>
  <c r="X122" i="17"/>
  <c r="X128" i="17"/>
  <c r="W122" i="17"/>
  <c r="W128" i="17"/>
  <c r="V122" i="17"/>
  <c r="V128" i="17"/>
  <c r="U122" i="17"/>
  <c r="U128" i="17"/>
  <c r="T122" i="17"/>
  <c r="T128" i="17"/>
  <c r="S122" i="17"/>
  <c r="S128" i="17"/>
  <c r="R122" i="17"/>
  <c r="R128" i="17"/>
  <c r="Q122" i="17"/>
  <c r="Q128" i="17"/>
  <c r="P122" i="17"/>
  <c r="P128" i="17"/>
  <c r="O122" i="17"/>
  <c r="O128" i="17"/>
  <c r="N122" i="17"/>
  <c r="N128" i="17"/>
  <c r="M122" i="17"/>
  <c r="M128" i="17"/>
  <c r="L122" i="17"/>
  <c r="L128" i="17"/>
  <c r="K122" i="17"/>
  <c r="K128" i="17"/>
  <c r="J122" i="17"/>
  <c r="J128" i="17"/>
  <c r="I122" i="17"/>
  <c r="I128" i="17"/>
  <c r="H122" i="17"/>
  <c r="H128" i="17"/>
  <c r="G122" i="17"/>
  <c r="G128" i="17"/>
  <c r="F122" i="17"/>
  <c r="F128" i="17"/>
  <c r="E116" i="17"/>
  <c r="E122" i="17"/>
  <c r="AK110" i="17"/>
  <c r="AK116" i="17"/>
  <c r="AJ110" i="17"/>
  <c r="AJ116" i="17"/>
  <c r="AI110" i="17"/>
  <c r="AI116" i="17"/>
  <c r="AH110" i="17"/>
  <c r="AH116" i="17"/>
  <c r="AG110" i="17"/>
  <c r="AG116" i="17"/>
  <c r="AF110" i="17"/>
  <c r="AF116" i="17"/>
  <c r="AE110" i="17"/>
  <c r="AE116" i="17"/>
  <c r="AD110" i="17"/>
  <c r="AD116" i="17"/>
  <c r="AC110" i="17"/>
  <c r="AC116" i="17"/>
  <c r="AB110" i="17"/>
  <c r="AB116" i="17"/>
  <c r="AA110" i="17"/>
  <c r="AA116" i="17"/>
  <c r="Z110" i="17"/>
  <c r="Z116" i="17"/>
  <c r="Y110" i="17"/>
  <c r="Y116" i="17"/>
  <c r="X110" i="17"/>
  <c r="X116" i="17"/>
  <c r="W110" i="17"/>
  <c r="W116" i="17"/>
  <c r="V110" i="17"/>
  <c r="V116" i="17"/>
  <c r="U110" i="17"/>
  <c r="U116" i="17"/>
  <c r="T110" i="17"/>
  <c r="T116" i="17"/>
  <c r="S110" i="17"/>
  <c r="S116" i="17"/>
  <c r="R110" i="17"/>
  <c r="R116" i="17"/>
  <c r="Q110" i="17"/>
  <c r="Q116" i="17"/>
  <c r="P110" i="17"/>
  <c r="P116" i="17"/>
  <c r="O110" i="17"/>
  <c r="O116" i="17"/>
  <c r="N110" i="17"/>
  <c r="N116" i="17"/>
  <c r="M110" i="17"/>
  <c r="M116" i="17"/>
  <c r="L110" i="17"/>
  <c r="L116" i="17"/>
  <c r="K110" i="17"/>
  <c r="K116" i="17"/>
  <c r="J110" i="17"/>
  <c r="J116" i="17"/>
  <c r="I110" i="17"/>
  <c r="I116" i="17"/>
  <c r="H110" i="17"/>
  <c r="H116" i="17"/>
  <c r="G110" i="17"/>
  <c r="G116" i="17"/>
  <c r="F110" i="17"/>
  <c r="F116" i="17"/>
  <c r="E110" i="17"/>
  <c r="Y42" i="11"/>
  <c r="R44" i="12"/>
  <c r="AC45" i="12"/>
  <c r="AE45" i="16"/>
  <c r="J46" i="14"/>
  <c r="AC44" i="12"/>
  <c r="AE44" i="12"/>
  <c r="AB44" i="12"/>
  <c r="AK43" i="11"/>
  <c r="AB43" i="11"/>
  <c r="L43" i="11"/>
  <c r="Z43" i="16"/>
  <c r="I43" i="11"/>
  <c r="N45" i="16"/>
  <c r="AI45" i="16"/>
  <c r="X44" i="12"/>
  <c r="AE43" i="11"/>
  <c r="R46" i="14"/>
  <c r="U46" i="14"/>
  <c r="Z46" i="14"/>
  <c r="V43" i="13"/>
  <c r="N43" i="16"/>
  <c r="P43" i="13"/>
  <c r="J43" i="16"/>
  <c r="AC43" i="13"/>
  <c r="P41" i="16"/>
  <c r="Z47" i="13"/>
  <c r="T47" i="13"/>
  <c r="P47" i="13"/>
  <c r="AA47" i="13"/>
  <c r="AD47" i="13"/>
  <c r="AC47" i="17"/>
  <c r="AK45" i="12"/>
  <c r="AK44" i="14"/>
  <c r="X42" i="17"/>
  <c r="L42" i="17"/>
  <c r="Y43" i="11"/>
  <c r="I42" i="17"/>
  <c r="W46" i="14"/>
  <c r="AE42" i="11"/>
  <c r="Z45" i="12"/>
  <c r="J45" i="12"/>
  <c r="AJ45" i="12"/>
  <c r="N44" i="12"/>
  <c r="J44" i="12"/>
  <c r="H44" i="12"/>
  <c r="M42" i="12"/>
  <c r="T44" i="12"/>
  <c r="Y45" i="12"/>
  <c r="AD44" i="12"/>
  <c r="AH42" i="12"/>
  <c r="G44" i="12"/>
  <c r="AF42" i="12"/>
  <c r="AA43" i="16"/>
  <c r="M45" i="16"/>
  <c r="W44" i="12"/>
  <c r="P46" i="14"/>
  <c r="AF46" i="14"/>
  <c r="AC46" i="14"/>
  <c r="P43" i="16"/>
  <c r="L43" i="16"/>
  <c r="AE45" i="12"/>
  <c r="T45" i="16"/>
  <c r="Y44" i="12"/>
  <c r="AF44" i="12"/>
  <c r="AC42" i="12"/>
  <c r="AA44" i="12"/>
  <c r="AC43" i="11"/>
  <c r="Z43" i="11"/>
  <c r="G43" i="11"/>
  <c r="J43" i="11"/>
  <c r="AG41" i="12"/>
  <c r="O45" i="16"/>
  <c r="P45" i="16"/>
  <c r="AK44" i="12"/>
  <c r="AF45" i="16"/>
  <c r="U43" i="16"/>
  <c r="S46" i="14"/>
  <c r="AA46" i="14"/>
  <c r="G46" i="14"/>
  <c r="AE41" i="16"/>
  <c r="O43" i="13"/>
  <c r="AJ41" i="16"/>
  <c r="AA41" i="16"/>
  <c r="AA43" i="13"/>
  <c r="AJ43" i="13"/>
  <c r="Y47" i="17"/>
  <c r="X45" i="12"/>
  <c r="O45" i="12"/>
  <c r="W42" i="17"/>
  <c r="K42" i="17"/>
  <c r="K46" i="14"/>
  <c r="O43" i="16"/>
  <c r="Q45" i="12"/>
  <c r="F44" i="12"/>
  <c r="M44" i="12"/>
  <c r="AJ44" i="12"/>
  <c r="Z44" i="12"/>
  <c r="AC43" i="16"/>
  <c r="AG43" i="16"/>
  <c r="F43" i="16"/>
  <c r="M43" i="11"/>
  <c r="AC45" i="16"/>
  <c r="U44" i="12"/>
  <c r="AB41" i="12"/>
  <c r="T46" i="14"/>
  <c r="F46" i="14"/>
  <c r="L41" i="16"/>
  <c r="L43" i="13"/>
  <c r="Z42" i="11"/>
  <c r="AI43" i="13"/>
  <c r="U47" i="17"/>
  <c r="S47" i="17"/>
  <c r="V45" i="12"/>
  <c r="AH45" i="12"/>
  <c r="V42" i="17"/>
  <c r="AA41" i="12"/>
  <c r="V41" i="15"/>
  <c r="G42" i="12"/>
  <c r="S41" i="12"/>
  <c r="X42" i="16"/>
  <c r="Q42" i="16"/>
  <c r="AG42" i="16"/>
  <c r="G41" i="12"/>
  <c r="Y41" i="12"/>
  <c r="AA44" i="13"/>
  <c r="J44" i="13"/>
  <c r="P44" i="13"/>
  <c r="J41" i="15"/>
  <c r="O42" i="12"/>
  <c r="O47" i="17"/>
  <c r="L47" i="17"/>
  <c r="U42" i="12"/>
  <c r="T42" i="12"/>
  <c r="AE42" i="12"/>
  <c r="F42" i="12"/>
  <c r="M44" i="17"/>
  <c r="M44" i="13"/>
  <c r="Y45" i="16"/>
  <c r="AD45" i="16"/>
  <c r="T42" i="16"/>
  <c r="AJ42" i="16"/>
  <c r="H42" i="16"/>
  <c r="AC41" i="12"/>
  <c r="V41" i="12"/>
  <c r="L41" i="12"/>
  <c r="I41" i="12"/>
  <c r="AB44" i="13"/>
  <c r="K44" i="13"/>
  <c r="Y44" i="13"/>
  <c r="R45" i="16"/>
  <c r="AD44" i="13"/>
  <c r="Z41" i="15"/>
  <c r="S41" i="15"/>
  <c r="N43" i="13"/>
  <c r="Q44" i="17"/>
  <c r="AJ46" i="16"/>
  <c r="K43" i="13"/>
  <c r="AD41" i="12"/>
  <c r="Y43" i="13"/>
  <c r="F46" i="16"/>
  <c r="W46" i="16"/>
  <c r="H47" i="17"/>
  <c r="AB43" i="13"/>
  <c r="Z43" i="13"/>
  <c r="Z42" i="16"/>
  <c r="AA44" i="17"/>
  <c r="AK45" i="16"/>
  <c r="AG43" i="13"/>
  <c r="H44" i="17"/>
  <c r="H42" i="12"/>
  <c r="Y46" i="14"/>
  <c r="X46" i="14"/>
  <c r="U41" i="12"/>
  <c r="AI44" i="13"/>
  <c r="V42" i="12"/>
  <c r="Z42" i="12"/>
  <c r="S42" i="12"/>
  <c r="N42" i="12"/>
  <c r="S44" i="17"/>
  <c r="X45" i="16"/>
  <c r="X44" i="13"/>
  <c r="H45" i="16"/>
  <c r="W45" i="16"/>
  <c r="AI42" i="16"/>
  <c r="R42" i="16"/>
  <c r="P42" i="16"/>
  <c r="R41" i="12"/>
  <c r="X41" i="12"/>
  <c r="T41" i="12"/>
  <c r="Q44" i="13"/>
  <c r="I44" i="13"/>
  <c r="T41" i="15"/>
  <c r="L41" i="15"/>
  <c r="N41" i="15"/>
  <c r="O46" i="16"/>
  <c r="X42" i="11"/>
  <c r="K46" i="16"/>
  <c r="H46" i="16"/>
  <c r="AH46" i="16"/>
  <c r="W44" i="17"/>
  <c r="AE43" i="13"/>
  <c r="V46" i="16"/>
  <c r="P47" i="17"/>
  <c r="Q47" i="17"/>
  <c r="K45" i="16"/>
  <c r="AK42" i="12"/>
  <c r="AD42" i="12"/>
  <c r="AA42" i="12"/>
  <c r="P42" i="12"/>
  <c r="AG44" i="13"/>
  <c r="T44" i="13"/>
  <c r="AH42" i="16"/>
  <c r="K42" i="16"/>
  <c r="J42" i="16"/>
  <c r="P41" i="12"/>
  <c r="W41" i="12"/>
  <c r="AK41" i="12"/>
  <c r="AK44" i="13"/>
  <c r="L44" i="13"/>
  <c r="AE44" i="13"/>
  <c r="X42" i="12"/>
  <c r="AE42" i="16"/>
  <c r="W46" i="11"/>
  <c r="AD42" i="16"/>
  <c r="AB42" i="12"/>
  <c r="K42" i="12"/>
  <c r="X41" i="15"/>
  <c r="AD41" i="15"/>
  <c r="Y41" i="15"/>
  <c r="Y42" i="12"/>
  <c r="I42" i="12"/>
  <c r="W42" i="12"/>
  <c r="L42" i="12"/>
  <c r="R42" i="12"/>
  <c r="J42" i="12"/>
  <c r="R44" i="17"/>
  <c r="AF44" i="13"/>
  <c r="Z45" i="16"/>
  <c r="AB45" i="16"/>
  <c r="AK42" i="16"/>
  <c r="S42" i="16"/>
  <c r="AB42" i="16"/>
  <c r="I45" i="16"/>
  <c r="AH41" i="12"/>
  <c r="M41" i="12"/>
  <c r="U44" i="13"/>
  <c r="G44" i="13"/>
  <c r="AH44" i="13"/>
  <c r="Q45" i="16"/>
  <c r="Z41" i="12"/>
  <c r="K41" i="15"/>
  <c r="I41" i="15"/>
  <c r="N46" i="16"/>
  <c r="X43" i="13"/>
  <c r="AF46" i="16"/>
  <c r="J46" i="16"/>
  <c r="P42" i="11"/>
  <c r="G46" i="16"/>
  <c r="AK46" i="16"/>
  <c r="AG46" i="16"/>
  <c r="H41" i="12"/>
  <c r="I43" i="13"/>
  <c r="G43" i="13"/>
  <c r="AF43" i="13"/>
  <c r="Y42" i="16"/>
  <c r="J46" i="11"/>
  <c r="X47" i="17"/>
  <c r="S41" i="16"/>
  <c r="AK44" i="17"/>
  <c r="N47" i="17"/>
  <c r="AA42" i="16"/>
  <c r="O41" i="15"/>
  <c r="V46" i="14"/>
  <c r="U44" i="15"/>
  <c r="AI44" i="15"/>
  <c r="N44" i="15"/>
  <c r="F44" i="15"/>
  <c r="AE44" i="15"/>
  <c r="S44" i="15"/>
  <c r="AF44" i="15"/>
  <c r="R44" i="15"/>
  <c r="T44" i="15"/>
  <c r="P44" i="15"/>
  <c r="M44" i="15"/>
  <c r="O44" i="15"/>
  <c r="Y44" i="15"/>
  <c r="G44" i="15"/>
  <c r="AC44" i="15"/>
  <c r="AJ44" i="15"/>
  <c r="H44" i="15"/>
  <c r="AH44" i="15"/>
  <c r="AD44" i="15"/>
  <c r="W44" i="13"/>
  <c r="AE41" i="12"/>
  <c r="F41" i="12"/>
  <c r="Z44" i="13"/>
  <c r="O44" i="13"/>
  <c r="AF41" i="12"/>
  <c r="N41" i="12"/>
  <c r="F44" i="13"/>
  <c r="G41" i="15"/>
  <c r="AI41" i="15"/>
  <c r="AJ42" i="12"/>
  <c r="AI42" i="12"/>
  <c r="AJ44" i="17"/>
  <c r="AC44" i="17"/>
  <c r="V44" i="13"/>
  <c r="R44" i="13"/>
  <c r="O41" i="12"/>
  <c r="AA45" i="16"/>
  <c r="AH45" i="16"/>
  <c r="I42" i="16"/>
  <c r="AF42" i="16"/>
  <c r="V42" i="16"/>
  <c r="G45" i="16"/>
  <c r="AI41" i="12"/>
  <c r="J41" i="12"/>
  <c r="S44" i="13"/>
  <c r="H44" i="13"/>
  <c r="AF41" i="15"/>
  <c r="AB41" i="15"/>
  <c r="L43" i="17"/>
  <c r="W43" i="13"/>
  <c r="T43" i="13"/>
  <c r="AB46" i="16"/>
  <c r="Z46" i="16"/>
  <c r="AE46" i="16"/>
  <c r="M43" i="13"/>
  <c r="F43" i="13"/>
  <c r="S46" i="16"/>
  <c r="AJ41" i="12"/>
  <c r="AD43" i="13"/>
  <c r="R46" i="16"/>
  <c r="U42" i="16"/>
  <c r="AK47" i="17"/>
  <c r="H43" i="13"/>
  <c r="V47" i="17"/>
  <c r="X44" i="17"/>
  <c r="L42" i="16"/>
  <c r="AH43" i="13"/>
  <c r="AC46" i="13"/>
  <c r="Y46" i="13"/>
  <c r="AB46" i="13"/>
  <c r="Z46" i="13"/>
  <c r="AI46" i="13"/>
  <c r="AF46" i="13"/>
  <c r="F33" i="12" a="1"/>
  <c r="Z33" i="12" s="1"/>
  <c r="F36" i="17" a="1"/>
  <c r="AB36" i="17" s="1"/>
  <c r="Y43" i="17"/>
  <c r="V43" i="17"/>
  <c r="I43" i="17"/>
  <c r="Z44" i="14"/>
  <c r="T42" i="11"/>
  <c r="R44" i="14"/>
  <c r="O42" i="11"/>
  <c r="Z46" i="12"/>
  <c r="AJ46" i="11"/>
  <c r="M46" i="11"/>
  <c r="H46" i="11"/>
  <c r="AK46" i="11"/>
  <c r="S46" i="11"/>
  <c r="AH46" i="11"/>
  <c r="Y44" i="14"/>
  <c r="F46" i="11"/>
  <c r="H43" i="17"/>
  <c r="K43" i="16"/>
  <c r="M43" i="16"/>
  <c r="F37" i="14" a="1"/>
  <c r="AG37" i="14" s="1"/>
  <c r="AI43" i="14"/>
  <c r="AA43" i="14"/>
  <c r="V43" i="16"/>
  <c r="Y43" i="16"/>
  <c r="G43" i="16"/>
  <c r="AC43" i="14"/>
  <c r="U43" i="17"/>
  <c r="Q43" i="17"/>
  <c r="X43" i="17"/>
  <c r="AC42" i="11"/>
  <c r="N42" i="11"/>
  <c r="I44" i="14"/>
  <c r="I46" i="12"/>
  <c r="G41" i="16"/>
  <c r="AF46" i="12"/>
  <c r="Q43" i="16"/>
  <c r="AD41" i="16"/>
  <c r="I42" i="11"/>
  <c r="AB46" i="12"/>
  <c r="Z41" i="16"/>
  <c r="K41" i="16"/>
  <c r="Q43" i="14"/>
  <c r="G47" i="17"/>
  <c r="Z46" i="11"/>
  <c r="AA46" i="11"/>
  <c r="G46" i="11"/>
  <c r="AE47" i="17"/>
  <c r="N47" i="13"/>
  <c r="W47" i="17"/>
  <c r="R46" i="11"/>
  <c r="Y46" i="11"/>
  <c r="AF45" i="12"/>
  <c r="AF44" i="14"/>
  <c r="W45" i="12"/>
  <c r="AI44" i="14"/>
  <c r="AE44" i="14"/>
  <c r="M44" i="14"/>
  <c r="AB43" i="16"/>
  <c r="U42" i="17"/>
  <c r="Y42" i="17"/>
  <c r="AA42" i="17"/>
  <c r="O42" i="17"/>
  <c r="AB42" i="17"/>
  <c r="Z42" i="17"/>
  <c r="AD42" i="17"/>
  <c r="P42" i="17"/>
  <c r="AG42" i="17"/>
  <c r="AF42" i="17"/>
  <c r="H42" i="17"/>
  <c r="AE42" i="17"/>
  <c r="G42" i="17"/>
  <c r="F42" i="17"/>
  <c r="N42" i="17"/>
  <c r="W46" i="12"/>
  <c r="S44" i="14"/>
  <c r="G42" i="11"/>
  <c r="F34" i="16" a="1"/>
  <c r="P34" i="16" s="1"/>
  <c r="N43" i="17"/>
  <c r="M43" i="17"/>
  <c r="AH43" i="17"/>
  <c r="W42" i="11"/>
  <c r="M42" i="11"/>
  <c r="AK42" i="11"/>
  <c r="AK43" i="16"/>
  <c r="I43" i="16"/>
  <c r="AD42" i="11"/>
  <c r="W41" i="16"/>
  <c r="U46" i="11"/>
  <c r="V46" i="11"/>
  <c r="I41" i="16"/>
  <c r="AF46" i="11"/>
  <c r="I46" i="11"/>
  <c r="AG44" i="14"/>
  <c r="L44" i="14"/>
  <c r="T47" i="17"/>
  <c r="R47" i="17"/>
  <c r="AK41" i="13"/>
  <c r="AI41" i="13"/>
  <c r="T41" i="13"/>
  <c r="R41" i="13"/>
  <c r="AC41" i="13"/>
  <c r="S41" i="13"/>
  <c r="H41" i="13"/>
  <c r="M41" i="13"/>
  <c r="AG41" i="13"/>
  <c r="AJ41" i="13"/>
  <c r="AD41" i="13"/>
  <c r="W41" i="13"/>
  <c r="L41" i="13"/>
  <c r="AA41" i="13"/>
  <c r="V41" i="13"/>
  <c r="F41" i="13"/>
  <c r="P41" i="13"/>
  <c r="O41" i="13"/>
  <c r="AH41" i="13"/>
  <c r="G41" i="13"/>
  <c r="Z41" i="13"/>
  <c r="K41" i="13"/>
  <c r="AF41" i="13"/>
  <c r="N41" i="13"/>
  <c r="AE41" i="13"/>
  <c r="Y41" i="13"/>
  <c r="AB41" i="13"/>
  <c r="J41" i="13"/>
  <c r="U41" i="13"/>
  <c r="Q41" i="13"/>
  <c r="X41" i="13"/>
  <c r="L46" i="12"/>
  <c r="G46" i="12"/>
  <c r="AI46" i="12"/>
  <c r="S43" i="16"/>
  <c r="U43" i="14"/>
  <c r="K43" i="17"/>
  <c r="O43" i="17"/>
  <c r="W43" i="17"/>
  <c r="AI43" i="17"/>
  <c r="V42" i="11"/>
  <c r="X44" i="14"/>
  <c r="AG42" i="11"/>
  <c r="H44" i="14"/>
  <c r="F46" i="12"/>
  <c r="AC41" i="16"/>
  <c r="J42" i="11"/>
  <c r="AG41" i="16"/>
  <c r="J41" i="16"/>
  <c r="AD46" i="11"/>
  <c r="AJ47" i="17"/>
  <c r="L46" i="11"/>
  <c r="T41" i="16"/>
  <c r="Q46" i="11"/>
  <c r="AE46" i="11"/>
  <c r="T46" i="11"/>
  <c r="AD45" i="12"/>
  <c r="S45" i="12"/>
  <c r="AC44" i="14"/>
  <c r="J44" i="14"/>
  <c r="H45" i="12"/>
  <c r="F45" i="12"/>
  <c r="M47" i="17"/>
  <c r="J47" i="17"/>
  <c r="X43" i="14"/>
  <c r="I47" i="17"/>
  <c r="I45" i="12"/>
  <c r="I41" i="13"/>
  <c r="S46" i="12"/>
  <c r="AA44" i="14"/>
  <c r="K42" i="11"/>
  <c r="P44" i="14"/>
  <c r="H42" i="11"/>
  <c r="V46" i="12"/>
  <c r="R46" i="12"/>
  <c r="AC46" i="12"/>
  <c r="N46" i="12"/>
  <c r="U46" i="12"/>
  <c r="G43" i="17"/>
  <c r="F36" i="13" a="1"/>
  <c r="AI36" i="13" s="1"/>
  <c r="K46" i="12"/>
  <c r="AH46" i="12"/>
  <c r="R43" i="16"/>
  <c r="W43" i="14"/>
  <c r="P43" i="17"/>
  <c r="AD43" i="17"/>
  <c r="AJ43" i="17"/>
  <c r="F44" i="14"/>
  <c r="J43" i="17"/>
  <c r="W44" i="14"/>
  <c r="S42" i="11"/>
  <c r="G44" i="14"/>
  <c r="AI42" i="11"/>
  <c r="U41" i="16"/>
  <c r="AF43" i="16"/>
  <c r="L42" i="11"/>
  <c r="Q42" i="11"/>
  <c r="F42" i="11"/>
  <c r="O41" i="16"/>
  <c r="R41" i="16"/>
  <c r="AF41" i="16"/>
  <c r="AE46" i="12"/>
  <c r="P46" i="11"/>
  <c r="AI47" i="17"/>
  <c r="R47" i="13"/>
  <c r="K46" i="11"/>
  <c r="AI46" i="11"/>
  <c r="AA42" i="11"/>
  <c r="O47" i="13"/>
  <c r="X41" i="16"/>
  <c r="K44" i="14"/>
  <c r="K47" i="17"/>
  <c r="AD44" i="14"/>
  <c r="M45" i="12"/>
  <c r="G45" i="12"/>
  <c r="N44" i="14"/>
  <c r="AA47" i="17"/>
  <c r="R41" i="15"/>
  <c r="H41" i="16"/>
  <c r="X46" i="12"/>
  <c r="O46" i="12"/>
  <c r="AF42" i="11"/>
  <c r="N46" i="11"/>
  <c r="O44" i="14"/>
  <c r="Q44" i="14"/>
  <c r="Y46" i="12"/>
  <c r="AJ46" i="12"/>
  <c r="T43" i="16"/>
  <c r="R43" i="17"/>
  <c r="F34" i="15" a="1"/>
  <c r="W34" i="15" s="1"/>
  <c r="H43" i="14"/>
  <c r="AE43" i="14"/>
  <c r="S43" i="14"/>
  <c r="Q46" i="12"/>
  <c r="AK46" i="12"/>
  <c r="J46" i="12"/>
  <c r="M46" i="12"/>
  <c r="S43" i="17"/>
  <c r="L43" i="14"/>
  <c r="Z43" i="17"/>
  <c r="AE43" i="17"/>
  <c r="V44" i="14"/>
  <c r="R42" i="11"/>
  <c r="AB42" i="11"/>
  <c r="AH42" i="11"/>
  <c r="AA46" i="12"/>
  <c r="AK41" i="16"/>
  <c r="AD43" i="16"/>
  <c r="K43" i="14"/>
  <c r="AI43" i="16"/>
  <c r="O46" i="11"/>
  <c r="AH47" i="17"/>
  <c r="AC46" i="11"/>
  <c r="AG46" i="11"/>
  <c r="AB46" i="11"/>
  <c r="T45" i="12"/>
  <c r="U45" i="12"/>
  <c r="R45" i="12"/>
  <c r="L45" i="12"/>
  <c r="Z47" i="17"/>
  <c r="J45" i="16"/>
  <c r="S45" i="16"/>
  <c r="E33" i="11"/>
  <c r="E37" i="11"/>
  <c r="E35" i="11"/>
  <c r="E36" i="11"/>
  <c r="E32" i="11"/>
  <c r="H21" i="7"/>
  <c r="H14" i="7" s="1"/>
  <c r="E35" i="16"/>
  <c r="E38" i="11"/>
  <c r="G36" i="17"/>
  <c r="E33" i="16"/>
  <c r="AC34" i="16"/>
  <c r="N34" i="16"/>
  <c r="E33" i="17"/>
  <c r="AF34" i="16"/>
  <c r="E36" i="16"/>
  <c r="E35" i="17"/>
  <c r="E37" i="17"/>
  <c r="K34" i="16"/>
  <c r="E34" i="17"/>
  <c r="AD36" i="17"/>
  <c r="E37" i="16"/>
  <c r="O34" i="16"/>
  <c r="U34" i="16"/>
  <c r="E32" i="17"/>
  <c r="W34" i="16"/>
  <c r="AG34" i="16"/>
  <c r="E32" i="16"/>
  <c r="E38" i="17"/>
  <c r="O36" i="17"/>
  <c r="AD34" i="16"/>
  <c r="E38" i="16"/>
  <c r="E35" i="12"/>
  <c r="E32" i="12"/>
  <c r="E36" i="12"/>
  <c r="E34" i="12"/>
  <c r="E38" i="12"/>
  <c r="X33" i="12"/>
  <c r="E37" i="12"/>
  <c r="AE33" i="12"/>
  <c r="E34" i="13"/>
  <c r="E37" i="13"/>
  <c r="R36" i="13"/>
  <c r="E38" i="13"/>
  <c r="AH36" i="13"/>
  <c r="AB36" i="13"/>
  <c r="E35" i="13"/>
  <c r="Y36" i="13"/>
  <c r="E32" i="13"/>
  <c r="I36" i="13"/>
  <c r="E33" i="13"/>
  <c r="K37" i="14"/>
  <c r="AF37" i="14"/>
  <c r="AC37" i="14"/>
  <c r="E35" i="14"/>
  <c r="O37" i="14"/>
  <c r="H37" i="14"/>
  <c r="U37" i="14"/>
  <c r="E38" i="14"/>
  <c r="E33" i="14"/>
  <c r="I37" i="14"/>
  <c r="G37" i="14"/>
  <c r="E32" i="14"/>
  <c r="AI37" i="14"/>
  <c r="AJ37" i="14"/>
  <c r="Z37" i="14"/>
  <c r="E34" i="14"/>
  <c r="L37" i="14"/>
  <c r="E36" i="14"/>
  <c r="R34" i="15"/>
  <c r="G34" i="15"/>
  <c r="E37" i="15"/>
  <c r="E35" i="15"/>
  <c r="N34" i="15"/>
  <c r="E38" i="15"/>
  <c r="E32" i="15"/>
  <c r="F32" i="15" s="1" a="1"/>
  <c r="K34" i="15"/>
  <c r="E36" i="15"/>
  <c r="E33" i="15"/>
  <c r="T34" i="11"/>
  <c r="AC34" i="11"/>
  <c r="X34" i="11"/>
  <c r="AD34" i="11"/>
  <c r="AH34" i="11"/>
  <c r="AK34" i="11"/>
  <c r="G34" i="11"/>
  <c r="L34" i="11"/>
  <c r="S34" i="11"/>
  <c r="V34" i="11"/>
  <c r="N34" i="11"/>
  <c r="AI34" i="11"/>
  <c r="U34" i="11"/>
  <c r="H34" i="11"/>
  <c r="AE34" i="11"/>
  <c r="AG34" i="11"/>
  <c r="AA34" i="11"/>
  <c r="K34" i="11"/>
  <c r="M34" i="11"/>
  <c r="O34" i="11"/>
  <c r="J34" i="11"/>
  <c r="AJ34" i="11"/>
  <c r="P34" i="11"/>
  <c r="AF34" i="11"/>
  <c r="I34" i="11"/>
  <c r="Q34" i="11"/>
  <c r="R34" i="11"/>
  <c r="Z34" i="11"/>
  <c r="AB34" i="11"/>
  <c r="F34" i="11"/>
  <c r="Y34" i="11"/>
  <c r="W34" i="11"/>
  <c r="E16" i="9" a="1"/>
  <c r="I16" i="9" s="1"/>
  <c r="E13" i="9" a="1"/>
  <c r="Z13" i="9" s="1"/>
  <c r="E15" i="9" a="1"/>
  <c r="AF15" i="9" s="1"/>
  <c r="E12" i="9" a="1"/>
  <c r="U12" i="9" s="1"/>
  <c r="E10" i="9" a="1"/>
  <c r="AI10" i="9" s="1"/>
  <c r="E11" i="9" a="1"/>
  <c r="L11" i="9" s="1"/>
  <c r="E14" i="9" a="1"/>
  <c r="AF14" i="9" s="1"/>
  <c r="AI169" i="17"/>
  <c r="AI151" i="17"/>
  <c r="AI181" i="17"/>
  <c r="AI132" i="17"/>
  <c r="AI157" i="17"/>
  <c r="AI138" i="17"/>
  <c r="AI114" i="17"/>
  <c r="AI163" i="17"/>
  <c r="AI126" i="17"/>
  <c r="AI144" i="17"/>
  <c r="AI169" i="16"/>
  <c r="AI187" i="17"/>
  <c r="AI181" i="16"/>
  <c r="AI157" i="16"/>
  <c r="AI163" i="16"/>
  <c r="AI151" i="16"/>
  <c r="AI175" i="17"/>
  <c r="AI132" i="16"/>
  <c r="AI187" i="16"/>
  <c r="AI138" i="16"/>
  <c r="AI126" i="16"/>
  <c r="AI120" i="17"/>
  <c r="AI108" i="17"/>
  <c r="AI114" i="16"/>
  <c r="AI175" i="16"/>
  <c r="AI144" i="16"/>
  <c r="AI120" i="16"/>
  <c r="AI181" i="15"/>
  <c r="AI187" i="15"/>
  <c r="AI151" i="15"/>
  <c r="AI138" i="15"/>
  <c r="AI120" i="15"/>
  <c r="AI163" i="15"/>
  <c r="AI187" i="14"/>
  <c r="AI169" i="15"/>
  <c r="AI126" i="15"/>
  <c r="AI175" i="14"/>
  <c r="AI151" i="14"/>
  <c r="AI144" i="15"/>
  <c r="AI114" i="15"/>
  <c r="AI132" i="14"/>
  <c r="AI163" i="14"/>
  <c r="AI169" i="14"/>
  <c r="AI120" i="14"/>
  <c r="AI181" i="14"/>
  <c r="AI181" i="13"/>
  <c r="AI108" i="15"/>
  <c r="AI144" i="14"/>
  <c r="AI108" i="14"/>
  <c r="AI163" i="13"/>
  <c r="AI175" i="15"/>
  <c r="AI126" i="14"/>
  <c r="AI132" i="15"/>
  <c r="AI114" i="14"/>
  <c r="AI169" i="13"/>
  <c r="AI108" i="16"/>
  <c r="AI151" i="13"/>
  <c r="AI187" i="12"/>
  <c r="AI157" i="15"/>
  <c r="AI138" i="14"/>
  <c r="AI138" i="13"/>
  <c r="AI144" i="13"/>
  <c r="AI114" i="13"/>
  <c r="AI157" i="13"/>
  <c r="AI120" i="13"/>
  <c r="AI157" i="14"/>
  <c r="AI108" i="13"/>
  <c r="AI120" i="12"/>
  <c r="AI169" i="12"/>
  <c r="AI163" i="12"/>
  <c r="AI132" i="12"/>
  <c r="AI187" i="13"/>
  <c r="AI132" i="13"/>
  <c r="AI126" i="13"/>
  <c r="AI144" i="12"/>
  <c r="AI138" i="12"/>
  <c r="AI175" i="13"/>
  <c r="AI157" i="12"/>
  <c r="AI163" i="11"/>
  <c r="AI114" i="11"/>
  <c r="AI175" i="12"/>
  <c r="AI144" i="11"/>
  <c r="AI151" i="12"/>
  <c r="AI126" i="12"/>
  <c r="AI175" i="11"/>
  <c r="AI126" i="11"/>
  <c r="AI114" i="12"/>
  <c r="AI151" i="11"/>
  <c r="AI120" i="11"/>
  <c r="AI108" i="12"/>
  <c r="AI181" i="11"/>
  <c r="AI108" i="11"/>
  <c r="AI181" i="12"/>
  <c r="AI157" i="11"/>
  <c r="AI132" i="11"/>
  <c r="AI187" i="11"/>
  <c r="AI169" i="11"/>
  <c r="AI138" i="11"/>
  <c r="AK144" i="17"/>
  <c r="AK175" i="17"/>
  <c r="AK157" i="17"/>
  <c r="AK181" i="17"/>
  <c r="AK132" i="17"/>
  <c r="AK163" i="17"/>
  <c r="AK187" i="17"/>
  <c r="AK120" i="17"/>
  <c r="AK169" i="17"/>
  <c r="AK126" i="17"/>
  <c r="AK187" i="16"/>
  <c r="AK163" i="16"/>
  <c r="AK114" i="17"/>
  <c r="AK175" i="16"/>
  <c r="AK138" i="17"/>
  <c r="AK144" i="16"/>
  <c r="AK181" i="16"/>
  <c r="AK108" i="17"/>
  <c r="AK157" i="16"/>
  <c r="AK132" i="16"/>
  <c r="AK108" i="16"/>
  <c r="AK120" i="16"/>
  <c r="AK181" i="15"/>
  <c r="AK114" i="16"/>
  <c r="AK175" i="15"/>
  <c r="AK126" i="16"/>
  <c r="AK144" i="15"/>
  <c r="AK114" i="15"/>
  <c r="AK157" i="15"/>
  <c r="AK169" i="15"/>
  <c r="AK126" i="15"/>
  <c r="AK151" i="17"/>
  <c r="AK163" i="15"/>
  <c r="AK187" i="14"/>
  <c r="AK108" i="15"/>
  <c r="AK126" i="14"/>
  <c r="AK138" i="16"/>
  <c r="AK138" i="15"/>
  <c r="AK157" i="14"/>
  <c r="AK181" i="14"/>
  <c r="AK138" i="14"/>
  <c r="AK151" i="16"/>
  <c r="AK187" i="15"/>
  <c r="AK144" i="14"/>
  <c r="AK120" i="15"/>
  <c r="AK120" i="14"/>
  <c r="AK157" i="13"/>
  <c r="AK169" i="14"/>
  <c r="AK187" i="13"/>
  <c r="AK151" i="14"/>
  <c r="AK144" i="13"/>
  <c r="AK151" i="15"/>
  <c r="AK132" i="14"/>
  <c r="AK132" i="13"/>
  <c r="AK181" i="12"/>
  <c r="AK163" i="13"/>
  <c r="AK108" i="13"/>
  <c r="AK132" i="15"/>
  <c r="AK181" i="13"/>
  <c r="AK120" i="13"/>
  <c r="AK108" i="14"/>
  <c r="AK169" i="13"/>
  <c r="AK114" i="13"/>
  <c r="AK169" i="12"/>
  <c r="AK151" i="13"/>
  <c r="AK157" i="12"/>
  <c r="AK126" i="12"/>
  <c r="AK126" i="13"/>
  <c r="AK175" i="12"/>
  <c r="AK138" i="12"/>
  <c r="AK175" i="14"/>
  <c r="AK114" i="14"/>
  <c r="AK144" i="12"/>
  <c r="AK187" i="11"/>
  <c r="AK138" i="11"/>
  <c r="AK108" i="12"/>
  <c r="AK169" i="11"/>
  <c r="AK120" i="11"/>
  <c r="AK169" i="16"/>
  <c r="AK120" i="12"/>
  <c r="AK151" i="11"/>
  <c r="AK187" i="12"/>
  <c r="AK175" i="11"/>
  <c r="AK126" i="11"/>
  <c r="AK114" i="12"/>
  <c r="AK144" i="11"/>
  <c r="AK163" i="12"/>
  <c r="AK108" i="11"/>
  <c r="AK175" i="13"/>
  <c r="AK151" i="12"/>
  <c r="AK132" i="11"/>
  <c r="AK181" i="11"/>
  <c r="AK138" i="13"/>
  <c r="AK132" i="12"/>
  <c r="AK114" i="11"/>
  <c r="AK163" i="11"/>
  <c r="AK157" i="11"/>
  <c r="AK163" i="14"/>
  <c r="E144" i="17"/>
  <c r="E175" i="17"/>
  <c r="E157" i="17"/>
  <c r="E181" i="17"/>
  <c r="E163" i="17"/>
  <c r="E187" i="17"/>
  <c r="E120" i="17"/>
  <c r="E169" i="17"/>
  <c r="E126" i="17"/>
  <c r="E187" i="16"/>
  <c r="E114" i="17"/>
  <c r="E175" i="16"/>
  <c r="E138" i="17"/>
  <c r="E181" i="16"/>
  <c r="E144" i="16"/>
  <c r="E157" i="16"/>
  <c r="E132" i="16"/>
  <c r="E163" i="16"/>
  <c r="E108" i="16"/>
  <c r="E108" i="17"/>
  <c r="E120" i="16"/>
  <c r="E169" i="16"/>
  <c r="E114" i="16"/>
  <c r="E175" i="15"/>
  <c r="E144" i="15"/>
  <c r="E114" i="15"/>
  <c r="E151" i="17"/>
  <c r="E132" i="17"/>
  <c r="E157" i="15"/>
  <c r="E169" i="15"/>
  <c r="E126" i="15"/>
  <c r="E126" i="16"/>
  <c r="E163" i="15"/>
  <c r="E187" i="14"/>
  <c r="E108" i="15"/>
  <c r="E175" i="14"/>
  <c r="E138" i="16"/>
  <c r="E181" i="15"/>
  <c r="E138" i="15"/>
  <c r="E157" i="14"/>
  <c r="E181" i="14"/>
  <c r="E138" i="14"/>
  <c r="E151" i="16"/>
  <c r="E187" i="15"/>
  <c r="E144" i="14"/>
  <c r="E120" i="15"/>
  <c r="E120" i="14"/>
  <c r="E157" i="13"/>
  <c r="E169" i="14"/>
  <c r="E187" i="13"/>
  <c r="E114" i="14"/>
  <c r="E151" i="14"/>
  <c r="E132" i="14"/>
  <c r="E144" i="13"/>
  <c r="E151" i="15"/>
  <c r="E181" i="12"/>
  <c r="E163" i="13"/>
  <c r="E108" i="13"/>
  <c r="E132" i="15"/>
  <c r="E181" i="13"/>
  <c r="E120" i="13"/>
  <c r="E126" i="14"/>
  <c r="E108" i="14"/>
  <c r="E169" i="13"/>
  <c r="E114" i="13"/>
  <c r="E151" i="13"/>
  <c r="E138" i="13"/>
  <c r="E157" i="12"/>
  <c r="E126" i="12"/>
  <c r="E126" i="13"/>
  <c r="E169" i="12"/>
  <c r="E138" i="12"/>
  <c r="E144" i="12"/>
  <c r="E175" i="13"/>
  <c r="E114" i="12"/>
  <c r="E187" i="11"/>
  <c r="E138" i="11"/>
  <c r="E163" i="14"/>
  <c r="E169" i="11"/>
  <c r="E120" i="11"/>
  <c r="E132" i="13"/>
  <c r="E120" i="12"/>
  <c r="E151" i="11"/>
  <c r="E187" i="12"/>
  <c r="E132" i="12"/>
  <c r="E108" i="12"/>
  <c r="E175" i="11"/>
  <c r="E126" i="11"/>
  <c r="E144" i="11"/>
  <c r="E163" i="12"/>
  <c r="E108" i="11"/>
  <c r="E151" i="12"/>
  <c r="E132" i="11"/>
  <c r="E181" i="11"/>
  <c r="E114" i="11"/>
  <c r="E163" i="11"/>
  <c r="E157" i="11"/>
  <c r="E175" i="12"/>
  <c r="AB181" i="17"/>
  <c r="AB163" i="17"/>
  <c r="AB144" i="17"/>
  <c r="AB169" i="17"/>
  <c r="AB126" i="17"/>
  <c r="AB108" i="17"/>
  <c r="AB157" i="17"/>
  <c r="AB114" i="17"/>
  <c r="AB187" i="16"/>
  <c r="AB120" i="17"/>
  <c r="AB151" i="17"/>
  <c r="AB175" i="17"/>
  <c r="AB132" i="17"/>
  <c r="AB169" i="16"/>
  <c r="AB132" i="16"/>
  <c r="AB181" i="16"/>
  <c r="AB175" i="16"/>
  <c r="AB144" i="16"/>
  <c r="AB138" i="17"/>
  <c r="AB157" i="16"/>
  <c r="AB114" i="16"/>
  <c r="AB187" i="15"/>
  <c r="AB151" i="16"/>
  <c r="AB126" i="16"/>
  <c r="AB120" i="16"/>
  <c r="AB163" i="15"/>
  <c r="AB187" i="14"/>
  <c r="AB163" i="16"/>
  <c r="AB132" i="15"/>
  <c r="AB187" i="17"/>
  <c r="AB138" i="16"/>
  <c r="AB144" i="15"/>
  <c r="AB114" i="15"/>
  <c r="AB151" i="15"/>
  <c r="AB138" i="15"/>
  <c r="AB175" i="14"/>
  <c r="AB163" i="14"/>
  <c r="AB169" i="15"/>
  <c r="AB144" i="14"/>
  <c r="AB108" i="15"/>
  <c r="AB181" i="14"/>
  <c r="AB108" i="16"/>
  <c r="AB120" i="15"/>
  <c r="AB132" i="14"/>
  <c r="AB151" i="14"/>
  <c r="AB120" i="14"/>
  <c r="AB144" i="13"/>
  <c r="AB175" i="13"/>
  <c r="AB138" i="14"/>
  <c r="AB157" i="15"/>
  <c r="AB181" i="13"/>
  <c r="AB132" i="13"/>
  <c r="AB169" i="14"/>
  <c r="AB157" i="13"/>
  <c r="AB114" i="13"/>
  <c r="AB187" i="13"/>
  <c r="AB126" i="13"/>
  <c r="AB175" i="15"/>
  <c r="AB157" i="14"/>
  <c r="AB126" i="14"/>
  <c r="AB169" i="13"/>
  <c r="AB181" i="12"/>
  <c r="AB187" i="12"/>
  <c r="AB144" i="12"/>
  <c r="AB114" i="12"/>
  <c r="AB126" i="15"/>
  <c r="AB157" i="12"/>
  <c r="AB151" i="13"/>
  <c r="AB108" i="13"/>
  <c r="AB120" i="12"/>
  <c r="AB138" i="13"/>
  <c r="AB108" i="12"/>
  <c r="AB175" i="11"/>
  <c r="AB126" i="11"/>
  <c r="AB151" i="12"/>
  <c r="AB157" i="11"/>
  <c r="AB108" i="11"/>
  <c r="AB126" i="12"/>
  <c r="AB187" i="11"/>
  <c r="AB138" i="11"/>
  <c r="AB114" i="14"/>
  <c r="AB163" i="13"/>
  <c r="AB163" i="12"/>
  <c r="AB132" i="12"/>
  <c r="AB163" i="11"/>
  <c r="AB114" i="11"/>
  <c r="AB138" i="12"/>
  <c r="AB181" i="11"/>
  <c r="AB175" i="12"/>
  <c r="AB144" i="11"/>
  <c r="AB169" i="11"/>
  <c r="AB120" i="13"/>
  <c r="AB120" i="11"/>
  <c r="AB108" i="14"/>
  <c r="AB181" i="15"/>
  <c r="AB169" i="12"/>
  <c r="AB151" i="11"/>
  <c r="AB132" i="11"/>
  <c r="T181" i="17"/>
  <c r="T163" i="17"/>
  <c r="T144" i="17"/>
  <c r="T169" i="17"/>
  <c r="T126" i="17"/>
  <c r="T108" i="17"/>
  <c r="T157" i="17"/>
  <c r="T114" i="17"/>
  <c r="T138" i="17"/>
  <c r="T187" i="17"/>
  <c r="T120" i="17"/>
  <c r="T181" i="16"/>
  <c r="T132" i="17"/>
  <c r="T169" i="16"/>
  <c r="T151" i="17"/>
  <c r="T132" i="16"/>
  <c r="T163" i="16"/>
  <c r="T175" i="16"/>
  <c r="T144" i="16"/>
  <c r="T114" i="16"/>
  <c r="T187" i="15"/>
  <c r="T157" i="16"/>
  <c r="T126" i="16"/>
  <c r="T187" i="16"/>
  <c r="T175" i="17"/>
  <c r="T120" i="16"/>
  <c r="T163" i="15"/>
  <c r="T187" i="14"/>
  <c r="T132" i="15"/>
  <c r="T181" i="15"/>
  <c r="T144" i="15"/>
  <c r="T114" i="15"/>
  <c r="T138" i="16"/>
  <c r="T151" i="15"/>
  <c r="T138" i="15"/>
  <c r="T175" i="14"/>
  <c r="T181" i="14"/>
  <c r="T163" i="14"/>
  <c r="T169" i="15"/>
  <c r="T144" i="14"/>
  <c r="T175" i="15"/>
  <c r="T108" i="15"/>
  <c r="T120" i="15"/>
  <c r="T132" i="14"/>
  <c r="T151" i="14"/>
  <c r="T144" i="13"/>
  <c r="T175" i="13"/>
  <c r="T151" i="16"/>
  <c r="T157" i="15"/>
  <c r="T138" i="14"/>
  <c r="T120" i="14"/>
  <c r="T181" i="13"/>
  <c r="T126" i="14"/>
  <c r="T114" i="13"/>
  <c r="T187" i="13"/>
  <c r="T126" i="13"/>
  <c r="T108" i="16"/>
  <c r="T181" i="12"/>
  <c r="T157" i="14"/>
  <c r="T163" i="13"/>
  <c r="T132" i="13"/>
  <c r="T187" i="12"/>
  <c r="T108" i="14"/>
  <c r="T144" i="12"/>
  <c r="T114" i="12"/>
  <c r="T169" i="14"/>
  <c r="T138" i="13"/>
  <c r="T157" i="12"/>
  <c r="T108" i="13"/>
  <c r="T120" i="12"/>
  <c r="T108" i="12"/>
  <c r="T175" i="11"/>
  <c r="T126" i="11"/>
  <c r="T114" i="14"/>
  <c r="T151" i="13"/>
  <c r="T151" i="12"/>
  <c r="T157" i="11"/>
  <c r="T108" i="11"/>
  <c r="T175" i="12"/>
  <c r="T187" i="11"/>
  <c r="T138" i="11"/>
  <c r="T169" i="13"/>
  <c r="T163" i="12"/>
  <c r="T132" i="12"/>
  <c r="T163" i="11"/>
  <c r="T114" i="11"/>
  <c r="T169" i="12"/>
  <c r="T126" i="12"/>
  <c r="T181" i="11"/>
  <c r="T126" i="15"/>
  <c r="T144" i="11"/>
  <c r="T169" i="11"/>
  <c r="T120" i="11"/>
  <c r="T157" i="13"/>
  <c r="T132" i="11"/>
  <c r="T151" i="11"/>
  <c r="T120" i="13"/>
  <c r="T138" i="12"/>
  <c r="V157" i="17"/>
  <c r="V187" i="17"/>
  <c r="V138" i="17"/>
  <c r="V169" i="17"/>
  <c r="V144" i="17"/>
  <c r="V151" i="17"/>
  <c r="V132" i="17"/>
  <c r="V181" i="17"/>
  <c r="V114" i="17"/>
  <c r="V120" i="17"/>
  <c r="V175" i="16"/>
  <c r="V175" i="17"/>
  <c r="V157" i="16"/>
  <c r="V187" i="16"/>
  <c r="V169" i="16"/>
  <c r="V138" i="16"/>
  <c r="V163" i="17"/>
  <c r="V163" i="16"/>
  <c r="V144" i="16"/>
  <c r="V120" i="16"/>
  <c r="V151" i="16"/>
  <c r="V132" i="16"/>
  <c r="V126" i="16"/>
  <c r="V108" i="17"/>
  <c r="V181" i="16"/>
  <c r="V114" i="16"/>
  <c r="V169" i="15"/>
  <c r="V126" i="15"/>
  <c r="V108" i="15"/>
  <c r="V108" i="16"/>
  <c r="V175" i="15"/>
  <c r="V151" i="15"/>
  <c r="V138" i="15"/>
  <c r="V187" i="15"/>
  <c r="V181" i="15"/>
  <c r="V144" i="15"/>
  <c r="V114" i="15"/>
  <c r="V138" i="14"/>
  <c r="V163" i="15"/>
  <c r="V169" i="14"/>
  <c r="V132" i="15"/>
  <c r="V187" i="14"/>
  <c r="V151" i="14"/>
  <c r="V175" i="14"/>
  <c r="V157" i="14"/>
  <c r="V126" i="14"/>
  <c r="V114" i="14"/>
  <c r="V169" i="13"/>
  <c r="V126" i="17"/>
  <c r="V157" i="15"/>
  <c r="V132" i="14"/>
  <c r="V181" i="14"/>
  <c r="V163" i="14"/>
  <c r="V120" i="14"/>
  <c r="V181" i="13"/>
  <c r="V120" i="15"/>
  <c r="V157" i="13"/>
  <c r="V187" i="13"/>
  <c r="V120" i="13"/>
  <c r="V132" i="13"/>
  <c r="V187" i="12"/>
  <c r="V144" i="13"/>
  <c r="V181" i="12"/>
  <c r="V126" i="13"/>
  <c r="V169" i="12"/>
  <c r="V138" i="12"/>
  <c r="V138" i="13"/>
  <c r="V151" i="12"/>
  <c r="V175" i="13"/>
  <c r="V163" i="13"/>
  <c r="V151" i="13"/>
  <c r="V108" i="14"/>
  <c r="V157" i="12"/>
  <c r="V126" i="12"/>
  <c r="V175" i="12"/>
  <c r="V144" i="12"/>
  <c r="V151" i="11"/>
  <c r="V181" i="11"/>
  <c r="V132" i="11"/>
  <c r="V163" i="11"/>
  <c r="V114" i="11"/>
  <c r="V187" i="11"/>
  <c r="V138" i="11"/>
  <c r="V108" i="11"/>
  <c r="V108" i="13"/>
  <c r="V169" i="11"/>
  <c r="V144" i="14"/>
  <c r="V114" i="12"/>
  <c r="V144" i="11"/>
  <c r="V120" i="12"/>
  <c r="V108" i="12"/>
  <c r="V120" i="11"/>
  <c r="V175" i="11"/>
  <c r="V114" i="13"/>
  <c r="V163" i="12"/>
  <c r="V132" i="12"/>
  <c r="V126" i="11"/>
  <c r="V157" i="11"/>
  <c r="AJ181" i="17"/>
  <c r="AJ132" i="17"/>
  <c r="AJ163" i="17"/>
  <c r="AJ144" i="17"/>
  <c r="AJ169" i="17"/>
  <c r="AJ126" i="17"/>
  <c r="AJ187" i="16"/>
  <c r="AJ108" i="17"/>
  <c r="AJ157" i="17"/>
  <c r="AJ114" i="17"/>
  <c r="AJ138" i="17"/>
  <c r="AJ187" i="17"/>
  <c r="AJ120" i="17"/>
  <c r="AJ169" i="16"/>
  <c r="AJ157" i="16"/>
  <c r="AJ132" i="16"/>
  <c r="AJ175" i="17"/>
  <c r="AJ175" i="16"/>
  <c r="AJ144" i="16"/>
  <c r="AJ163" i="16"/>
  <c r="AJ114" i="16"/>
  <c r="AJ187" i="15"/>
  <c r="AJ126" i="16"/>
  <c r="AJ120" i="16"/>
  <c r="AJ163" i="15"/>
  <c r="AJ187" i="14"/>
  <c r="AJ181" i="15"/>
  <c r="AJ175" i="15"/>
  <c r="AJ132" i="15"/>
  <c r="AJ144" i="15"/>
  <c r="AJ114" i="15"/>
  <c r="AJ138" i="16"/>
  <c r="AJ151" i="15"/>
  <c r="AJ138" i="15"/>
  <c r="AJ175" i="14"/>
  <c r="AJ151" i="16"/>
  <c r="AJ163" i="14"/>
  <c r="AJ151" i="17"/>
  <c r="AJ169" i="15"/>
  <c r="AJ144" i="14"/>
  <c r="AJ108" i="15"/>
  <c r="AJ120" i="15"/>
  <c r="AJ132" i="14"/>
  <c r="AJ151" i="14"/>
  <c r="AJ126" i="14"/>
  <c r="AJ144" i="13"/>
  <c r="AJ108" i="16"/>
  <c r="AJ175" i="13"/>
  <c r="AJ157" i="15"/>
  <c r="AJ138" i="14"/>
  <c r="AJ120" i="14"/>
  <c r="AJ181" i="14"/>
  <c r="AJ181" i="13"/>
  <c r="AJ132" i="13"/>
  <c r="AJ169" i="13"/>
  <c r="AJ114" i="13"/>
  <c r="AJ187" i="13"/>
  <c r="AJ126" i="13"/>
  <c r="AJ163" i="13"/>
  <c r="AJ181" i="12"/>
  <c r="AJ157" i="14"/>
  <c r="AJ187" i="12"/>
  <c r="AJ108" i="14"/>
  <c r="AJ144" i="12"/>
  <c r="AJ126" i="15"/>
  <c r="AJ151" i="13"/>
  <c r="AJ114" i="12"/>
  <c r="AJ181" i="16"/>
  <c r="AJ157" i="12"/>
  <c r="AJ169" i="14"/>
  <c r="AJ108" i="13"/>
  <c r="AJ120" i="12"/>
  <c r="AJ175" i="12"/>
  <c r="AJ126" i="12"/>
  <c r="AJ175" i="11"/>
  <c r="AJ126" i="11"/>
  <c r="AJ151" i="12"/>
  <c r="AJ157" i="11"/>
  <c r="AJ108" i="11"/>
  <c r="AJ187" i="11"/>
  <c r="AJ138" i="11"/>
  <c r="AJ157" i="13"/>
  <c r="AJ169" i="12"/>
  <c r="AJ163" i="12"/>
  <c r="AJ132" i="12"/>
  <c r="AJ163" i="11"/>
  <c r="AJ114" i="11"/>
  <c r="AJ114" i="14"/>
  <c r="AJ181" i="11"/>
  <c r="AJ144" i="11"/>
  <c r="AJ169" i="11"/>
  <c r="AJ120" i="11"/>
  <c r="AJ132" i="11"/>
  <c r="AJ138" i="12"/>
  <c r="AJ138" i="13"/>
  <c r="AJ151" i="11"/>
  <c r="AJ108" i="12"/>
  <c r="AJ120" i="13"/>
  <c r="AG144" i="17"/>
  <c r="AG175" i="17"/>
  <c r="AG157" i="17"/>
  <c r="AG181" i="17"/>
  <c r="AG132" i="17"/>
  <c r="AG138" i="17"/>
  <c r="AG120" i="17"/>
  <c r="AG169" i="17"/>
  <c r="AG126" i="17"/>
  <c r="AG187" i="16"/>
  <c r="AG151" i="17"/>
  <c r="AG108" i="17"/>
  <c r="AG163" i="16"/>
  <c r="AG181" i="16"/>
  <c r="AG175" i="16"/>
  <c r="AG114" i="17"/>
  <c r="AG144" i="16"/>
  <c r="AG187" i="17"/>
  <c r="AG132" i="16"/>
  <c r="AG169" i="16"/>
  <c r="AG138" i="16"/>
  <c r="AG108" i="16"/>
  <c r="AG120" i="16"/>
  <c r="AG181" i="15"/>
  <c r="AG114" i="16"/>
  <c r="AG175" i="15"/>
  <c r="AG144" i="15"/>
  <c r="AG114" i="15"/>
  <c r="AG157" i="15"/>
  <c r="AG169" i="15"/>
  <c r="AG126" i="15"/>
  <c r="AG157" i="16"/>
  <c r="AG151" i="16"/>
  <c r="AG163" i="15"/>
  <c r="AG187" i="14"/>
  <c r="AG187" i="15"/>
  <c r="AG126" i="14"/>
  <c r="AG151" i="15"/>
  <c r="AG181" i="14"/>
  <c r="AG157" i="14"/>
  <c r="AG120" i="15"/>
  <c r="AG138" i="14"/>
  <c r="AG132" i="15"/>
  <c r="AG144" i="14"/>
  <c r="AG163" i="14"/>
  <c r="AG157" i="13"/>
  <c r="AG126" i="16"/>
  <c r="AG187" i="13"/>
  <c r="AG108" i="15"/>
  <c r="AG151" i="14"/>
  <c r="AG114" i="14"/>
  <c r="AG175" i="14"/>
  <c r="AG144" i="13"/>
  <c r="AG175" i="13"/>
  <c r="AG181" i="12"/>
  <c r="AG108" i="13"/>
  <c r="AG108" i="14"/>
  <c r="AG120" i="13"/>
  <c r="AG169" i="14"/>
  <c r="AG181" i="13"/>
  <c r="AG163" i="13"/>
  <c r="AG114" i="13"/>
  <c r="AG169" i="12"/>
  <c r="AG157" i="12"/>
  <c r="AG126" i="12"/>
  <c r="AG138" i="15"/>
  <c r="AG132" i="14"/>
  <c r="AG120" i="14"/>
  <c r="AG151" i="13"/>
  <c r="AG138" i="12"/>
  <c r="AG169" i="13"/>
  <c r="AG175" i="12"/>
  <c r="AG144" i="12"/>
  <c r="AG187" i="11"/>
  <c r="AG138" i="11"/>
  <c r="AG163" i="12"/>
  <c r="AG132" i="12"/>
  <c r="AG114" i="12"/>
  <c r="AG169" i="11"/>
  <c r="AG120" i="11"/>
  <c r="AG163" i="17"/>
  <c r="AG151" i="11"/>
  <c r="AG138" i="13"/>
  <c r="AG175" i="11"/>
  <c r="AG126" i="11"/>
  <c r="AG157" i="11"/>
  <c r="AG108" i="12"/>
  <c r="AG181" i="11"/>
  <c r="AG187" i="12"/>
  <c r="AG120" i="12"/>
  <c r="AG132" i="11"/>
  <c r="AG151" i="12"/>
  <c r="AG144" i="11"/>
  <c r="AG126" i="13"/>
  <c r="AG132" i="13"/>
  <c r="AG163" i="11"/>
  <c r="AG108" i="11"/>
  <c r="AG114" i="11"/>
  <c r="Z157" i="17"/>
  <c r="Z187" i="17"/>
  <c r="Z138" i="17"/>
  <c r="Z169" i="17"/>
  <c r="Z144" i="17"/>
  <c r="Z175" i="17"/>
  <c r="Z132" i="17"/>
  <c r="Z114" i="17"/>
  <c r="Z181" i="17"/>
  <c r="Z175" i="16"/>
  <c r="Z163" i="17"/>
  <c r="Z126" i="17"/>
  <c r="Z108" i="17"/>
  <c r="Z157" i="16"/>
  <c r="Z138" i="16"/>
  <c r="Z120" i="17"/>
  <c r="Z187" i="16"/>
  <c r="Z144" i="16"/>
  <c r="Z163" i="16"/>
  <c r="Z120" i="16"/>
  <c r="Z181" i="16"/>
  <c r="Z132" i="16"/>
  <c r="Z151" i="17"/>
  <c r="Z169" i="15"/>
  <c r="Z126" i="15"/>
  <c r="Z151" i="16"/>
  <c r="Z108" i="15"/>
  <c r="Z126" i="16"/>
  <c r="Z187" i="15"/>
  <c r="Z151" i="15"/>
  <c r="Z138" i="15"/>
  <c r="Z108" i="16"/>
  <c r="Z144" i="15"/>
  <c r="Z114" i="15"/>
  <c r="Z114" i="16"/>
  <c r="Z120" i="15"/>
  <c r="Z175" i="14"/>
  <c r="Z138" i="14"/>
  <c r="Z169" i="14"/>
  <c r="Z151" i="14"/>
  <c r="Z181" i="15"/>
  <c r="Z157" i="15"/>
  <c r="Z157" i="14"/>
  <c r="Z169" i="16"/>
  <c r="Z114" i="14"/>
  <c r="Z169" i="13"/>
  <c r="Z126" i="14"/>
  <c r="Z181" i="13"/>
  <c r="Z175" i="15"/>
  <c r="Z163" i="14"/>
  <c r="Z157" i="13"/>
  <c r="Z120" i="14"/>
  <c r="Z108" i="14"/>
  <c r="Z144" i="13"/>
  <c r="Z138" i="13"/>
  <c r="Z120" i="13"/>
  <c r="Z187" i="12"/>
  <c r="Z132" i="14"/>
  <c r="Z163" i="13"/>
  <c r="Z181" i="12"/>
  <c r="Z151" i="13"/>
  <c r="Z138" i="12"/>
  <c r="Z163" i="15"/>
  <c r="Z181" i="14"/>
  <c r="Z175" i="13"/>
  <c r="Z108" i="13"/>
  <c r="Z169" i="12"/>
  <c r="Z151" i="12"/>
  <c r="Z144" i="14"/>
  <c r="Z132" i="13"/>
  <c r="Z157" i="12"/>
  <c r="Z126" i="12"/>
  <c r="Z126" i="13"/>
  <c r="Z151" i="11"/>
  <c r="Z181" i="11"/>
  <c r="Z132" i="11"/>
  <c r="Z187" i="13"/>
  <c r="Z114" i="13"/>
  <c r="Z114" i="12"/>
  <c r="Z163" i="11"/>
  <c r="Z114" i="11"/>
  <c r="Z175" i="12"/>
  <c r="Z187" i="11"/>
  <c r="Z138" i="11"/>
  <c r="Z132" i="15"/>
  <c r="Z144" i="12"/>
  <c r="Z108" i="12"/>
  <c r="Z157" i="11"/>
  <c r="Z120" i="11"/>
  <c r="Z132" i="12"/>
  <c r="Z120" i="12"/>
  <c r="Z144" i="11"/>
  <c r="Z163" i="12"/>
  <c r="Z108" i="11"/>
  <c r="Z187" i="14"/>
  <c r="Z169" i="11"/>
  <c r="Z126" i="11"/>
  <c r="Z175" i="11"/>
  <c r="AF181" i="17"/>
  <c r="AF163" i="17"/>
  <c r="AF144" i="17"/>
  <c r="AF169" i="17"/>
  <c r="AF151" i="17"/>
  <c r="AF126" i="17"/>
  <c r="AF187" i="16"/>
  <c r="AF175" i="17"/>
  <c r="AF108" i="17"/>
  <c r="AF157" i="17"/>
  <c r="AF114" i="17"/>
  <c r="AF138" i="17"/>
  <c r="AF169" i="16"/>
  <c r="AF132" i="16"/>
  <c r="AF187" i="17"/>
  <c r="AF144" i="16"/>
  <c r="AF181" i="16"/>
  <c r="AF175" i="16"/>
  <c r="AF157" i="16"/>
  <c r="AF151" i="16"/>
  <c r="AF114" i="16"/>
  <c r="AF132" i="17"/>
  <c r="AF187" i="15"/>
  <c r="AF120" i="17"/>
  <c r="AF175" i="15"/>
  <c r="AF163" i="15"/>
  <c r="AF187" i="14"/>
  <c r="AF132" i="15"/>
  <c r="AF144" i="15"/>
  <c r="AF114" i="15"/>
  <c r="AF181" i="15"/>
  <c r="AF151" i="15"/>
  <c r="AF138" i="15"/>
  <c r="AF175" i="14"/>
  <c r="AF157" i="15"/>
  <c r="AF163" i="14"/>
  <c r="AF126" i="15"/>
  <c r="AF144" i="14"/>
  <c r="AF163" i="16"/>
  <c r="AF138" i="16"/>
  <c r="AF132" i="14"/>
  <c r="AF144" i="13"/>
  <c r="AF120" i="15"/>
  <c r="AF181" i="14"/>
  <c r="AF157" i="14"/>
  <c r="AF120" i="14"/>
  <c r="AF175" i="13"/>
  <c r="AF120" i="16"/>
  <c r="AF138" i="14"/>
  <c r="AF126" i="14"/>
  <c r="AF181" i="13"/>
  <c r="AF132" i="13"/>
  <c r="AF169" i="15"/>
  <c r="AF114" i="13"/>
  <c r="AF108" i="16"/>
  <c r="AF151" i="14"/>
  <c r="AF114" i="14"/>
  <c r="AF126" i="13"/>
  <c r="AF157" i="13"/>
  <c r="AF181" i="12"/>
  <c r="AF138" i="13"/>
  <c r="AF187" i="12"/>
  <c r="AF169" i="14"/>
  <c r="AF169" i="13"/>
  <c r="AF175" i="12"/>
  <c r="AF144" i="12"/>
  <c r="AF108" i="14"/>
  <c r="AF114" i="12"/>
  <c r="AF126" i="16"/>
  <c r="AF108" i="13"/>
  <c r="AF157" i="12"/>
  <c r="AF169" i="12"/>
  <c r="AF120" i="12"/>
  <c r="AF187" i="13"/>
  <c r="AF138" i="12"/>
  <c r="AF175" i="11"/>
  <c r="AF126" i="11"/>
  <c r="AF108" i="12"/>
  <c r="AF157" i="11"/>
  <c r="AF108" i="11"/>
  <c r="AF163" i="12"/>
  <c r="AF132" i="12"/>
  <c r="AF187" i="11"/>
  <c r="AF138" i="11"/>
  <c r="AF120" i="13"/>
  <c r="AF163" i="11"/>
  <c r="AF114" i="11"/>
  <c r="AF151" i="13"/>
  <c r="AF132" i="11"/>
  <c r="AF126" i="12"/>
  <c r="AF120" i="11"/>
  <c r="AF169" i="11"/>
  <c r="AF108" i="15"/>
  <c r="AF144" i="11"/>
  <c r="AF151" i="12"/>
  <c r="AF163" i="13"/>
  <c r="AF181" i="11"/>
  <c r="AF151" i="11"/>
  <c r="AE169" i="17"/>
  <c r="AE151" i="17"/>
  <c r="AE181" i="17"/>
  <c r="AE157" i="17"/>
  <c r="AE187" i="17"/>
  <c r="AE114" i="17"/>
  <c r="AE144" i="17"/>
  <c r="AE126" i="17"/>
  <c r="AE108" i="17"/>
  <c r="AE169" i="16"/>
  <c r="AE138" i="17"/>
  <c r="AE163" i="17"/>
  <c r="AE120" i="17"/>
  <c r="AE157" i="16"/>
  <c r="AE181" i="16"/>
  <c r="AE175" i="16"/>
  <c r="AE187" i="16"/>
  <c r="AE151" i="16"/>
  <c r="AE132" i="16"/>
  <c r="AE132" i="17"/>
  <c r="AE144" i="16"/>
  <c r="AE114" i="16"/>
  <c r="AE120" i="16"/>
  <c r="AE181" i="15"/>
  <c r="AE163" i="16"/>
  <c r="AE138" i="16"/>
  <c r="AE151" i="15"/>
  <c r="AE138" i="15"/>
  <c r="AE108" i="16"/>
  <c r="AE120" i="15"/>
  <c r="AE175" i="15"/>
  <c r="AE163" i="15"/>
  <c r="AE187" i="14"/>
  <c r="AE175" i="17"/>
  <c r="AE126" i="16"/>
  <c r="AE169" i="15"/>
  <c r="AE126" i="15"/>
  <c r="AE132" i="15"/>
  <c r="AE151" i="14"/>
  <c r="AE187" i="15"/>
  <c r="AE132" i="14"/>
  <c r="AE157" i="15"/>
  <c r="AE163" i="14"/>
  <c r="AE108" i="15"/>
  <c r="AE175" i="14"/>
  <c r="AE169" i="14"/>
  <c r="AE120" i="14"/>
  <c r="AE138" i="14"/>
  <c r="AE126" i="14"/>
  <c r="AE181" i="13"/>
  <c r="AE108" i="14"/>
  <c r="AE163" i="13"/>
  <c r="AE114" i="14"/>
  <c r="AE169" i="13"/>
  <c r="AE181" i="14"/>
  <c r="AE157" i="14"/>
  <c r="AE144" i="13"/>
  <c r="AE138" i="13"/>
  <c r="AE187" i="12"/>
  <c r="AE175" i="13"/>
  <c r="AE144" i="14"/>
  <c r="AE132" i="13"/>
  <c r="AE114" i="13"/>
  <c r="AE151" i="13"/>
  <c r="AE120" i="13"/>
  <c r="AE169" i="12"/>
  <c r="AE120" i="12"/>
  <c r="AE175" i="12"/>
  <c r="AE163" i="12"/>
  <c r="AE132" i="12"/>
  <c r="AE114" i="15"/>
  <c r="AE144" i="12"/>
  <c r="AE126" i="13"/>
  <c r="AE138" i="12"/>
  <c r="AE144" i="15"/>
  <c r="AE108" i="13"/>
  <c r="AE163" i="11"/>
  <c r="AE114" i="11"/>
  <c r="AE187" i="13"/>
  <c r="AE144" i="11"/>
  <c r="AE181" i="12"/>
  <c r="AE175" i="11"/>
  <c r="AE126" i="11"/>
  <c r="AE151" i="12"/>
  <c r="AE151" i="11"/>
  <c r="AE169" i="11"/>
  <c r="AE132" i="11"/>
  <c r="AE157" i="13"/>
  <c r="AE126" i="12"/>
  <c r="AE157" i="11"/>
  <c r="AE108" i="11"/>
  <c r="AE114" i="12"/>
  <c r="AE157" i="12"/>
  <c r="AE138" i="11"/>
  <c r="AE187" i="11"/>
  <c r="AE108" i="12"/>
  <c r="AE181" i="11"/>
  <c r="AE120" i="11"/>
  <c r="AH157" i="17"/>
  <c r="AH187" i="17"/>
  <c r="AH138" i="17"/>
  <c r="AH169" i="17"/>
  <c r="AH144" i="17"/>
  <c r="AH175" i="17"/>
  <c r="AH132" i="17"/>
  <c r="AH114" i="17"/>
  <c r="AH181" i="17"/>
  <c r="AH181" i="16"/>
  <c r="AH175" i="16"/>
  <c r="AH126" i="17"/>
  <c r="AH151" i="17"/>
  <c r="AH108" i="17"/>
  <c r="AH187" i="16"/>
  <c r="AH138" i="16"/>
  <c r="AH120" i="17"/>
  <c r="AH144" i="16"/>
  <c r="AH120" i="16"/>
  <c r="AH181" i="15"/>
  <c r="AH163" i="16"/>
  <c r="AH126" i="16"/>
  <c r="AH132" i="16"/>
  <c r="AH169" i="15"/>
  <c r="AH126" i="15"/>
  <c r="AH108" i="15"/>
  <c r="AH163" i="17"/>
  <c r="AH187" i="15"/>
  <c r="AH151" i="15"/>
  <c r="AH138" i="15"/>
  <c r="AH169" i="16"/>
  <c r="AH108" i="16"/>
  <c r="AH144" i="15"/>
  <c r="AH114" i="15"/>
  <c r="AH120" i="15"/>
  <c r="AH138" i="14"/>
  <c r="AH157" i="16"/>
  <c r="AH151" i="16"/>
  <c r="AH169" i="14"/>
  <c r="AH175" i="14"/>
  <c r="AH151" i="14"/>
  <c r="AH157" i="15"/>
  <c r="AH181" i="14"/>
  <c r="AH157" i="14"/>
  <c r="AH132" i="15"/>
  <c r="AH114" i="14"/>
  <c r="AH169" i="13"/>
  <c r="AH114" i="16"/>
  <c r="AH181" i="13"/>
  <c r="AH163" i="14"/>
  <c r="AH157" i="13"/>
  <c r="AH163" i="15"/>
  <c r="AH144" i="14"/>
  <c r="AH108" i="14"/>
  <c r="AH120" i="13"/>
  <c r="AH175" i="15"/>
  <c r="AH151" i="13"/>
  <c r="AH175" i="12"/>
  <c r="AH132" i="14"/>
  <c r="AH120" i="14"/>
  <c r="AH138" i="13"/>
  <c r="AH187" i="12"/>
  <c r="AH181" i="12"/>
  <c r="AH138" i="12"/>
  <c r="AH108" i="12"/>
  <c r="AH108" i="13"/>
  <c r="AH151" i="12"/>
  <c r="AH187" i="14"/>
  <c r="AH157" i="12"/>
  <c r="AH126" i="12"/>
  <c r="AH114" i="12"/>
  <c r="AH151" i="11"/>
  <c r="AH175" i="13"/>
  <c r="AH181" i="11"/>
  <c r="AH132" i="11"/>
  <c r="AH163" i="11"/>
  <c r="AH114" i="11"/>
  <c r="AH126" i="14"/>
  <c r="AH114" i="13"/>
  <c r="AH187" i="11"/>
  <c r="AH138" i="11"/>
  <c r="AH157" i="11"/>
  <c r="AH120" i="11"/>
  <c r="AH187" i="13"/>
  <c r="AH169" i="12"/>
  <c r="AH163" i="12"/>
  <c r="AH144" i="11"/>
  <c r="AH144" i="13"/>
  <c r="AH132" i="12"/>
  <c r="AH126" i="13"/>
  <c r="AH144" i="12"/>
  <c r="AH126" i="11"/>
  <c r="AH120" i="12"/>
  <c r="AH175" i="11"/>
  <c r="AH163" i="13"/>
  <c r="AH169" i="11"/>
  <c r="AH132" i="13"/>
  <c r="AH108" i="11"/>
  <c r="M144" i="17"/>
  <c r="M175" i="17"/>
  <c r="M157" i="17"/>
  <c r="M181" i="17"/>
  <c r="M163" i="17"/>
  <c r="M187" i="17"/>
  <c r="M120" i="17"/>
  <c r="M169" i="17"/>
  <c r="M126" i="17"/>
  <c r="M187" i="16"/>
  <c r="M151" i="17"/>
  <c r="M114" i="17"/>
  <c r="M175" i="16"/>
  <c r="M181" i="16"/>
  <c r="M144" i="16"/>
  <c r="M138" i="17"/>
  <c r="M108" i="17"/>
  <c r="M157" i="16"/>
  <c r="M132" i="16"/>
  <c r="M169" i="16"/>
  <c r="M108" i="16"/>
  <c r="M120" i="16"/>
  <c r="M132" i="17"/>
  <c r="M114" i="16"/>
  <c r="M175" i="15"/>
  <c r="M144" i="15"/>
  <c r="M114" i="15"/>
  <c r="M138" i="16"/>
  <c r="M157" i="15"/>
  <c r="M169" i="15"/>
  <c r="M126" i="15"/>
  <c r="M126" i="16"/>
  <c r="M181" i="15"/>
  <c r="M163" i="15"/>
  <c r="M187" i="14"/>
  <c r="M108" i="15"/>
  <c r="M175" i="14"/>
  <c r="M138" i="15"/>
  <c r="M157" i="14"/>
  <c r="M138" i="14"/>
  <c r="M144" i="14"/>
  <c r="M157" i="13"/>
  <c r="M187" i="15"/>
  <c r="M132" i="15"/>
  <c r="M169" i="14"/>
  <c r="M187" i="13"/>
  <c r="M181" i="14"/>
  <c r="M120" i="14"/>
  <c r="M114" i="14"/>
  <c r="M151" i="14"/>
  <c r="M144" i="13"/>
  <c r="M181" i="12"/>
  <c r="M163" i="16"/>
  <c r="M120" i="15"/>
  <c r="M163" i="14"/>
  <c r="M151" i="13"/>
  <c r="M108" i="13"/>
  <c r="M181" i="13"/>
  <c r="M120" i="13"/>
  <c r="M108" i="14"/>
  <c r="M114" i="13"/>
  <c r="M157" i="12"/>
  <c r="M126" i="12"/>
  <c r="M163" i="13"/>
  <c r="M138" i="13"/>
  <c r="M126" i="13"/>
  <c r="M169" i="12"/>
  <c r="M138" i="12"/>
  <c r="M144" i="12"/>
  <c r="M120" i="12"/>
  <c r="M187" i="11"/>
  <c r="M138" i="11"/>
  <c r="M169" i="11"/>
  <c r="M120" i="11"/>
  <c r="M187" i="12"/>
  <c r="M151" i="11"/>
  <c r="M175" i="13"/>
  <c r="M132" i="13"/>
  <c r="M175" i="12"/>
  <c r="M108" i="12"/>
  <c r="M175" i="11"/>
  <c r="M126" i="11"/>
  <c r="M132" i="14"/>
  <c r="M114" i="12"/>
  <c r="M144" i="11"/>
  <c r="M151" i="16"/>
  <c r="M132" i="12"/>
  <c r="M126" i="14"/>
  <c r="M169" i="13"/>
  <c r="M132" i="11"/>
  <c r="M151" i="12"/>
  <c r="M181" i="11"/>
  <c r="M157" i="11"/>
  <c r="M163" i="12"/>
  <c r="M114" i="11"/>
  <c r="M151" i="15"/>
  <c r="M108" i="11"/>
  <c r="M163" i="11"/>
  <c r="P181" i="17"/>
  <c r="P163" i="17"/>
  <c r="P144" i="17"/>
  <c r="P169" i="17"/>
  <c r="P151" i="17"/>
  <c r="P126" i="17"/>
  <c r="P175" i="17"/>
  <c r="P108" i="17"/>
  <c r="P157" i="17"/>
  <c r="P114" i="17"/>
  <c r="P138" i="17"/>
  <c r="P181" i="16"/>
  <c r="P169" i="16"/>
  <c r="P163" i="16"/>
  <c r="P132" i="16"/>
  <c r="P144" i="16"/>
  <c r="P187" i="17"/>
  <c r="P175" i="16"/>
  <c r="P187" i="16"/>
  <c r="P151" i="16"/>
  <c r="P114" i="16"/>
  <c r="P126" i="16"/>
  <c r="P187" i="15"/>
  <c r="P120" i="17"/>
  <c r="P157" i="16"/>
  <c r="P132" i="17"/>
  <c r="P163" i="15"/>
  <c r="P187" i="14"/>
  <c r="P181" i="15"/>
  <c r="P132" i="15"/>
  <c r="P144" i="15"/>
  <c r="P114" i="15"/>
  <c r="P151" i="15"/>
  <c r="P138" i="15"/>
  <c r="P157" i="15"/>
  <c r="P163" i="14"/>
  <c r="P126" i="15"/>
  <c r="P144" i="14"/>
  <c r="P175" i="14"/>
  <c r="P181" i="14"/>
  <c r="P132" i="14"/>
  <c r="P108" i="16"/>
  <c r="P120" i="15"/>
  <c r="P157" i="14"/>
  <c r="P175" i="13"/>
  <c r="P126" i="14"/>
  <c r="P120" i="16"/>
  <c r="P138" i="14"/>
  <c r="P181" i="13"/>
  <c r="P114" i="13"/>
  <c r="P138" i="16"/>
  <c r="P108" i="15"/>
  <c r="P151" i="14"/>
  <c r="P114" i="14"/>
  <c r="P169" i="13"/>
  <c r="P126" i="13"/>
  <c r="P120" i="14"/>
  <c r="P157" i="13"/>
  <c r="P138" i="13"/>
  <c r="P181" i="12"/>
  <c r="P132" i="13"/>
  <c r="P187" i="12"/>
  <c r="P151" i="13"/>
  <c r="P144" i="12"/>
  <c r="P108" i="14"/>
  <c r="P144" i="13"/>
  <c r="P114" i="12"/>
  <c r="P175" i="15"/>
  <c r="P108" i="13"/>
  <c r="P157" i="12"/>
  <c r="P169" i="15"/>
  <c r="P163" i="13"/>
  <c r="P120" i="12"/>
  <c r="P169" i="12"/>
  <c r="P138" i="12"/>
  <c r="P108" i="12"/>
  <c r="P175" i="11"/>
  <c r="P126" i="11"/>
  <c r="P126" i="12"/>
  <c r="P157" i="11"/>
  <c r="P163" i="12"/>
  <c r="P132" i="12"/>
  <c r="P187" i="11"/>
  <c r="P138" i="11"/>
  <c r="P120" i="13"/>
  <c r="P163" i="11"/>
  <c r="P114" i="11"/>
  <c r="P132" i="11"/>
  <c r="P169" i="14"/>
  <c r="P120" i="11"/>
  <c r="P169" i="11"/>
  <c r="P108" i="11"/>
  <c r="P144" i="11"/>
  <c r="P151" i="12"/>
  <c r="P175" i="12"/>
  <c r="P151" i="11"/>
  <c r="P187" i="13"/>
  <c r="P181" i="11"/>
  <c r="Y144" i="17"/>
  <c r="Y175" i="17"/>
  <c r="Y157" i="17"/>
  <c r="Y181" i="17"/>
  <c r="Y138" i="17"/>
  <c r="Y120" i="17"/>
  <c r="Y169" i="17"/>
  <c r="Y126" i="17"/>
  <c r="Y187" i="16"/>
  <c r="Y108" i="17"/>
  <c r="Y181" i="16"/>
  <c r="Y132" i="17"/>
  <c r="Y163" i="17"/>
  <c r="Y175" i="16"/>
  <c r="Y187" i="17"/>
  <c r="Y163" i="16"/>
  <c r="Y144" i="16"/>
  <c r="Y151" i="17"/>
  <c r="Y132" i="16"/>
  <c r="Y138" i="16"/>
  <c r="Y126" i="16"/>
  <c r="Y108" i="16"/>
  <c r="Y120" i="16"/>
  <c r="Y114" i="16"/>
  <c r="Y175" i="15"/>
  <c r="Y169" i="16"/>
  <c r="Y144" i="15"/>
  <c r="Y114" i="15"/>
  <c r="Y157" i="16"/>
  <c r="Y181" i="15"/>
  <c r="Y157" i="15"/>
  <c r="Y151" i="16"/>
  <c r="Y169" i="15"/>
  <c r="Y126" i="15"/>
  <c r="Y163" i="15"/>
  <c r="Y187" i="14"/>
  <c r="Y151" i="15"/>
  <c r="Y157" i="14"/>
  <c r="Y114" i="17"/>
  <c r="Y120" i="15"/>
  <c r="Y175" i="14"/>
  <c r="Y138" i="14"/>
  <c r="Y132" i="15"/>
  <c r="Y181" i="14"/>
  <c r="Y144" i="14"/>
  <c r="Y163" i="14"/>
  <c r="Y157" i="13"/>
  <c r="Y187" i="13"/>
  <c r="Y151" i="14"/>
  <c r="Y126" i="14"/>
  <c r="Y114" i="14"/>
  <c r="Y187" i="15"/>
  <c r="Y108" i="15"/>
  <c r="Y144" i="13"/>
  <c r="Y175" i="13"/>
  <c r="Y163" i="13"/>
  <c r="Y181" i="12"/>
  <c r="Y108" i="13"/>
  <c r="Y169" i="14"/>
  <c r="Y120" i="14"/>
  <c r="Y108" i="14"/>
  <c r="Y138" i="13"/>
  <c r="Y120" i="13"/>
  <c r="Y181" i="13"/>
  <c r="Y114" i="13"/>
  <c r="Y169" i="12"/>
  <c r="Y175" i="12"/>
  <c r="Y157" i="12"/>
  <c r="Y126" i="12"/>
  <c r="Y151" i="13"/>
  <c r="Y138" i="15"/>
  <c r="Y138" i="12"/>
  <c r="Y144" i="12"/>
  <c r="Y132" i="13"/>
  <c r="Y187" i="11"/>
  <c r="Y138" i="11"/>
  <c r="Y126" i="13"/>
  <c r="Y163" i="12"/>
  <c r="Y132" i="12"/>
  <c r="Y120" i="12"/>
  <c r="Y169" i="11"/>
  <c r="Y120" i="11"/>
  <c r="Y151" i="11"/>
  <c r="Y108" i="12"/>
  <c r="Y175" i="11"/>
  <c r="Y126" i="11"/>
  <c r="Y169" i="13"/>
  <c r="Y157" i="11"/>
  <c r="Y181" i="11"/>
  <c r="Y132" i="14"/>
  <c r="Y132" i="11"/>
  <c r="Y108" i="11"/>
  <c r="Y163" i="11"/>
  <c r="Y151" i="12"/>
  <c r="Y114" i="11"/>
  <c r="Y114" i="12"/>
  <c r="Y144" i="11"/>
  <c r="Y187" i="12"/>
  <c r="L181" i="17"/>
  <c r="L163" i="17"/>
  <c r="L144" i="17"/>
  <c r="L169" i="17"/>
  <c r="L126" i="17"/>
  <c r="L108" i="17"/>
  <c r="L157" i="17"/>
  <c r="L114" i="17"/>
  <c r="L120" i="17"/>
  <c r="L181" i="16"/>
  <c r="L151" i="17"/>
  <c r="L175" i="17"/>
  <c r="L132" i="17"/>
  <c r="L169" i="16"/>
  <c r="L132" i="16"/>
  <c r="L138" i="17"/>
  <c r="L187" i="16"/>
  <c r="L175" i="16"/>
  <c r="L144" i="16"/>
  <c r="L114" i="16"/>
  <c r="L126" i="16"/>
  <c r="L187" i="15"/>
  <c r="L157" i="16"/>
  <c r="L187" i="17"/>
  <c r="L163" i="16"/>
  <c r="L151" i="16"/>
  <c r="L120" i="16"/>
  <c r="L181" i="15"/>
  <c r="L163" i="15"/>
  <c r="L187" i="14"/>
  <c r="L132" i="15"/>
  <c r="L138" i="16"/>
  <c r="L144" i="15"/>
  <c r="L114" i="15"/>
  <c r="L151" i="15"/>
  <c r="L138" i="15"/>
  <c r="L175" i="15"/>
  <c r="L163" i="14"/>
  <c r="L169" i="15"/>
  <c r="L144" i="14"/>
  <c r="L108" i="15"/>
  <c r="L175" i="14"/>
  <c r="L108" i="16"/>
  <c r="L120" i="15"/>
  <c r="L132" i="14"/>
  <c r="L151" i="14"/>
  <c r="L126" i="14"/>
  <c r="L175" i="13"/>
  <c r="L138" i="14"/>
  <c r="L157" i="15"/>
  <c r="L181" i="13"/>
  <c r="L126" i="15"/>
  <c r="L169" i="14"/>
  <c r="L163" i="13"/>
  <c r="L157" i="13"/>
  <c r="L114" i="13"/>
  <c r="L181" i="14"/>
  <c r="L187" i="13"/>
  <c r="L138" i="13"/>
  <c r="L126" i="13"/>
  <c r="L157" i="14"/>
  <c r="L181" i="12"/>
  <c r="L169" i="13"/>
  <c r="L144" i="13"/>
  <c r="L132" i="13"/>
  <c r="L187" i="12"/>
  <c r="L144" i="12"/>
  <c r="L175" i="12"/>
  <c r="L114" i="12"/>
  <c r="L151" i="13"/>
  <c r="L157" i="12"/>
  <c r="L108" i="13"/>
  <c r="L120" i="12"/>
  <c r="L108" i="12"/>
  <c r="L175" i="11"/>
  <c r="L126" i="11"/>
  <c r="L151" i="12"/>
  <c r="L157" i="11"/>
  <c r="L120" i="14"/>
  <c r="L114" i="14"/>
  <c r="L187" i="11"/>
  <c r="L138" i="11"/>
  <c r="L163" i="12"/>
  <c r="L132" i="12"/>
  <c r="L126" i="12"/>
  <c r="L163" i="11"/>
  <c r="L114" i="11"/>
  <c r="L138" i="12"/>
  <c r="L181" i="11"/>
  <c r="L144" i="11"/>
  <c r="L120" i="13"/>
  <c r="L169" i="11"/>
  <c r="L108" i="14"/>
  <c r="L120" i="11"/>
  <c r="L108" i="11"/>
  <c r="L151" i="11"/>
  <c r="L132" i="11"/>
  <c r="L169" i="12"/>
  <c r="X181" i="17"/>
  <c r="X163" i="17"/>
  <c r="X144" i="17"/>
  <c r="X169" i="17"/>
  <c r="X151" i="17"/>
  <c r="X126" i="17"/>
  <c r="X175" i="17"/>
  <c r="X108" i="17"/>
  <c r="X157" i="17"/>
  <c r="X114" i="17"/>
  <c r="X187" i="17"/>
  <c r="X181" i="16"/>
  <c r="X187" i="16"/>
  <c r="X169" i="16"/>
  <c r="X132" i="16"/>
  <c r="X132" i="17"/>
  <c r="X163" i="16"/>
  <c r="X144" i="16"/>
  <c r="X175" i="16"/>
  <c r="X151" i="16"/>
  <c r="X114" i="16"/>
  <c r="X187" i="15"/>
  <c r="X138" i="17"/>
  <c r="X163" i="15"/>
  <c r="X187" i="14"/>
  <c r="X132" i="15"/>
  <c r="X157" i="16"/>
  <c r="X144" i="15"/>
  <c r="X114" i="15"/>
  <c r="X120" i="17"/>
  <c r="X175" i="15"/>
  <c r="X151" i="15"/>
  <c r="X138" i="15"/>
  <c r="X175" i="14"/>
  <c r="X120" i="16"/>
  <c r="X181" i="15"/>
  <c r="X157" i="15"/>
  <c r="X163" i="14"/>
  <c r="X126" i="15"/>
  <c r="X181" i="14"/>
  <c r="X144" i="14"/>
  <c r="X108" i="16"/>
  <c r="X126" i="16"/>
  <c r="X132" i="14"/>
  <c r="X108" i="15"/>
  <c r="X144" i="13"/>
  <c r="X138" i="16"/>
  <c r="X157" i="14"/>
  <c r="X175" i="13"/>
  <c r="X138" i="14"/>
  <c r="X181" i="13"/>
  <c r="X132" i="13"/>
  <c r="X114" i="13"/>
  <c r="X114" i="14"/>
  <c r="X163" i="13"/>
  <c r="X151" i="13"/>
  <c r="X126" i="13"/>
  <c r="X181" i="12"/>
  <c r="X120" i="15"/>
  <c r="X157" i="13"/>
  <c r="X187" i="12"/>
  <c r="X187" i="13"/>
  <c r="X144" i="12"/>
  <c r="X169" i="14"/>
  <c r="X114" i="12"/>
  <c r="X108" i="13"/>
  <c r="X175" i="12"/>
  <c r="X157" i="12"/>
  <c r="X120" i="12"/>
  <c r="X169" i="15"/>
  <c r="X120" i="14"/>
  <c r="X108" i="14"/>
  <c r="X169" i="12"/>
  <c r="X138" i="12"/>
  <c r="X108" i="12"/>
  <c r="X175" i="11"/>
  <c r="X126" i="11"/>
  <c r="X126" i="14"/>
  <c r="X157" i="11"/>
  <c r="X108" i="11"/>
  <c r="X138" i="13"/>
  <c r="X120" i="13"/>
  <c r="X163" i="12"/>
  <c r="X132" i="12"/>
  <c r="X187" i="11"/>
  <c r="X138" i="11"/>
  <c r="X151" i="14"/>
  <c r="X163" i="11"/>
  <c r="X114" i="11"/>
  <c r="X132" i="11"/>
  <c r="X169" i="13"/>
  <c r="X151" i="12"/>
  <c r="X120" i="11"/>
  <c r="X126" i="12"/>
  <c r="X169" i="11"/>
  <c r="X181" i="11"/>
  <c r="X151" i="11"/>
  <c r="X144" i="11"/>
  <c r="E179" i="17" a="1"/>
  <c r="E161" i="17" a="1"/>
  <c r="E142" i="17" a="1"/>
  <c r="E167" i="17" a="1"/>
  <c r="E124" i="17" a="1"/>
  <c r="E155" i="17" a="1"/>
  <c r="E112" i="17" a="1"/>
  <c r="E136" i="17" a="1"/>
  <c r="E185" i="17" a="1"/>
  <c r="E118" i="17" a="1"/>
  <c r="E179" i="16" a="1"/>
  <c r="E185" i="16" a="1"/>
  <c r="E130" i="17" a="1"/>
  <c r="E167" i="16" a="1"/>
  <c r="E106" i="17" a="1"/>
  <c r="E173" i="17" a="1"/>
  <c r="E173" i="16" a="1"/>
  <c r="E142" i="16" a="1"/>
  <c r="E149" i="17" a="1"/>
  <c r="E112" i="16" a="1"/>
  <c r="E124" i="16" a="1"/>
  <c r="E185" i="15" a="1"/>
  <c r="E155" i="16" a="1"/>
  <c r="E118" i="16" a="1"/>
  <c r="E161" i="15" a="1"/>
  <c r="E185" i="14" a="1"/>
  <c r="E173" i="15" a="1"/>
  <c r="E130" i="15" a="1"/>
  <c r="E142" i="15" a="1"/>
  <c r="E112" i="15" a="1"/>
  <c r="E136" i="16" a="1"/>
  <c r="E179" i="15" a="1"/>
  <c r="E149" i="15" a="1"/>
  <c r="E136" i="15" a="1"/>
  <c r="E149" i="16" a="1"/>
  <c r="E161" i="14" a="1"/>
  <c r="E167" i="15" a="1"/>
  <c r="E142" i="14" a="1"/>
  <c r="E130" i="16" a="1"/>
  <c r="E106" i="15" a="1"/>
  <c r="E173" i="14" a="1"/>
  <c r="E161" i="16" a="1"/>
  <c r="E118" i="15" a="1"/>
  <c r="E130" i="14" a="1"/>
  <c r="E149" i="14" a="1"/>
  <c r="E106" i="16" a="1"/>
  <c r="E173" i="13" a="1"/>
  <c r="E155" i="15" a="1"/>
  <c r="E179" i="14" a="1"/>
  <c r="E136" i="14" a="1"/>
  <c r="E118" i="14" a="1"/>
  <c r="E179" i="13" a="1"/>
  <c r="E167" i="13" a="1"/>
  <c r="E112" i="13" a="1"/>
  <c r="E185" i="13" a="1"/>
  <c r="E124" i="13" a="1"/>
  <c r="E161" i="13" a="1"/>
  <c r="E179" i="12" a="1"/>
  <c r="E155" i="14" a="1"/>
  <c r="E130" i="13" a="1"/>
  <c r="E185" i="12" a="1"/>
  <c r="E124" i="14" a="1"/>
  <c r="E106" i="14" a="1"/>
  <c r="E142" i="12" a="1"/>
  <c r="E149" i="13" a="1"/>
  <c r="E136" i="13" a="1"/>
  <c r="E112" i="12" a="1"/>
  <c r="E155" i="12" a="1"/>
  <c r="E167" i="14" a="1"/>
  <c r="E106" i="13" a="1"/>
  <c r="E118" i="12" a="1"/>
  <c r="E124" i="15" a="1"/>
  <c r="E124" i="12" a="1"/>
  <c r="E106" i="12" a="1"/>
  <c r="E173" i="11" a="1"/>
  <c r="E124" i="11" a="1"/>
  <c r="E149" i="12" a="1"/>
  <c r="E155" i="11" a="1"/>
  <c r="E155" i="13" a="1"/>
  <c r="E185" i="11" a="1"/>
  <c r="E136" i="11" a="1"/>
  <c r="E161" i="12" a="1"/>
  <c r="E161" i="11" a="1"/>
  <c r="E112" i="11" a="1"/>
  <c r="E167" i="12" a="1"/>
  <c r="E179" i="11" a="1"/>
  <c r="E173" i="12" a="1"/>
  <c r="E142" i="11" a="1"/>
  <c r="E167" i="11" a="1"/>
  <c r="E130" i="12" a="1"/>
  <c r="E118" i="11" a="1"/>
  <c r="E112" i="14" a="1"/>
  <c r="E142" i="13" a="1"/>
  <c r="E118" i="13" a="1"/>
  <c r="E130" i="11" a="1"/>
  <c r="E136" i="12" a="1"/>
  <c r="E149" i="11" a="1"/>
  <c r="E106" i="11" a="1"/>
  <c r="AC144" i="17"/>
  <c r="AC175" i="17"/>
  <c r="AC157" i="17"/>
  <c r="AC181" i="17"/>
  <c r="AC163" i="17"/>
  <c r="AC187" i="17"/>
  <c r="AC120" i="17"/>
  <c r="AC169" i="17"/>
  <c r="AC126" i="17"/>
  <c r="AC187" i="16"/>
  <c r="AC163" i="16"/>
  <c r="AC151" i="17"/>
  <c r="AC181" i="16"/>
  <c r="AC114" i="17"/>
  <c r="AC175" i="16"/>
  <c r="AC144" i="16"/>
  <c r="AC108" i="17"/>
  <c r="AC132" i="16"/>
  <c r="AC169" i="16"/>
  <c r="AC108" i="16"/>
  <c r="AC132" i="17"/>
  <c r="AC157" i="16"/>
  <c r="AC126" i="16"/>
  <c r="AC120" i="16"/>
  <c r="AC114" i="16"/>
  <c r="AC175" i="15"/>
  <c r="AC144" i="15"/>
  <c r="AC114" i="15"/>
  <c r="AC138" i="16"/>
  <c r="AC157" i="15"/>
  <c r="AC181" i="15"/>
  <c r="AC169" i="15"/>
  <c r="AC126" i="15"/>
  <c r="AC163" i="15"/>
  <c r="AC187" i="14"/>
  <c r="AC108" i="15"/>
  <c r="AC181" i="14"/>
  <c r="AC138" i="15"/>
  <c r="AC157" i="14"/>
  <c r="AC151" i="16"/>
  <c r="AC138" i="14"/>
  <c r="AC144" i="14"/>
  <c r="AC157" i="13"/>
  <c r="AC132" i="15"/>
  <c r="AC175" i="14"/>
  <c r="AC169" i="14"/>
  <c r="AC187" i="13"/>
  <c r="AC114" i="14"/>
  <c r="AC138" i="17"/>
  <c r="AC151" i="14"/>
  <c r="AC120" i="14"/>
  <c r="AC144" i="13"/>
  <c r="AC126" i="14"/>
  <c r="AC169" i="13"/>
  <c r="AC181" i="12"/>
  <c r="AC163" i="14"/>
  <c r="AC151" i="13"/>
  <c r="AC108" i="13"/>
  <c r="AC181" i="13"/>
  <c r="AC120" i="13"/>
  <c r="AC187" i="15"/>
  <c r="AC108" i="14"/>
  <c r="AC132" i="13"/>
  <c r="AC114" i="13"/>
  <c r="AC169" i="12"/>
  <c r="AC157" i="12"/>
  <c r="AC126" i="12"/>
  <c r="AC151" i="15"/>
  <c r="AC126" i="13"/>
  <c r="AC132" i="14"/>
  <c r="AC138" i="13"/>
  <c r="AC138" i="12"/>
  <c r="AC163" i="13"/>
  <c r="AC144" i="12"/>
  <c r="AC187" i="11"/>
  <c r="AC138" i="11"/>
  <c r="AC120" i="15"/>
  <c r="AC169" i="11"/>
  <c r="AC120" i="11"/>
  <c r="AC175" i="13"/>
  <c r="AC187" i="12"/>
  <c r="AC151" i="11"/>
  <c r="AC114" i="12"/>
  <c r="AC108" i="12"/>
  <c r="AC175" i="11"/>
  <c r="AC126" i="11"/>
  <c r="AC120" i="12"/>
  <c r="AC144" i="11"/>
  <c r="AC132" i="12"/>
  <c r="AC108" i="11"/>
  <c r="AC132" i="11"/>
  <c r="AC151" i="12"/>
  <c r="AC181" i="11"/>
  <c r="AC157" i="11"/>
  <c r="AC163" i="12"/>
  <c r="AC114" i="11"/>
  <c r="AC175" i="12"/>
  <c r="AC163" i="11"/>
  <c r="AA169" i="17"/>
  <c r="AA151" i="17"/>
  <c r="AA181" i="17"/>
  <c r="AA157" i="17"/>
  <c r="AA138" i="17"/>
  <c r="AA114" i="17"/>
  <c r="AA163" i="17"/>
  <c r="AA126" i="17"/>
  <c r="AA144" i="17"/>
  <c r="AA175" i="17"/>
  <c r="AA132" i="17"/>
  <c r="AA169" i="16"/>
  <c r="AA187" i="16"/>
  <c r="AA157" i="16"/>
  <c r="AA120" i="17"/>
  <c r="AA151" i="16"/>
  <c r="AA132" i="16"/>
  <c r="AA138" i="16"/>
  <c r="AA181" i="16"/>
  <c r="AA175" i="16"/>
  <c r="AA114" i="16"/>
  <c r="AA144" i="16"/>
  <c r="AA126" i="16"/>
  <c r="AA120" i="16"/>
  <c r="AA181" i="15"/>
  <c r="AA187" i="15"/>
  <c r="AA151" i="15"/>
  <c r="AA138" i="15"/>
  <c r="AA175" i="15"/>
  <c r="AA120" i="15"/>
  <c r="AA163" i="16"/>
  <c r="AA163" i="15"/>
  <c r="AA187" i="14"/>
  <c r="AA108" i="17"/>
  <c r="AA169" i="15"/>
  <c r="AA126" i="15"/>
  <c r="AA151" i="14"/>
  <c r="AA108" i="16"/>
  <c r="AA144" i="15"/>
  <c r="AA114" i="15"/>
  <c r="AA132" i="14"/>
  <c r="AA187" i="17"/>
  <c r="AA163" i="14"/>
  <c r="AA169" i="14"/>
  <c r="AA120" i="14"/>
  <c r="AA157" i="15"/>
  <c r="AA181" i="13"/>
  <c r="AA144" i="14"/>
  <c r="AA108" i="14"/>
  <c r="AA163" i="13"/>
  <c r="AA132" i="15"/>
  <c r="AA181" i="14"/>
  <c r="AA114" i="14"/>
  <c r="AA169" i="13"/>
  <c r="AA187" i="12"/>
  <c r="AA175" i="14"/>
  <c r="AA132" i="13"/>
  <c r="AA157" i="13"/>
  <c r="AA114" i="13"/>
  <c r="AA108" i="15"/>
  <c r="AA144" i="13"/>
  <c r="AA120" i="13"/>
  <c r="AA175" i="13"/>
  <c r="AA108" i="13"/>
  <c r="AA120" i="12"/>
  <c r="AA157" i="14"/>
  <c r="AA163" i="12"/>
  <c r="AA132" i="12"/>
  <c r="AA126" i="13"/>
  <c r="AA144" i="12"/>
  <c r="AA187" i="13"/>
  <c r="AA175" i="12"/>
  <c r="AA138" i="12"/>
  <c r="AA126" i="14"/>
  <c r="AA157" i="12"/>
  <c r="AA114" i="12"/>
  <c r="AA163" i="11"/>
  <c r="AA114" i="11"/>
  <c r="AA138" i="13"/>
  <c r="AA144" i="11"/>
  <c r="AA151" i="12"/>
  <c r="AA108" i="12"/>
  <c r="AA175" i="11"/>
  <c r="AA126" i="11"/>
  <c r="AA138" i="14"/>
  <c r="AA151" i="13"/>
  <c r="AA169" i="12"/>
  <c r="AA151" i="11"/>
  <c r="AA120" i="11"/>
  <c r="AA181" i="11"/>
  <c r="AA108" i="11"/>
  <c r="AA157" i="11"/>
  <c r="AA169" i="11"/>
  <c r="AA187" i="11"/>
  <c r="AA181" i="12"/>
  <c r="AA126" i="12"/>
  <c r="AA138" i="11"/>
  <c r="AA132" i="11"/>
  <c r="W169" i="17"/>
  <c r="W151" i="17"/>
  <c r="W181" i="17"/>
  <c r="W157" i="17"/>
  <c r="W187" i="17"/>
  <c r="W114" i="17"/>
  <c r="W144" i="17"/>
  <c r="W126" i="17"/>
  <c r="W175" i="17"/>
  <c r="W108" i="17"/>
  <c r="W187" i="16"/>
  <c r="W169" i="16"/>
  <c r="W120" i="17"/>
  <c r="W157" i="16"/>
  <c r="W138" i="17"/>
  <c r="W175" i="16"/>
  <c r="W151" i="16"/>
  <c r="W132" i="17"/>
  <c r="W132" i="16"/>
  <c r="W181" i="16"/>
  <c r="W163" i="16"/>
  <c r="W144" i="16"/>
  <c r="W114" i="16"/>
  <c r="W120" i="16"/>
  <c r="W181" i="15"/>
  <c r="W175" i="15"/>
  <c r="W151" i="15"/>
  <c r="W138" i="15"/>
  <c r="W108" i="16"/>
  <c r="W120" i="15"/>
  <c r="W163" i="15"/>
  <c r="W187" i="14"/>
  <c r="W169" i="15"/>
  <c r="W126" i="15"/>
  <c r="W132" i="15"/>
  <c r="W151" i="14"/>
  <c r="W126" i="16"/>
  <c r="W132" i="14"/>
  <c r="W157" i="15"/>
  <c r="W163" i="14"/>
  <c r="W163" i="17"/>
  <c r="W108" i="15"/>
  <c r="W169" i="14"/>
  <c r="W120" i="14"/>
  <c r="W138" i="14"/>
  <c r="W181" i="13"/>
  <c r="W181" i="14"/>
  <c r="W108" i="14"/>
  <c r="W163" i="13"/>
  <c r="W138" i="16"/>
  <c r="W126" i="14"/>
  <c r="W114" i="14"/>
  <c r="W169" i="13"/>
  <c r="W157" i="13"/>
  <c r="W132" i="13"/>
  <c r="W187" i="12"/>
  <c r="W175" i="13"/>
  <c r="W151" i="13"/>
  <c r="W114" i="13"/>
  <c r="W144" i="14"/>
  <c r="W138" i="13"/>
  <c r="W120" i="13"/>
  <c r="W120" i="12"/>
  <c r="W175" i="14"/>
  <c r="W187" i="13"/>
  <c r="W163" i="12"/>
  <c r="W132" i="12"/>
  <c r="W157" i="14"/>
  <c r="W144" i="12"/>
  <c r="W144" i="15"/>
  <c r="W126" i="13"/>
  <c r="W169" i="12"/>
  <c r="W138" i="12"/>
  <c r="W163" i="11"/>
  <c r="W114" i="11"/>
  <c r="W126" i="12"/>
  <c r="W144" i="11"/>
  <c r="W108" i="12"/>
  <c r="W175" i="11"/>
  <c r="W126" i="11"/>
  <c r="W181" i="12"/>
  <c r="W151" i="12"/>
  <c r="W151" i="11"/>
  <c r="W108" i="13"/>
  <c r="W157" i="12"/>
  <c r="W169" i="11"/>
  <c r="W114" i="12"/>
  <c r="W132" i="11"/>
  <c r="W114" i="15"/>
  <c r="W175" i="12"/>
  <c r="W157" i="11"/>
  <c r="W187" i="15"/>
  <c r="W108" i="11"/>
  <c r="W120" i="11"/>
  <c r="W181" i="11"/>
  <c r="W138" i="11"/>
  <c r="W144" i="13"/>
  <c r="W187" i="11"/>
  <c r="O169" i="17"/>
  <c r="O151" i="17"/>
  <c r="O181" i="17"/>
  <c r="O157" i="17"/>
  <c r="O187" i="17"/>
  <c r="O114" i="17"/>
  <c r="O144" i="17"/>
  <c r="O126" i="17"/>
  <c r="O108" i="17"/>
  <c r="O169" i="16"/>
  <c r="O138" i="17"/>
  <c r="O163" i="17"/>
  <c r="O120" i="17"/>
  <c r="O187" i="16"/>
  <c r="O175" i="16"/>
  <c r="O151" i="16"/>
  <c r="O163" i="16"/>
  <c r="O132" i="16"/>
  <c r="O132" i="17"/>
  <c r="O157" i="16"/>
  <c r="O144" i="16"/>
  <c r="O114" i="16"/>
  <c r="O175" i="17"/>
  <c r="O120" i="16"/>
  <c r="O181" i="15"/>
  <c r="O138" i="16"/>
  <c r="O151" i="15"/>
  <c r="O138" i="15"/>
  <c r="O108" i="16"/>
  <c r="O120" i="15"/>
  <c r="O181" i="16"/>
  <c r="O163" i="15"/>
  <c r="O187" i="14"/>
  <c r="O175" i="15"/>
  <c r="O169" i="15"/>
  <c r="O126" i="15"/>
  <c r="O132" i="15"/>
  <c r="O151" i="14"/>
  <c r="O187" i="15"/>
  <c r="O181" i="14"/>
  <c r="O132" i="14"/>
  <c r="O157" i="15"/>
  <c r="O163" i="14"/>
  <c r="O108" i="15"/>
  <c r="O169" i="14"/>
  <c r="O120" i="14"/>
  <c r="O138" i="14"/>
  <c r="O181" i="13"/>
  <c r="O108" i="14"/>
  <c r="O163" i="13"/>
  <c r="O175" i="14"/>
  <c r="O114" i="14"/>
  <c r="O169" i="13"/>
  <c r="O114" i="15"/>
  <c r="O157" i="14"/>
  <c r="O132" i="13"/>
  <c r="O187" i="12"/>
  <c r="O175" i="13"/>
  <c r="O144" i="13"/>
  <c r="O144" i="14"/>
  <c r="O114" i="13"/>
  <c r="O126" i="16"/>
  <c r="O151" i="13"/>
  <c r="O120" i="13"/>
  <c r="O144" i="15"/>
  <c r="O120" i="12"/>
  <c r="O163" i="12"/>
  <c r="O132" i="12"/>
  <c r="O144" i="12"/>
  <c r="O126" i="13"/>
  <c r="O169" i="12"/>
  <c r="O138" i="12"/>
  <c r="O108" i="13"/>
  <c r="O114" i="12"/>
  <c r="O163" i="11"/>
  <c r="O114" i="11"/>
  <c r="O144" i="11"/>
  <c r="O126" i="14"/>
  <c r="O181" i="12"/>
  <c r="O108" i="12"/>
  <c r="O175" i="11"/>
  <c r="O126" i="11"/>
  <c r="O157" i="13"/>
  <c r="O138" i="13"/>
  <c r="O151" i="12"/>
  <c r="O151" i="11"/>
  <c r="O169" i="11"/>
  <c r="O108" i="11"/>
  <c r="O132" i="11"/>
  <c r="O157" i="11"/>
  <c r="O126" i="12"/>
  <c r="O138" i="11"/>
  <c r="O187" i="13"/>
  <c r="O175" i="12"/>
  <c r="O157" i="12"/>
  <c r="O187" i="11"/>
  <c r="O181" i="11"/>
  <c r="O120" i="11"/>
  <c r="AD157" i="17"/>
  <c r="AD187" i="17"/>
  <c r="AD138" i="17"/>
  <c r="AD169" i="17"/>
  <c r="AD144" i="17"/>
  <c r="AD151" i="17"/>
  <c r="AD132" i="17"/>
  <c r="AD181" i="17"/>
  <c r="AD114" i="17"/>
  <c r="AD163" i="17"/>
  <c r="AD120" i="17"/>
  <c r="AD175" i="16"/>
  <c r="AD181" i="16"/>
  <c r="AD126" i="17"/>
  <c r="AD108" i="17"/>
  <c r="AD169" i="16"/>
  <c r="AD163" i="16"/>
  <c r="AD138" i="16"/>
  <c r="AD157" i="16"/>
  <c r="AD144" i="16"/>
  <c r="AD126" i="16"/>
  <c r="AD120" i="16"/>
  <c r="AD181" i="15"/>
  <c r="AD187" i="16"/>
  <c r="AD151" i="16"/>
  <c r="AD132" i="16"/>
  <c r="AD114" i="16"/>
  <c r="AD169" i="15"/>
  <c r="AD126" i="15"/>
  <c r="AD108" i="15"/>
  <c r="AD108" i="16"/>
  <c r="AD151" i="15"/>
  <c r="AD138" i="15"/>
  <c r="AD187" i="15"/>
  <c r="AD144" i="15"/>
  <c r="AD114" i="15"/>
  <c r="AD138" i="14"/>
  <c r="AD175" i="15"/>
  <c r="AD163" i="15"/>
  <c r="AD187" i="14"/>
  <c r="AD175" i="14"/>
  <c r="AD169" i="14"/>
  <c r="AD132" i="15"/>
  <c r="AD151" i="14"/>
  <c r="AD157" i="14"/>
  <c r="AD114" i="14"/>
  <c r="AD169" i="13"/>
  <c r="AD132" i="14"/>
  <c r="AD120" i="15"/>
  <c r="AD163" i="14"/>
  <c r="AD126" i="14"/>
  <c r="AD181" i="13"/>
  <c r="AD157" i="13"/>
  <c r="AD187" i="13"/>
  <c r="AD120" i="13"/>
  <c r="AD181" i="14"/>
  <c r="AD163" i="13"/>
  <c r="AD138" i="13"/>
  <c r="AD157" i="15"/>
  <c r="AD144" i="13"/>
  <c r="AD187" i="12"/>
  <c r="AD181" i="12"/>
  <c r="AD126" i="13"/>
  <c r="AD138" i="12"/>
  <c r="AD108" i="12"/>
  <c r="AD144" i="14"/>
  <c r="AD151" i="12"/>
  <c r="AD175" i="17"/>
  <c r="AD108" i="14"/>
  <c r="AD175" i="12"/>
  <c r="AD169" i="12"/>
  <c r="AD175" i="13"/>
  <c r="AD157" i="12"/>
  <c r="AD126" i="12"/>
  <c r="AD144" i="12"/>
  <c r="AD151" i="11"/>
  <c r="AD108" i="13"/>
  <c r="AD181" i="11"/>
  <c r="AD132" i="11"/>
  <c r="AD120" i="12"/>
  <c r="AD163" i="11"/>
  <c r="AD114" i="11"/>
  <c r="AD120" i="14"/>
  <c r="AD132" i="13"/>
  <c r="AD187" i="11"/>
  <c r="AD138" i="11"/>
  <c r="AD108" i="11"/>
  <c r="AD151" i="13"/>
  <c r="AD169" i="11"/>
  <c r="AD114" i="13"/>
  <c r="AD144" i="11"/>
  <c r="AD163" i="12"/>
  <c r="AD157" i="11"/>
  <c r="AD114" i="12"/>
  <c r="AD175" i="11"/>
  <c r="AD126" i="11"/>
  <c r="AD120" i="11"/>
  <c r="AD132" i="12"/>
  <c r="U144" i="17"/>
  <c r="U175" i="17"/>
  <c r="U157" i="17"/>
  <c r="U181" i="17"/>
  <c r="U163" i="17"/>
  <c r="U187" i="17"/>
  <c r="U120" i="17"/>
  <c r="U169" i="17"/>
  <c r="U126" i="17"/>
  <c r="U187" i="16"/>
  <c r="U114" i="17"/>
  <c r="U175" i="16"/>
  <c r="U138" i="17"/>
  <c r="U181" i="16"/>
  <c r="U144" i="16"/>
  <c r="U157" i="16"/>
  <c r="U108" i="17"/>
  <c r="U132" i="16"/>
  <c r="U126" i="16"/>
  <c r="U108" i="16"/>
  <c r="U120" i="16"/>
  <c r="U151" i="17"/>
  <c r="U114" i="16"/>
  <c r="U175" i="15"/>
  <c r="U181" i="15"/>
  <c r="U144" i="15"/>
  <c r="U114" i="15"/>
  <c r="U169" i="16"/>
  <c r="U157" i="15"/>
  <c r="U169" i="15"/>
  <c r="U126" i="15"/>
  <c r="U132" i="17"/>
  <c r="U163" i="15"/>
  <c r="U187" i="14"/>
  <c r="U108" i="15"/>
  <c r="U138" i="15"/>
  <c r="U175" i="14"/>
  <c r="U157" i="14"/>
  <c r="U138" i="14"/>
  <c r="U187" i="15"/>
  <c r="U144" i="14"/>
  <c r="U120" i="15"/>
  <c r="U157" i="13"/>
  <c r="U151" i="16"/>
  <c r="U169" i="14"/>
  <c r="U126" i="14"/>
  <c r="U187" i="13"/>
  <c r="U163" i="16"/>
  <c r="U114" i="14"/>
  <c r="U151" i="14"/>
  <c r="U144" i="13"/>
  <c r="U138" i="16"/>
  <c r="U132" i="14"/>
  <c r="U181" i="12"/>
  <c r="U138" i="13"/>
  <c r="U108" i="13"/>
  <c r="U181" i="13"/>
  <c r="U169" i="13"/>
  <c r="U120" i="13"/>
  <c r="U132" i="15"/>
  <c r="U108" i="14"/>
  <c r="U114" i="13"/>
  <c r="U157" i="12"/>
  <c r="U126" i="12"/>
  <c r="U126" i="13"/>
  <c r="U151" i="15"/>
  <c r="U169" i="12"/>
  <c r="U138" i="12"/>
  <c r="U144" i="12"/>
  <c r="U163" i="13"/>
  <c r="U151" i="13"/>
  <c r="U114" i="12"/>
  <c r="U187" i="11"/>
  <c r="U138" i="11"/>
  <c r="U120" i="14"/>
  <c r="U175" i="12"/>
  <c r="U169" i="11"/>
  <c r="U120" i="11"/>
  <c r="U181" i="14"/>
  <c r="U132" i="13"/>
  <c r="U151" i="11"/>
  <c r="U163" i="14"/>
  <c r="U187" i="12"/>
  <c r="U120" i="12"/>
  <c r="U108" i="12"/>
  <c r="U175" i="11"/>
  <c r="U126" i="11"/>
  <c r="U144" i="11"/>
  <c r="U163" i="12"/>
  <c r="U108" i="11"/>
  <c r="U151" i="12"/>
  <c r="U132" i="11"/>
  <c r="U181" i="11"/>
  <c r="U175" i="13"/>
  <c r="U114" i="11"/>
  <c r="U132" i="12"/>
  <c r="U163" i="11"/>
  <c r="U157" i="11"/>
  <c r="F157" i="17"/>
  <c r="F187" i="17"/>
  <c r="F138" i="17"/>
  <c r="F169" i="17"/>
  <c r="F144" i="17"/>
  <c r="F151" i="17"/>
  <c r="F132" i="17"/>
  <c r="F181" i="17"/>
  <c r="F114" i="17"/>
  <c r="F120" i="17"/>
  <c r="F175" i="16"/>
  <c r="F175" i="17"/>
  <c r="F187" i="16"/>
  <c r="F157" i="16"/>
  <c r="F138" i="16"/>
  <c r="F163" i="17"/>
  <c r="F169" i="16"/>
  <c r="F163" i="16"/>
  <c r="F108" i="17"/>
  <c r="F144" i="16"/>
  <c r="F126" i="17"/>
  <c r="F132" i="16"/>
  <c r="F120" i="16"/>
  <c r="F151" i="16"/>
  <c r="F114" i="16"/>
  <c r="F169" i="15"/>
  <c r="F126" i="15"/>
  <c r="F108" i="15"/>
  <c r="F108" i="16"/>
  <c r="F181" i="15"/>
  <c r="F151" i="15"/>
  <c r="F138" i="15"/>
  <c r="F187" i="15"/>
  <c r="F175" i="15"/>
  <c r="F144" i="15"/>
  <c r="F114" i="15"/>
  <c r="F181" i="16"/>
  <c r="F181" i="14"/>
  <c r="F138" i="14"/>
  <c r="F126" i="16"/>
  <c r="F163" i="15"/>
  <c r="F169" i="14"/>
  <c r="F132" i="15"/>
  <c r="F151" i="14"/>
  <c r="F187" i="14"/>
  <c r="F157" i="14"/>
  <c r="F175" i="14"/>
  <c r="F114" i="14"/>
  <c r="F169" i="13"/>
  <c r="F157" i="15"/>
  <c r="F163" i="14"/>
  <c r="F181" i="13"/>
  <c r="F120" i="15"/>
  <c r="F120" i="14"/>
  <c r="F157" i="13"/>
  <c r="F187" i="13"/>
  <c r="F120" i="13"/>
  <c r="F132" i="14"/>
  <c r="F144" i="13"/>
  <c r="F132" i="13"/>
  <c r="F187" i="12"/>
  <c r="F181" i="12"/>
  <c r="F144" i="14"/>
  <c r="F126" i="13"/>
  <c r="F169" i="12"/>
  <c r="F138" i="12"/>
  <c r="F175" i="12"/>
  <c r="F151" i="12"/>
  <c r="F108" i="14"/>
  <c r="F151" i="13"/>
  <c r="F138" i="13"/>
  <c r="F157" i="12"/>
  <c r="F126" i="12"/>
  <c r="F144" i="12"/>
  <c r="F120" i="12"/>
  <c r="F151" i="11"/>
  <c r="F181" i="11"/>
  <c r="F132" i="11"/>
  <c r="F163" i="11"/>
  <c r="F114" i="11"/>
  <c r="F114" i="12"/>
  <c r="F187" i="11"/>
  <c r="F138" i="11"/>
  <c r="F108" i="11"/>
  <c r="F163" i="13"/>
  <c r="F169" i="11"/>
  <c r="F175" i="13"/>
  <c r="F144" i="11"/>
  <c r="F132" i="12"/>
  <c r="F108" i="12"/>
  <c r="F120" i="11"/>
  <c r="F108" i="13"/>
  <c r="F175" i="11"/>
  <c r="F157" i="11"/>
  <c r="F126" i="14"/>
  <c r="F114" i="13"/>
  <c r="F126" i="11"/>
  <c r="F163" i="12"/>
  <c r="N157" i="17"/>
  <c r="N187" i="17"/>
  <c r="N138" i="17"/>
  <c r="N169" i="17"/>
  <c r="N144" i="17"/>
  <c r="N151" i="17"/>
  <c r="N132" i="17"/>
  <c r="N181" i="17"/>
  <c r="N114" i="17"/>
  <c r="N163" i="17"/>
  <c r="N120" i="17"/>
  <c r="N175" i="16"/>
  <c r="N187" i="16"/>
  <c r="N175" i="17"/>
  <c r="N126" i="17"/>
  <c r="N157" i="16"/>
  <c r="N108" i="17"/>
  <c r="N169" i="16"/>
  <c r="N138" i="16"/>
  <c r="N144" i="16"/>
  <c r="N181" i="16"/>
  <c r="N120" i="16"/>
  <c r="N151" i="16"/>
  <c r="N163" i="16"/>
  <c r="N132" i="16"/>
  <c r="N114" i="16"/>
  <c r="N175" i="15"/>
  <c r="N169" i="15"/>
  <c r="N126" i="15"/>
  <c r="N108" i="15"/>
  <c r="N108" i="16"/>
  <c r="N151" i="15"/>
  <c r="N138" i="15"/>
  <c r="N187" i="15"/>
  <c r="N144" i="15"/>
  <c r="N114" i="15"/>
  <c r="N138" i="14"/>
  <c r="N181" i="15"/>
  <c r="N163" i="15"/>
  <c r="N169" i="14"/>
  <c r="N132" i="15"/>
  <c r="N181" i="14"/>
  <c r="N151" i="14"/>
  <c r="N157" i="14"/>
  <c r="N175" i="14"/>
  <c r="N120" i="14"/>
  <c r="N114" i="14"/>
  <c r="N169" i="13"/>
  <c r="N120" i="15"/>
  <c r="N163" i="14"/>
  <c r="N132" i="14"/>
  <c r="N181" i="13"/>
  <c r="N187" i="14"/>
  <c r="N126" i="14"/>
  <c r="N157" i="13"/>
  <c r="N187" i="13"/>
  <c r="N120" i="13"/>
  <c r="N132" i="13"/>
  <c r="N187" i="12"/>
  <c r="N157" i="15"/>
  <c r="N181" i="12"/>
  <c r="N163" i="13"/>
  <c r="N138" i="13"/>
  <c r="N126" i="13"/>
  <c r="N169" i="12"/>
  <c r="N138" i="12"/>
  <c r="N151" i="13"/>
  <c r="N151" i="12"/>
  <c r="N108" i="14"/>
  <c r="N144" i="13"/>
  <c r="N175" i="13"/>
  <c r="N175" i="12"/>
  <c r="N157" i="12"/>
  <c r="N126" i="12"/>
  <c r="N144" i="12"/>
  <c r="N151" i="11"/>
  <c r="N108" i="13"/>
  <c r="N181" i="11"/>
  <c r="N132" i="11"/>
  <c r="N114" i="12"/>
  <c r="N163" i="11"/>
  <c r="N114" i="11"/>
  <c r="N126" i="16"/>
  <c r="N120" i="12"/>
  <c r="N187" i="11"/>
  <c r="N138" i="11"/>
  <c r="N169" i="11"/>
  <c r="N114" i="13"/>
  <c r="N108" i="11"/>
  <c r="N144" i="11"/>
  <c r="N157" i="11"/>
  <c r="N175" i="11"/>
  <c r="N144" i="14"/>
  <c r="N132" i="12"/>
  <c r="N163" i="12"/>
  <c r="N108" i="12"/>
  <c r="N126" i="11"/>
  <c r="N120" i="11"/>
  <c r="J157" i="17"/>
  <c r="J187" i="17"/>
  <c r="J138" i="17"/>
  <c r="J169" i="17"/>
  <c r="J144" i="17"/>
  <c r="J175" i="17"/>
  <c r="J132" i="17"/>
  <c r="J114" i="17"/>
  <c r="J181" i="17"/>
  <c r="J187" i="16"/>
  <c r="J175" i="16"/>
  <c r="J163" i="17"/>
  <c r="J126" i="17"/>
  <c r="J108" i="17"/>
  <c r="J157" i="16"/>
  <c r="J151" i="17"/>
  <c r="J138" i="16"/>
  <c r="J120" i="17"/>
  <c r="J144" i="16"/>
  <c r="J120" i="16"/>
  <c r="J181" i="16"/>
  <c r="J132" i="16"/>
  <c r="J169" i="15"/>
  <c r="J126" i="15"/>
  <c r="J163" i="16"/>
  <c r="J151" i="16"/>
  <c r="J126" i="16"/>
  <c r="J108" i="15"/>
  <c r="J187" i="15"/>
  <c r="J151" i="15"/>
  <c r="J138" i="15"/>
  <c r="J108" i="16"/>
  <c r="J144" i="15"/>
  <c r="J114" i="15"/>
  <c r="J114" i="16"/>
  <c r="J120" i="15"/>
  <c r="J138" i="14"/>
  <c r="J187" i="14"/>
  <c r="J181" i="14"/>
  <c r="J169" i="14"/>
  <c r="J151" i="14"/>
  <c r="J169" i="16"/>
  <c r="J157" i="15"/>
  <c r="J157" i="14"/>
  <c r="J114" i="14"/>
  <c r="J169" i="13"/>
  <c r="J181" i="13"/>
  <c r="J181" i="15"/>
  <c r="J163" i="14"/>
  <c r="J157" i="13"/>
  <c r="J108" i="14"/>
  <c r="J120" i="13"/>
  <c r="J132" i="15"/>
  <c r="J175" i="14"/>
  <c r="J126" i="14"/>
  <c r="J163" i="13"/>
  <c r="J144" i="13"/>
  <c r="J132" i="13"/>
  <c r="J187" i="12"/>
  <c r="J175" i="15"/>
  <c r="J181" i="12"/>
  <c r="J132" i="14"/>
  <c r="J169" i="12"/>
  <c r="J138" i="12"/>
  <c r="J175" i="13"/>
  <c r="J108" i="13"/>
  <c r="J151" i="12"/>
  <c r="J144" i="14"/>
  <c r="J157" i="12"/>
  <c r="J126" i="12"/>
  <c r="J126" i="13"/>
  <c r="J114" i="12"/>
  <c r="J151" i="11"/>
  <c r="J181" i="11"/>
  <c r="J132" i="11"/>
  <c r="J114" i="13"/>
  <c r="J163" i="11"/>
  <c r="J114" i="11"/>
  <c r="J187" i="13"/>
  <c r="J187" i="11"/>
  <c r="J138" i="11"/>
  <c r="J144" i="12"/>
  <c r="J108" i="12"/>
  <c r="J157" i="11"/>
  <c r="J120" i="11"/>
  <c r="J108" i="11"/>
  <c r="J163" i="15"/>
  <c r="J138" i="13"/>
  <c r="J132" i="12"/>
  <c r="J144" i="11"/>
  <c r="J120" i="14"/>
  <c r="J175" i="12"/>
  <c r="J163" i="12"/>
  <c r="J169" i="11"/>
  <c r="J126" i="11"/>
  <c r="J120" i="12"/>
  <c r="J175" i="11"/>
  <c r="J151" i="13"/>
  <c r="K169" i="17"/>
  <c r="K151" i="17"/>
  <c r="K181" i="17"/>
  <c r="K157" i="17"/>
  <c r="K138" i="17"/>
  <c r="K114" i="17"/>
  <c r="K163" i="17"/>
  <c r="K126" i="17"/>
  <c r="K144" i="17"/>
  <c r="K175" i="17"/>
  <c r="K132" i="17"/>
  <c r="K169" i="16"/>
  <c r="K187" i="17"/>
  <c r="K120" i="17"/>
  <c r="K181" i="16"/>
  <c r="K163" i="16"/>
  <c r="K151" i="16"/>
  <c r="K132" i="16"/>
  <c r="K157" i="16"/>
  <c r="K138" i="16"/>
  <c r="K187" i="16"/>
  <c r="K175" i="16"/>
  <c r="K114" i="16"/>
  <c r="K144" i="16"/>
  <c r="K120" i="16"/>
  <c r="K181" i="15"/>
  <c r="K187" i="15"/>
  <c r="K151" i="15"/>
  <c r="K138" i="15"/>
  <c r="K108" i="17"/>
  <c r="K120" i="15"/>
  <c r="K163" i="15"/>
  <c r="K187" i="14"/>
  <c r="K169" i="15"/>
  <c r="K126" i="15"/>
  <c r="K181" i="14"/>
  <c r="K151" i="14"/>
  <c r="K108" i="16"/>
  <c r="K144" i="15"/>
  <c r="K114" i="15"/>
  <c r="K132" i="14"/>
  <c r="K175" i="15"/>
  <c r="K163" i="14"/>
  <c r="K169" i="14"/>
  <c r="K120" i="14"/>
  <c r="K126" i="16"/>
  <c r="K157" i="15"/>
  <c r="K181" i="13"/>
  <c r="K144" i="14"/>
  <c r="K108" i="14"/>
  <c r="K163" i="13"/>
  <c r="K132" i="15"/>
  <c r="K175" i="14"/>
  <c r="K114" i="14"/>
  <c r="K169" i="13"/>
  <c r="K126" i="14"/>
  <c r="K144" i="13"/>
  <c r="K132" i="13"/>
  <c r="K187" i="12"/>
  <c r="K108" i="15"/>
  <c r="K157" i="13"/>
  <c r="K114" i="13"/>
  <c r="K120" i="13"/>
  <c r="K175" i="13"/>
  <c r="K108" i="13"/>
  <c r="K120" i="12"/>
  <c r="K163" i="12"/>
  <c r="K132" i="12"/>
  <c r="K138" i="13"/>
  <c r="K126" i="13"/>
  <c r="K175" i="12"/>
  <c r="K144" i="12"/>
  <c r="K187" i="13"/>
  <c r="K169" i="12"/>
  <c r="K138" i="12"/>
  <c r="K157" i="12"/>
  <c r="K126" i="12"/>
  <c r="K163" i="11"/>
  <c r="K114" i="11"/>
  <c r="K138" i="14"/>
  <c r="K144" i="11"/>
  <c r="K151" i="12"/>
  <c r="K108" i="12"/>
  <c r="K175" i="11"/>
  <c r="K126" i="11"/>
  <c r="K114" i="12"/>
  <c r="K151" i="11"/>
  <c r="K120" i="11"/>
  <c r="K181" i="11"/>
  <c r="K157" i="11"/>
  <c r="K181" i="12"/>
  <c r="K169" i="11"/>
  <c r="K108" i="11"/>
  <c r="K157" i="14"/>
  <c r="K187" i="11"/>
  <c r="K138" i="11"/>
  <c r="K151" i="13"/>
  <c r="K132" i="11"/>
  <c r="Q144" i="17"/>
  <c r="Q175" i="17"/>
  <c r="Q157" i="17"/>
  <c r="Q181" i="17"/>
  <c r="Q138" i="17"/>
  <c r="Q120" i="17"/>
  <c r="Q169" i="17"/>
  <c r="Q126" i="17"/>
  <c r="Q187" i="16"/>
  <c r="Q151" i="17"/>
  <c r="Q108" i="17"/>
  <c r="Q132" i="17"/>
  <c r="Q175" i="16"/>
  <c r="Q181" i="16"/>
  <c r="Q163" i="17"/>
  <c r="Q114" i="17"/>
  <c r="Q144" i="16"/>
  <c r="Q157" i="16"/>
  <c r="Q163" i="16"/>
  <c r="Q132" i="16"/>
  <c r="Q169" i="16"/>
  <c r="Q138" i="16"/>
  <c r="Q108" i="16"/>
  <c r="Q120" i="16"/>
  <c r="Q114" i="16"/>
  <c r="Q175" i="15"/>
  <c r="Q144" i="15"/>
  <c r="Q114" i="15"/>
  <c r="Q157" i="15"/>
  <c r="Q126" i="16"/>
  <c r="Q169" i="15"/>
  <c r="Q126" i="15"/>
  <c r="Q151" i="16"/>
  <c r="Q163" i="15"/>
  <c r="Q187" i="14"/>
  <c r="Q187" i="15"/>
  <c r="Q175" i="14"/>
  <c r="Q151" i="15"/>
  <c r="Q157" i="14"/>
  <c r="Q120" i="15"/>
  <c r="Q138" i="14"/>
  <c r="Q181" i="15"/>
  <c r="Q132" i="15"/>
  <c r="Q144" i="14"/>
  <c r="Q163" i="14"/>
  <c r="Q126" i="14"/>
  <c r="Q157" i="13"/>
  <c r="Q187" i="13"/>
  <c r="Q187" i="17"/>
  <c r="Q108" i="15"/>
  <c r="Q151" i="14"/>
  <c r="Q114" i="14"/>
  <c r="Q144" i="13"/>
  <c r="Q120" i="14"/>
  <c r="Q175" i="13"/>
  <c r="Q138" i="13"/>
  <c r="Q181" i="12"/>
  <c r="Q108" i="13"/>
  <c r="Q108" i="14"/>
  <c r="Q163" i="13"/>
  <c r="Q120" i="13"/>
  <c r="Q169" i="14"/>
  <c r="Q181" i="13"/>
  <c r="Q114" i="13"/>
  <c r="Q157" i="12"/>
  <c r="Q126" i="12"/>
  <c r="Q169" i="13"/>
  <c r="Q175" i="12"/>
  <c r="Q169" i="12"/>
  <c r="Q138" i="12"/>
  <c r="Q151" i="13"/>
  <c r="Q144" i="12"/>
  <c r="Q187" i="11"/>
  <c r="Q138" i="11"/>
  <c r="Q163" i="12"/>
  <c r="Q132" i="12"/>
  <c r="Q169" i="11"/>
  <c r="Q120" i="11"/>
  <c r="Q151" i="11"/>
  <c r="Q114" i="12"/>
  <c r="Q108" i="12"/>
  <c r="Q175" i="11"/>
  <c r="Q126" i="11"/>
  <c r="Q126" i="13"/>
  <c r="Q157" i="11"/>
  <c r="Q187" i="12"/>
  <c r="Q181" i="11"/>
  <c r="Q138" i="15"/>
  <c r="Q181" i="14"/>
  <c r="Q132" i="11"/>
  <c r="Q144" i="11"/>
  <c r="Q132" i="14"/>
  <c r="Q163" i="11"/>
  <c r="Q120" i="12"/>
  <c r="Q151" i="12"/>
  <c r="Q114" i="11"/>
  <c r="Q108" i="11"/>
  <c r="Q132" i="13"/>
  <c r="I144" i="17"/>
  <c r="I175" i="17"/>
  <c r="I157" i="17"/>
  <c r="I181" i="17"/>
  <c r="I138" i="17"/>
  <c r="I120" i="17"/>
  <c r="I169" i="17"/>
  <c r="I126" i="17"/>
  <c r="I187" i="16"/>
  <c r="I108" i="17"/>
  <c r="I132" i="17"/>
  <c r="I163" i="17"/>
  <c r="I175" i="16"/>
  <c r="I187" i="17"/>
  <c r="I181" i="16"/>
  <c r="I144" i="16"/>
  <c r="I151" i="17"/>
  <c r="I157" i="16"/>
  <c r="I132" i="16"/>
  <c r="I114" i="17"/>
  <c r="I138" i="16"/>
  <c r="I108" i="16"/>
  <c r="I120" i="16"/>
  <c r="I163" i="16"/>
  <c r="I114" i="16"/>
  <c r="I175" i="15"/>
  <c r="I144" i="15"/>
  <c r="I114" i="15"/>
  <c r="I157" i="15"/>
  <c r="I151" i="16"/>
  <c r="I126" i="16"/>
  <c r="I169" i="15"/>
  <c r="I126" i="15"/>
  <c r="I163" i="15"/>
  <c r="I187" i="14"/>
  <c r="I169" i="16"/>
  <c r="I175" i="14"/>
  <c r="I151" i="15"/>
  <c r="I157" i="14"/>
  <c r="I120" i="15"/>
  <c r="I138" i="14"/>
  <c r="I132" i="15"/>
  <c r="I144" i="14"/>
  <c r="I181" i="15"/>
  <c r="I163" i="14"/>
  <c r="I157" i="13"/>
  <c r="I132" i="14"/>
  <c r="I120" i="14"/>
  <c r="I187" i="13"/>
  <c r="I187" i="15"/>
  <c r="I151" i="14"/>
  <c r="I114" i="14"/>
  <c r="I108" i="15"/>
  <c r="I126" i="14"/>
  <c r="I144" i="13"/>
  <c r="I138" i="15"/>
  <c r="I175" i="13"/>
  <c r="I181" i="12"/>
  <c r="I169" i="13"/>
  <c r="I108" i="13"/>
  <c r="I181" i="14"/>
  <c r="I169" i="14"/>
  <c r="I108" i="14"/>
  <c r="I120" i="13"/>
  <c r="I181" i="13"/>
  <c r="I138" i="13"/>
  <c r="I114" i="13"/>
  <c r="I157" i="12"/>
  <c r="I126" i="12"/>
  <c r="I169" i="12"/>
  <c r="I138" i="12"/>
  <c r="I144" i="12"/>
  <c r="I175" i="12"/>
  <c r="I187" i="11"/>
  <c r="I138" i="11"/>
  <c r="I126" i="13"/>
  <c r="I163" i="12"/>
  <c r="I132" i="12"/>
  <c r="I169" i="11"/>
  <c r="I120" i="11"/>
  <c r="I114" i="12"/>
  <c r="I151" i="11"/>
  <c r="I108" i="12"/>
  <c r="I175" i="11"/>
  <c r="I126" i="11"/>
  <c r="I157" i="11"/>
  <c r="I132" i="13"/>
  <c r="I181" i="11"/>
  <c r="I108" i="11"/>
  <c r="I132" i="11"/>
  <c r="I163" i="11"/>
  <c r="I151" i="13"/>
  <c r="I120" i="12"/>
  <c r="I144" i="11"/>
  <c r="I114" i="11"/>
  <c r="I187" i="12"/>
  <c r="I163" i="13"/>
  <c r="I151" i="12"/>
  <c r="H181" i="17"/>
  <c r="H163" i="17"/>
  <c r="H144" i="17"/>
  <c r="H169" i="17"/>
  <c r="H151" i="17"/>
  <c r="H126" i="17"/>
  <c r="H175" i="17"/>
  <c r="H108" i="17"/>
  <c r="H157" i="17"/>
  <c r="H114" i="17"/>
  <c r="H187" i="17"/>
  <c r="H181" i="16"/>
  <c r="H169" i="16"/>
  <c r="H132" i="16"/>
  <c r="H132" i="17"/>
  <c r="H144" i="16"/>
  <c r="H175" i="16"/>
  <c r="H163" i="16"/>
  <c r="H151" i="16"/>
  <c r="H114" i="16"/>
  <c r="H126" i="16"/>
  <c r="H187" i="15"/>
  <c r="H157" i="16"/>
  <c r="H163" i="15"/>
  <c r="H187" i="14"/>
  <c r="H120" i="17"/>
  <c r="H132" i="15"/>
  <c r="H175" i="15"/>
  <c r="H144" i="15"/>
  <c r="H114" i="15"/>
  <c r="H151" i="15"/>
  <c r="H138" i="15"/>
  <c r="H120" i="16"/>
  <c r="H157" i="15"/>
  <c r="H163" i="14"/>
  <c r="H126" i="15"/>
  <c r="H144" i="14"/>
  <c r="H108" i="16"/>
  <c r="H175" i="14"/>
  <c r="H138" i="16"/>
  <c r="H181" i="15"/>
  <c r="H132" i="14"/>
  <c r="H108" i="15"/>
  <c r="H126" i="14"/>
  <c r="H187" i="16"/>
  <c r="H157" i="14"/>
  <c r="H175" i="13"/>
  <c r="H138" i="14"/>
  <c r="H181" i="13"/>
  <c r="H120" i="14"/>
  <c r="H138" i="13"/>
  <c r="H114" i="13"/>
  <c r="H114" i="14"/>
  <c r="H151" i="13"/>
  <c r="H126" i="13"/>
  <c r="H120" i="15"/>
  <c r="H181" i="12"/>
  <c r="H157" i="13"/>
  <c r="H132" i="13"/>
  <c r="H187" i="12"/>
  <c r="H169" i="15"/>
  <c r="H187" i="13"/>
  <c r="H144" i="13"/>
  <c r="H144" i="12"/>
  <c r="H114" i="12"/>
  <c r="H108" i="13"/>
  <c r="H157" i="12"/>
  <c r="H169" i="13"/>
  <c r="H175" i="12"/>
  <c r="H120" i="12"/>
  <c r="H169" i="12"/>
  <c r="H138" i="12"/>
  <c r="H108" i="12"/>
  <c r="H175" i="11"/>
  <c r="H126" i="11"/>
  <c r="H151" i="14"/>
  <c r="H157" i="11"/>
  <c r="H120" i="13"/>
  <c r="H163" i="12"/>
  <c r="H132" i="12"/>
  <c r="H187" i="11"/>
  <c r="H138" i="11"/>
  <c r="H163" i="11"/>
  <c r="H114" i="11"/>
  <c r="H163" i="13"/>
  <c r="H132" i="11"/>
  <c r="H151" i="12"/>
  <c r="H138" i="17"/>
  <c r="H120" i="11"/>
  <c r="H169" i="11"/>
  <c r="H181" i="11"/>
  <c r="H181" i="14"/>
  <c r="H108" i="14"/>
  <c r="H151" i="11"/>
  <c r="H144" i="11"/>
  <c r="H108" i="11"/>
  <c r="H126" i="12"/>
  <c r="H169" i="14"/>
  <c r="R157" i="17"/>
  <c r="R187" i="17"/>
  <c r="R138" i="17"/>
  <c r="R169" i="17"/>
  <c r="R144" i="17"/>
  <c r="R175" i="17"/>
  <c r="R132" i="17"/>
  <c r="R114" i="17"/>
  <c r="R181" i="17"/>
  <c r="R175" i="16"/>
  <c r="R126" i="17"/>
  <c r="R187" i="16"/>
  <c r="R151" i="17"/>
  <c r="R108" i="17"/>
  <c r="R157" i="16"/>
  <c r="R138" i="16"/>
  <c r="R120" i="17"/>
  <c r="R144" i="16"/>
  <c r="R120" i="16"/>
  <c r="R132" i="16"/>
  <c r="R163" i="17"/>
  <c r="R169" i="15"/>
  <c r="R126" i="15"/>
  <c r="R181" i="16"/>
  <c r="R126" i="16"/>
  <c r="R175" i="15"/>
  <c r="R108" i="15"/>
  <c r="R169" i="16"/>
  <c r="R187" i="15"/>
  <c r="R151" i="15"/>
  <c r="R138" i="15"/>
  <c r="R163" i="16"/>
  <c r="R108" i="16"/>
  <c r="R144" i="15"/>
  <c r="R114" i="15"/>
  <c r="R120" i="15"/>
  <c r="R138" i="14"/>
  <c r="R169" i="14"/>
  <c r="R151" i="14"/>
  <c r="R157" i="15"/>
  <c r="R187" i="14"/>
  <c r="R157" i="14"/>
  <c r="R132" i="15"/>
  <c r="R114" i="14"/>
  <c r="R169" i="13"/>
  <c r="R120" i="14"/>
  <c r="R181" i="13"/>
  <c r="R114" i="16"/>
  <c r="R163" i="14"/>
  <c r="R157" i="13"/>
  <c r="R144" i="14"/>
  <c r="R108" i="14"/>
  <c r="R163" i="13"/>
  <c r="R120" i="13"/>
  <c r="R151" i="13"/>
  <c r="R132" i="14"/>
  <c r="R132" i="13"/>
  <c r="R187" i="12"/>
  <c r="R181" i="14"/>
  <c r="R138" i="13"/>
  <c r="R181" i="12"/>
  <c r="R169" i="12"/>
  <c r="R138" i="12"/>
  <c r="R126" i="14"/>
  <c r="R108" i="13"/>
  <c r="R175" i="12"/>
  <c r="R151" i="12"/>
  <c r="R163" i="15"/>
  <c r="R151" i="16"/>
  <c r="R157" i="12"/>
  <c r="R126" i="12"/>
  <c r="R151" i="11"/>
  <c r="R120" i="12"/>
  <c r="R181" i="11"/>
  <c r="R132" i="11"/>
  <c r="R163" i="11"/>
  <c r="R114" i="11"/>
  <c r="R175" i="14"/>
  <c r="R144" i="13"/>
  <c r="R114" i="13"/>
  <c r="R187" i="11"/>
  <c r="R138" i="11"/>
  <c r="R181" i="15"/>
  <c r="R126" i="13"/>
  <c r="R108" i="12"/>
  <c r="R157" i="11"/>
  <c r="R120" i="11"/>
  <c r="R163" i="12"/>
  <c r="R144" i="11"/>
  <c r="R132" i="12"/>
  <c r="R175" i="13"/>
  <c r="R126" i="11"/>
  <c r="R108" i="11"/>
  <c r="R114" i="12"/>
  <c r="R144" i="12"/>
  <c r="R175" i="11"/>
  <c r="R187" i="13"/>
  <c r="R169" i="11"/>
  <c r="G169" i="17"/>
  <c r="G151" i="17"/>
  <c r="G181" i="17"/>
  <c r="G157" i="17"/>
  <c r="G187" i="17"/>
  <c r="G114" i="17"/>
  <c r="G144" i="17"/>
  <c r="G126" i="17"/>
  <c r="G175" i="17"/>
  <c r="G169" i="16"/>
  <c r="G108" i="17"/>
  <c r="G120" i="17"/>
  <c r="G175" i="16"/>
  <c r="G163" i="16"/>
  <c r="G163" i="17"/>
  <c r="G151" i="16"/>
  <c r="G132" i="17"/>
  <c r="G157" i="16"/>
  <c r="G138" i="17"/>
  <c r="G144" i="16"/>
  <c r="G114" i="16"/>
  <c r="G132" i="16"/>
  <c r="G120" i="16"/>
  <c r="G181" i="15"/>
  <c r="G151" i="15"/>
  <c r="G138" i="15"/>
  <c r="G108" i="16"/>
  <c r="G120" i="15"/>
  <c r="G163" i="15"/>
  <c r="G169" i="15"/>
  <c r="G126" i="15"/>
  <c r="G138" i="16"/>
  <c r="G132" i="15"/>
  <c r="G151" i="14"/>
  <c r="G132" i="14"/>
  <c r="G157" i="15"/>
  <c r="G163" i="14"/>
  <c r="G181" i="16"/>
  <c r="G126" i="16"/>
  <c r="G108" i="15"/>
  <c r="G181" i="14"/>
  <c r="G169" i="14"/>
  <c r="G120" i="14"/>
  <c r="G138" i="14"/>
  <c r="G181" i="13"/>
  <c r="G108" i="14"/>
  <c r="G163" i="13"/>
  <c r="G187" i="16"/>
  <c r="G126" i="14"/>
  <c r="G175" i="14"/>
  <c r="G114" i="14"/>
  <c r="G169" i="13"/>
  <c r="G187" i="15"/>
  <c r="G144" i="15"/>
  <c r="G157" i="13"/>
  <c r="G132" i="13"/>
  <c r="G187" i="12"/>
  <c r="G175" i="13"/>
  <c r="G151" i="13"/>
  <c r="G138" i="13"/>
  <c r="G114" i="13"/>
  <c r="G144" i="14"/>
  <c r="G120" i="13"/>
  <c r="G120" i="12"/>
  <c r="G187" i="13"/>
  <c r="G144" i="13"/>
  <c r="G163" i="12"/>
  <c r="G132" i="12"/>
  <c r="G144" i="12"/>
  <c r="G187" i="14"/>
  <c r="G157" i="14"/>
  <c r="G126" i="13"/>
  <c r="G169" i="12"/>
  <c r="G138" i="12"/>
  <c r="G163" i="11"/>
  <c r="G114" i="11"/>
  <c r="G144" i="11"/>
  <c r="G175" i="12"/>
  <c r="G108" i="12"/>
  <c r="G175" i="11"/>
  <c r="G126" i="11"/>
  <c r="G181" i="12"/>
  <c r="G151" i="12"/>
  <c r="G151" i="11"/>
  <c r="G157" i="12"/>
  <c r="G169" i="11"/>
  <c r="G175" i="15"/>
  <c r="G126" i="12"/>
  <c r="G132" i="11"/>
  <c r="G157" i="11"/>
  <c r="G108" i="11"/>
  <c r="G120" i="11"/>
  <c r="G108" i="13"/>
  <c r="G114" i="12"/>
  <c r="G181" i="11"/>
  <c r="G138" i="11"/>
  <c r="G187" i="11"/>
  <c r="G114" i="15"/>
  <c r="S169" i="17"/>
  <c r="S151" i="17"/>
  <c r="S181" i="17"/>
  <c r="S157" i="17"/>
  <c r="S138" i="17"/>
  <c r="S114" i="17"/>
  <c r="S163" i="17"/>
  <c r="S126" i="17"/>
  <c r="S144" i="17"/>
  <c r="S132" i="17"/>
  <c r="S187" i="16"/>
  <c r="S169" i="16"/>
  <c r="S187" i="17"/>
  <c r="S181" i="16"/>
  <c r="S151" i="16"/>
  <c r="S132" i="16"/>
  <c r="S175" i="17"/>
  <c r="S157" i="16"/>
  <c r="S138" i="16"/>
  <c r="S114" i="16"/>
  <c r="S108" i="17"/>
  <c r="S175" i="16"/>
  <c r="S144" i="16"/>
  <c r="S120" i="16"/>
  <c r="S181" i="15"/>
  <c r="S120" i="17"/>
  <c r="S126" i="16"/>
  <c r="S187" i="15"/>
  <c r="S151" i="15"/>
  <c r="S138" i="15"/>
  <c r="S120" i="15"/>
  <c r="S163" i="15"/>
  <c r="S187" i="14"/>
  <c r="S169" i="15"/>
  <c r="S126" i="15"/>
  <c r="S151" i="14"/>
  <c r="S144" i="15"/>
  <c r="S114" i="15"/>
  <c r="S132" i="14"/>
  <c r="S181" i="14"/>
  <c r="S163" i="14"/>
  <c r="S169" i="14"/>
  <c r="S120" i="14"/>
  <c r="S181" i="13"/>
  <c r="S175" i="15"/>
  <c r="S108" i="15"/>
  <c r="S144" i="14"/>
  <c r="S108" i="14"/>
  <c r="S163" i="13"/>
  <c r="S175" i="14"/>
  <c r="S132" i="15"/>
  <c r="S114" i="14"/>
  <c r="S169" i="13"/>
  <c r="S163" i="16"/>
  <c r="S151" i="13"/>
  <c r="S132" i="13"/>
  <c r="S187" i="12"/>
  <c r="S138" i="14"/>
  <c r="S126" i="14"/>
  <c r="S144" i="13"/>
  <c r="S114" i="13"/>
  <c r="S157" i="13"/>
  <c r="S120" i="13"/>
  <c r="S108" i="13"/>
  <c r="S175" i="12"/>
  <c r="S120" i="12"/>
  <c r="S108" i="16"/>
  <c r="S163" i="12"/>
  <c r="S132" i="12"/>
  <c r="S187" i="13"/>
  <c r="S126" i="13"/>
  <c r="S144" i="12"/>
  <c r="S169" i="12"/>
  <c r="S138" i="12"/>
  <c r="S157" i="12"/>
  <c r="S163" i="11"/>
  <c r="S114" i="11"/>
  <c r="S144" i="11"/>
  <c r="S151" i="12"/>
  <c r="S114" i="12"/>
  <c r="S108" i="12"/>
  <c r="S175" i="11"/>
  <c r="S126" i="11"/>
  <c r="S126" i="12"/>
  <c r="S151" i="11"/>
  <c r="S138" i="13"/>
  <c r="S120" i="11"/>
  <c r="S181" i="11"/>
  <c r="S181" i="12"/>
  <c r="S108" i="11"/>
  <c r="S157" i="14"/>
  <c r="S157" i="11"/>
  <c r="S175" i="13"/>
  <c r="S132" i="11"/>
  <c r="S187" i="11"/>
  <c r="S157" i="15"/>
  <c r="S138" i="11"/>
  <c r="S169" i="11"/>
  <c r="AK36" i="17" l="1"/>
  <c r="AE36" i="17"/>
  <c r="H36" i="17"/>
  <c r="I36" i="17"/>
  <c r="AA36" i="17"/>
  <c r="M36" i="17"/>
  <c r="P36" i="17"/>
  <c r="AH36" i="17"/>
  <c r="AG36" i="17"/>
  <c r="P34" i="15"/>
  <c r="AH34" i="15"/>
  <c r="AK34" i="15"/>
  <c r="X34" i="15"/>
  <c r="H34" i="15"/>
  <c r="L34" i="15"/>
  <c r="T34" i="15"/>
  <c r="AA34" i="15"/>
  <c r="AJ34" i="15"/>
  <c r="G33" i="12"/>
  <c r="AI34" i="15"/>
  <c r="T36" i="13"/>
  <c r="AI33" i="12"/>
  <c r="AJ33" i="12"/>
  <c r="R33" i="12"/>
  <c r="Y33" i="12"/>
  <c r="N33" i="12"/>
  <c r="S33" i="12"/>
  <c r="F34" i="16"/>
  <c r="AH34" i="16"/>
  <c r="H34" i="16"/>
  <c r="S34" i="16"/>
  <c r="R34" i="16"/>
  <c r="AG34" i="15"/>
  <c r="AF34" i="15"/>
  <c r="M34" i="15"/>
  <c r="AE34" i="15"/>
  <c r="AE37" i="14"/>
  <c r="M37" i="14"/>
  <c r="R37" i="14"/>
  <c r="S37" i="14"/>
  <c r="I33" i="12"/>
  <c r="AK33" i="12"/>
  <c r="P33" i="12"/>
  <c r="AA33" i="12"/>
  <c r="X34" i="16"/>
  <c r="AK34" i="16"/>
  <c r="L34" i="16"/>
  <c r="AA37" i="14"/>
  <c r="AG33" i="12"/>
  <c r="N37" i="14"/>
  <c r="W37" i="14"/>
  <c r="AB37" i="14"/>
  <c r="V33" i="12"/>
  <c r="U33" i="12"/>
  <c r="AJ34" i="16"/>
  <c r="AC34" i="15"/>
  <c r="AB34" i="15"/>
  <c r="Z34" i="15"/>
  <c r="Q34" i="15"/>
  <c r="AD37" i="14"/>
  <c r="Y37" i="14"/>
  <c r="AH37" i="14"/>
  <c r="T37" i="14"/>
  <c r="K33" i="12"/>
  <c r="W33" i="12"/>
  <c r="AF33" i="12"/>
  <c r="T33" i="12"/>
  <c r="J34" i="16"/>
  <c r="G34" i="16"/>
  <c r="AE34" i="16"/>
  <c r="Z34" i="16"/>
  <c r="AD33" i="12"/>
  <c r="O34" i="15"/>
  <c r="F34" i="15"/>
  <c r="Y34" i="15"/>
  <c r="S34" i="15"/>
  <c r="AK37" i="14"/>
  <c r="Q37" i="14"/>
  <c r="V37" i="14"/>
  <c r="O33" i="12"/>
  <c r="J33" i="12"/>
  <c r="AB33" i="12"/>
  <c r="H33" i="12"/>
  <c r="AB34" i="16"/>
  <c r="M34" i="16"/>
  <c r="X37" i="14"/>
  <c r="P37" i="14"/>
  <c r="Q33" i="12"/>
  <c r="F33" i="12"/>
  <c r="AC33" i="12"/>
  <c r="T34" i="16"/>
  <c r="J34" i="15"/>
  <c r="U34" i="15"/>
  <c r="I34" i="15"/>
  <c r="V34" i="15"/>
  <c r="AD34" i="15"/>
  <c r="J37" i="14"/>
  <c r="F37" i="14"/>
  <c r="L33" i="12"/>
  <c r="M33" i="12"/>
  <c r="AH33" i="12"/>
  <c r="Q34" i="16"/>
  <c r="AI34" i="16"/>
  <c r="V34" i="16"/>
  <c r="I34" i="16"/>
  <c r="AA34" i="16"/>
  <c r="F37" i="13" a="1"/>
  <c r="F38" i="15" a="1"/>
  <c r="T38" i="15" s="1"/>
  <c r="F34" i="14" a="1"/>
  <c r="F34" i="14" s="1"/>
  <c r="J36" i="13"/>
  <c r="U36" i="13"/>
  <c r="AE36" i="13"/>
  <c r="AD36" i="13"/>
  <c r="AC36" i="17"/>
  <c r="V36" i="17"/>
  <c r="F34" i="17" a="1"/>
  <c r="AD34" i="17" s="1"/>
  <c r="Q36" i="17"/>
  <c r="F36" i="17"/>
  <c r="L36" i="17"/>
  <c r="F36" i="11" a="1"/>
  <c r="AJ36" i="11" s="1"/>
  <c r="H36" i="13"/>
  <c r="F33" i="15" a="1"/>
  <c r="F32" i="14" a="1"/>
  <c r="F32" i="14" s="1"/>
  <c r="AA36" i="13"/>
  <c r="W36" i="13"/>
  <c r="Z36" i="13"/>
  <c r="V36" i="13"/>
  <c r="Q36" i="13"/>
  <c r="F36" i="12" a="1"/>
  <c r="Q36" i="12" s="1"/>
  <c r="F38" i="17" a="1"/>
  <c r="W38" i="17" s="1"/>
  <c r="F32" i="17" a="1"/>
  <c r="Q32" i="17" s="1"/>
  <c r="F35" i="17" a="1"/>
  <c r="AI35" i="17" s="1"/>
  <c r="N36" i="17"/>
  <c r="AF36" i="17"/>
  <c r="Y34" i="16"/>
  <c r="AK38" i="11"/>
  <c r="F38" i="11" a="1"/>
  <c r="AC38" i="11" s="1"/>
  <c r="F35" i="11" a="1"/>
  <c r="AB35" i="11" s="1"/>
  <c r="F35" i="14" a="1"/>
  <c r="F35" i="14" s="1"/>
  <c r="F32" i="16" a="1"/>
  <c r="AF32" i="16" s="1"/>
  <c r="F36" i="16" a="1"/>
  <c r="AH36" i="16" s="1"/>
  <c r="F33" i="16" a="1"/>
  <c r="H33" i="16" s="1"/>
  <c r="F38" i="14" a="1"/>
  <c r="P38" i="14" s="1"/>
  <c r="F33" i="13" a="1"/>
  <c r="G36" i="13"/>
  <c r="AF36" i="13"/>
  <c r="F38" i="13" a="1"/>
  <c r="X38" i="13" s="1"/>
  <c r="M36" i="13"/>
  <c r="F35" i="12" a="1"/>
  <c r="M35" i="12" s="1"/>
  <c r="F33" i="17" a="1"/>
  <c r="V33" i="17" s="1"/>
  <c r="F37" i="11" a="1"/>
  <c r="L37" i="11" s="1"/>
  <c r="F36" i="15" a="1"/>
  <c r="O36" i="13"/>
  <c r="S36" i="13"/>
  <c r="F35" i="13" a="1"/>
  <c r="W35" i="13" s="1"/>
  <c r="F36" i="13"/>
  <c r="F34" i="13" a="1"/>
  <c r="W34" i="13" s="1"/>
  <c r="F37" i="12" a="1"/>
  <c r="J37" i="12" s="1"/>
  <c r="AI36" i="17"/>
  <c r="F37" i="17"/>
  <c r="F37" i="17" a="1"/>
  <c r="Y37" i="17" s="1"/>
  <c r="AJ36" i="17"/>
  <c r="Z36" i="17"/>
  <c r="X36" i="17"/>
  <c r="F33" i="11" a="1"/>
  <c r="X33" i="11" s="1"/>
  <c r="Y36" i="17"/>
  <c r="J34" i="12"/>
  <c r="F34" i="12" a="1"/>
  <c r="M34" i="12" s="1"/>
  <c r="F32" i="11" a="1"/>
  <c r="K32" i="11" s="1"/>
  <c r="F36" i="14" a="1"/>
  <c r="AF36" i="14" s="1"/>
  <c r="N36" i="13"/>
  <c r="X36" i="13"/>
  <c r="K36" i="13"/>
  <c r="AG36" i="13"/>
  <c r="L36" i="13"/>
  <c r="F38" i="12" a="1"/>
  <c r="AA38" i="12" s="1"/>
  <c r="F38" i="16" a="1"/>
  <c r="H38" i="16" s="1"/>
  <c r="W36" i="17"/>
  <c r="R36" i="17"/>
  <c r="S36" i="17"/>
  <c r="K36" i="17"/>
  <c r="F35" i="16" a="1"/>
  <c r="R35" i="16" s="1"/>
  <c r="L32" i="13"/>
  <c r="F32" i="13" a="1"/>
  <c r="F35" i="15" a="1"/>
  <c r="F37" i="15" a="1"/>
  <c r="AC37" i="15" s="1"/>
  <c r="F33" i="14" a="1"/>
  <c r="AE33" i="14" s="1"/>
  <c r="AJ36" i="13"/>
  <c r="AC36" i="13"/>
  <c r="P36" i="13"/>
  <c r="AK36" i="13"/>
  <c r="F32" i="12" a="1"/>
  <c r="AB32" i="12" s="1"/>
  <c r="J36" i="17"/>
  <c r="T36" i="17"/>
  <c r="F37" i="16" a="1"/>
  <c r="AA37" i="16" s="1"/>
  <c r="U36" i="17"/>
  <c r="Z37" i="17"/>
  <c r="AJ37" i="17"/>
  <c r="X35" i="11"/>
  <c r="E12" i="9"/>
  <c r="E23" i="9" s="1"/>
  <c r="N37" i="11"/>
  <c r="AB38" i="11"/>
  <c r="Z32" i="17"/>
  <c r="O35" i="11"/>
  <c r="M37" i="11"/>
  <c r="O37" i="11"/>
  <c r="R37" i="11"/>
  <c r="AC37" i="11"/>
  <c r="G37" i="11"/>
  <c r="AE37" i="11"/>
  <c r="AF37" i="11"/>
  <c r="W35" i="12"/>
  <c r="H37" i="11"/>
  <c r="O38" i="15"/>
  <c r="Z35" i="11"/>
  <c r="AG38" i="11"/>
  <c r="I32" i="17"/>
  <c r="M35" i="11"/>
  <c r="AI35" i="11"/>
  <c r="I38" i="17"/>
  <c r="F38" i="11"/>
  <c r="N35" i="11"/>
  <c r="T32" i="11"/>
  <c r="U38" i="11"/>
  <c r="W32" i="17"/>
  <c r="K35" i="11"/>
  <c r="Q35" i="11"/>
  <c r="I35" i="11"/>
  <c r="AK38" i="17"/>
  <c r="I37" i="17"/>
  <c r="W35" i="11"/>
  <c r="AJ35" i="11"/>
  <c r="R35" i="11"/>
  <c r="AI38" i="11"/>
  <c r="U35" i="11"/>
  <c r="H35" i="11"/>
  <c r="AG35" i="11"/>
  <c r="AD38" i="17"/>
  <c r="T38" i="11"/>
  <c r="T35" i="11"/>
  <c r="P35" i="11"/>
  <c r="X38" i="17"/>
  <c r="O38" i="11"/>
  <c r="L38" i="11"/>
  <c r="T32" i="17"/>
  <c r="AA35" i="11"/>
  <c r="F35" i="11"/>
  <c r="P37" i="17"/>
  <c r="G37" i="17"/>
  <c r="AG36" i="11"/>
  <c r="G36" i="11"/>
  <c r="AF35" i="12"/>
  <c r="M36" i="11"/>
  <c r="AF36" i="11"/>
  <c r="AE36" i="11"/>
  <c r="V38" i="15"/>
  <c r="AC36" i="11"/>
  <c r="S36" i="11"/>
  <c r="AH32" i="11"/>
  <c r="X38" i="16"/>
  <c r="I32" i="11"/>
  <c r="AK32" i="11"/>
  <c r="AB38" i="12"/>
  <c r="L38" i="16"/>
  <c r="S38" i="11"/>
  <c r="AH35" i="11"/>
  <c r="Y35" i="11"/>
  <c r="J35" i="11"/>
  <c r="AF35" i="11"/>
  <c r="V32" i="11"/>
  <c r="R32" i="11"/>
  <c r="AB32" i="11"/>
  <c r="AI38" i="16"/>
  <c r="AD38" i="11"/>
  <c r="V38" i="11"/>
  <c r="K38" i="11"/>
  <c r="AG32" i="17"/>
  <c r="G35" i="11"/>
  <c r="AD35" i="11"/>
  <c r="AE35" i="11"/>
  <c r="AK35" i="11"/>
  <c r="AE32" i="11"/>
  <c r="Q32" i="11"/>
  <c r="AC38" i="17"/>
  <c r="AI32" i="17"/>
  <c r="H35" i="17"/>
  <c r="AC35" i="11"/>
  <c r="V35" i="11"/>
  <c r="L35" i="11"/>
  <c r="J32" i="11"/>
  <c r="AG32" i="11"/>
  <c r="U38" i="17"/>
  <c r="AH38" i="16"/>
  <c r="AD32" i="11"/>
  <c r="O32" i="11"/>
  <c r="H32" i="11"/>
  <c r="N32" i="11"/>
  <c r="Y32" i="11"/>
  <c r="S32" i="11"/>
  <c r="L32" i="11"/>
  <c r="X32" i="11"/>
  <c r="Y35" i="13"/>
  <c r="Q35" i="15"/>
  <c r="G32" i="11"/>
  <c r="F32" i="11"/>
  <c r="W32" i="11"/>
  <c r="AC32" i="11"/>
  <c r="G35" i="13"/>
  <c r="AA35" i="14"/>
  <c r="M37" i="15"/>
  <c r="U32" i="11"/>
  <c r="AI32" i="11"/>
  <c r="AF32" i="11"/>
  <c r="M32" i="11"/>
  <c r="AD32" i="16"/>
  <c r="P32" i="11"/>
  <c r="AA32" i="11"/>
  <c r="Z32" i="11"/>
  <c r="I21" i="7"/>
  <c r="I14" i="7" s="1"/>
  <c r="S32" i="16"/>
  <c r="AH33" i="16"/>
  <c r="AJ36" i="16"/>
  <c r="Z34" i="12"/>
  <c r="AE36" i="16"/>
  <c r="T38" i="14"/>
  <c r="T38" i="13"/>
  <c r="Z38" i="13"/>
  <c r="AK38" i="13"/>
  <c r="AJ33" i="16"/>
  <c r="J33" i="16"/>
  <c r="W38" i="15"/>
  <c r="P37" i="16"/>
  <c r="W38" i="13"/>
  <c r="Z35" i="14"/>
  <c r="Q38" i="13"/>
  <c r="AH35" i="13"/>
  <c r="G35" i="14"/>
  <c r="AG38" i="13"/>
  <c r="AC33" i="13"/>
  <c r="H35" i="12"/>
  <c r="O38" i="13"/>
  <c r="AI38" i="13"/>
  <c r="H37" i="17"/>
  <c r="AH37" i="17"/>
  <c r="AH38" i="13"/>
  <c r="AC36" i="16"/>
  <c r="Z36" i="16"/>
  <c r="U33" i="16"/>
  <c r="M33" i="14"/>
  <c r="AB38" i="13"/>
  <c r="K38" i="13"/>
  <c r="I37" i="15"/>
  <c r="S37" i="17"/>
  <c r="Z34" i="13"/>
  <c r="AE38" i="13"/>
  <c r="AF38" i="13"/>
  <c r="AA38" i="15"/>
  <c r="AF34" i="14"/>
  <c r="U34" i="12"/>
  <c r="R34" i="12"/>
  <c r="R37" i="17"/>
  <c r="T37" i="17"/>
  <c r="U37" i="17"/>
  <c r="AB32" i="17"/>
  <c r="S38" i="17"/>
  <c r="H34" i="14"/>
  <c r="K37" i="17"/>
  <c r="AK34" i="12"/>
  <c r="AA35" i="13"/>
  <c r="AK38" i="15"/>
  <c r="Q37" i="13"/>
  <c r="G34" i="12"/>
  <c r="AJ34" i="12"/>
  <c r="AH32" i="17"/>
  <c r="X35" i="17"/>
  <c r="AD35" i="17"/>
  <c r="AH34" i="17"/>
  <c r="AH36" i="15"/>
  <c r="AK32" i="17"/>
  <c r="U35" i="17"/>
  <c r="Q35" i="17"/>
  <c r="K34" i="17"/>
  <c r="AJ38" i="15"/>
  <c r="AG34" i="14"/>
  <c r="O34" i="12"/>
  <c r="O32" i="13"/>
  <c r="F35" i="13"/>
  <c r="AA37" i="17"/>
  <c r="AC37" i="17"/>
  <c r="O35" i="17"/>
  <c r="J35" i="17"/>
  <c r="R38" i="15"/>
  <c r="Y34" i="14"/>
  <c r="L34" i="13"/>
  <c r="AF34" i="12"/>
  <c r="AH34" i="12"/>
  <c r="M38" i="16"/>
  <c r="P34" i="12"/>
  <c r="V36" i="16"/>
  <c r="Z33" i="14"/>
  <c r="AH32" i="12"/>
  <c r="G32" i="12"/>
  <c r="X38" i="12"/>
  <c r="R33" i="14"/>
  <c r="F33" i="14"/>
  <c r="I38" i="12"/>
  <c r="P38" i="12"/>
  <c r="AF33" i="15"/>
  <c r="AA33" i="15"/>
  <c r="P32" i="12"/>
  <c r="AG37" i="15"/>
  <c r="L33" i="15"/>
  <c r="AK33" i="14"/>
  <c r="Z38" i="12"/>
  <c r="U38" i="12"/>
  <c r="T38" i="12"/>
  <c r="AE38" i="12"/>
  <c r="R38" i="12"/>
  <c r="G38" i="12"/>
  <c r="F38" i="12"/>
  <c r="N38" i="12"/>
  <c r="AG32" i="12"/>
  <c r="AF38" i="12"/>
  <c r="V38" i="12"/>
  <c r="AD38" i="12"/>
  <c r="Q38" i="12"/>
  <c r="H32" i="12"/>
  <c r="AJ32" i="12"/>
  <c r="L38" i="12"/>
  <c r="K38" i="12"/>
  <c r="AJ38" i="12"/>
  <c r="S38" i="12"/>
  <c r="T32" i="12"/>
  <c r="X32" i="12"/>
  <c r="AH38" i="12"/>
  <c r="M38" i="12"/>
  <c r="O38" i="12"/>
  <c r="W38" i="12"/>
  <c r="V32" i="12"/>
  <c r="AE32" i="12"/>
  <c r="AC32" i="12"/>
  <c r="H38" i="12"/>
  <c r="AC38" i="12"/>
  <c r="AK38" i="12"/>
  <c r="J38" i="12"/>
  <c r="F37" i="12"/>
  <c r="AG38" i="12"/>
  <c r="AI38" i="12"/>
  <c r="Y38" i="12"/>
  <c r="J32" i="12"/>
  <c r="F32" i="13"/>
  <c r="AI32" i="13"/>
  <c r="H32" i="13"/>
  <c r="I37" i="13"/>
  <c r="AJ37" i="13"/>
  <c r="AJ32" i="13"/>
  <c r="W32" i="13"/>
  <c r="T32" i="13"/>
  <c r="Y32" i="13"/>
  <c r="S32" i="13"/>
  <c r="AD32" i="13"/>
  <c r="M32" i="13"/>
  <c r="AH32" i="13"/>
  <c r="R32" i="13"/>
  <c r="Z32" i="13"/>
  <c r="I32" i="13"/>
  <c r="AB32" i="13"/>
  <c r="K32" i="13"/>
  <c r="AK32" i="13"/>
  <c r="H38" i="14"/>
  <c r="F36" i="14"/>
  <c r="AF38" i="14"/>
  <c r="AC32" i="14"/>
  <c r="V32" i="14"/>
  <c r="J32" i="15"/>
  <c r="Z32" i="15"/>
  <c r="AD32" i="15"/>
  <c r="AK32" i="15"/>
  <c r="V32" i="15"/>
  <c r="I32" i="15"/>
  <c r="U32" i="15"/>
  <c r="L32" i="15"/>
  <c r="O35" i="15"/>
  <c r="AE32" i="15"/>
  <c r="O32" i="15"/>
  <c r="AH32" i="15"/>
  <c r="L38" i="15"/>
  <c r="N38" i="15"/>
  <c r="X38" i="15"/>
  <c r="Q37" i="15"/>
  <c r="AB35" i="15"/>
  <c r="AK37" i="15"/>
  <c r="AF32" i="15"/>
  <c r="X32" i="15"/>
  <c r="M32" i="15"/>
  <c r="AB32" i="15"/>
  <c r="Y32" i="15"/>
  <c r="G32" i="15"/>
  <c r="P38" i="15"/>
  <c r="Z38" i="15"/>
  <c r="O37" i="15"/>
  <c r="AE35" i="15"/>
  <c r="P32" i="15"/>
  <c r="AG32" i="15"/>
  <c r="Q32" i="15"/>
  <c r="AD37" i="15"/>
  <c r="AA32" i="15"/>
  <c r="F38" i="15"/>
  <c r="AC38" i="15"/>
  <c r="AH35" i="15"/>
  <c r="X37" i="15"/>
  <c r="T32" i="15"/>
  <c r="AJ32" i="15"/>
  <c r="AI32" i="15"/>
  <c r="W32" i="15"/>
  <c r="G38" i="15"/>
  <c r="W37" i="15"/>
  <c r="F37" i="15"/>
  <c r="AC32" i="15"/>
  <c r="R32" i="15"/>
  <c r="K32" i="15"/>
  <c r="F32" i="15"/>
  <c r="S38" i="15"/>
  <c r="AH38" i="15"/>
  <c r="M38" i="15"/>
  <c r="V37" i="15"/>
  <c r="V35" i="15"/>
  <c r="S32" i="15"/>
  <c r="N32" i="15"/>
  <c r="H32" i="15"/>
  <c r="X13" i="9"/>
  <c r="AF13" i="9"/>
  <c r="AC13" i="9"/>
  <c r="G13" i="9"/>
  <c r="AA13" i="9"/>
  <c r="K13" i="9"/>
  <c r="W13" i="9"/>
  <c r="L13" i="9"/>
  <c r="S13" i="9"/>
  <c r="AJ13" i="9"/>
  <c r="I13" i="9"/>
  <c r="T13" i="9"/>
  <c r="Y13" i="9"/>
  <c r="R13" i="9"/>
  <c r="H13" i="9"/>
  <c r="U13" i="9"/>
  <c r="F13" i="9"/>
  <c r="N13" i="9"/>
  <c r="AG13" i="9"/>
  <c r="Q13" i="9"/>
  <c r="AD13" i="9"/>
  <c r="M13" i="9"/>
  <c r="AI13" i="9"/>
  <c r="O13" i="9"/>
  <c r="E13" i="9"/>
  <c r="E24" i="9" s="1"/>
  <c r="AB13" i="9"/>
  <c r="V13" i="9"/>
  <c r="P13" i="9"/>
  <c r="AE13" i="9"/>
  <c r="AK13" i="9"/>
  <c r="J13" i="9"/>
  <c r="AH13" i="9"/>
  <c r="AE12" i="9"/>
  <c r="K16" i="9"/>
  <c r="AH16" i="9"/>
  <c r="R16" i="9"/>
  <c r="V16" i="9"/>
  <c r="G16" i="9"/>
  <c r="U16" i="9"/>
  <c r="J16" i="9"/>
  <c r="AK16" i="9"/>
  <c r="AJ16" i="9"/>
  <c r="Q16" i="9"/>
  <c r="W16" i="9"/>
  <c r="AC16" i="9"/>
  <c r="T16" i="9"/>
  <c r="S16" i="9"/>
  <c r="X16" i="9"/>
  <c r="AB16" i="9"/>
  <c r="P16" i="9"/>
  <c r="AI16" i="9"/>
  <c r="E16" i="9"/>
  <c r="E27" i="9" s="1"/>
  <c r="AA16" i="9"/>
  <c r="AD16" i="9"/>
  <c r="M16" i="9"/>
  <c r="L16" i="9"/>
  <c r="H16" i="9"/>
  <c r="F16" i="9"/>
  <c r="AG16" i="9"/>
  <c r="Y16" i="9"/>
  <c r="O16" i="9"/>
  <c r="AE16" i="9"/>
  <c r="Z16" i="9"/>
  <c r="N16" i="9"/>
  <c r="AF16" i="9"/>
  <c r="AF11" i="9"/>
  <c r="V11" i="9"/>
  <c r="AG11" i="9"/>
  <c r="S11" i="9"/>
  <c r="R11" i="9"/>
  <c r="AA11" i="9"/>
  <c r="I11" i="9"/>
  <c r="O14" i="9"/>
  <c r="AH11" i="9"/>
  <c r="Z10" i="9"/>
  <c r="Z11" i="9"/>
  <c r="AK11" i="9"/>
  <c r="G14" i="9"/>
  <c r="W11" i="9"/>
  <c r="N11" i="9"/>
  <c r="AH12" i="9"/>
  <c r="T12" i="9"/>
  <c r="W10" i="9"/>
  <c r="I12" i="9"/>
  <c r="Y12" i="9"/>
  <c r="O10" i="9"/>
  <c r="R15" i="9"/>
  <c r="K15" i="9"/>
  <c r="AC15" i="9"/>
  <c r="AG15" i="9"/>
  <c r="P15" i="9"/>
  <c r="M12" i="9"/>
  <c r="P12" i="9"/>
  <c r="AB10" i="9"/>
  <c r="AE15" i="9"/>
  <c r="AD15" i="9"/>
  <c r="X15" i="9"/>
  <c r="Y15" i="9"/>
  <c r="J12" i="9"/>
  <c r="AF12" i="9"/>
  <c r="AG12" i="9"/>
  <c r="AG10" i="9"/>
  <c r="J15" i="9"/>
  <c r="N15" i="9"/>
  <c r="AJ15" i="9"/>
  <c r="U15" i="9"/>
  <c r="AK12" i="9"/>
  <c r="O12" i="9"/>
  <c r="AI14" i="9"/>
  <c r="W15" i="9"/>
  <c r="I15" i="9"/>
  <c r="AK15" i="9"/>
  <c r="S15" i="9"/>
  <c r="O15" i="9"/>
  <c r="V15" i="9"/>
  <c r="H15" i="9"/>
  <c r="L15" i="9"/>
  <c r="AA12" i="9"/>
  <c r="H12" i="9"/>
  <c r="M15" i="9"/>
  <c r="F15" i="9"/>
  <c r="AA15" i="9"/>
  <c r="Z15" i="9"/>
  <c r="AB15" i="9"/>
  <c r="Q15" i="9"/>
  <c r="AI15" i="9"/>
  <c r="T15" i="9"/>
  <c r="N10" i="9"/>
  <c r="G15" i="9"/>
  <c r="E15" i="9"/>
  <c r="E26" i="9" s="1"/>
  <c r="AH15" i="9"/>
  <c r="R12" i="9"/>
  <c r="AD12" i="9"/>
  <c r="X10" i="9"/>
  <c r="Y10" i="9"/>
  <c r="V12" i="9"/>
  <c r="AB12" i="9"/>
  <c r="X12" i="9"/>
  <c r="Q12" i="9"/>
  <c r="K14" i="9"/>
  <c r="Q10" i="9"/>
  <c r="T10" i="9"/>
  <c r="S12" i="9"/>
  <c r="K12" i="9"/>
  <c r="L12" i="9"/>
  <c r="G12" i="9"/>
  <c r="S10" i="9"/>
  <c r="R10" i="9"/>
  <c r="AJ12" i="9"/>
  <c r="W12" i="9"/>
  <c r="F12" i="9"/>
  <c r="AC12" i="9"/>
  <c r="E10" i="9"/>
  <c r="AE10" i="9"/>
  <c r="AA10" i="9"/>
  <c r="P10" i="9"/>
  <c r="N12" i="9"/>
  <c r="AI12" i="9"/>
  <c r="Z12" i="9"/>
  <c r="I14" i="9"/>
  <c r="AG14" i="9"/>
  <c r="H14" i="9"/>
  <c r="Y14" i="9"/>
  <c r="G11" i="9"/>
  <c r="P11" i="9"/>
  <c r="M11" i="9"/>
  <c r="AD11" i="9"/>
  <c r="AH10" i="9"/>
  <c r="AC10" i="9"/>
  <c r="L10" i="9"/>
  <c r="AD10" i="9"/>
  <c r="R14" i="9"/>
  <c r="AD14" i="9"/>
  <c r="X14" i="9"/>
  <c r="AE14" i="9"/>
  <c r="W14" i="9"/>
  <c r="AK14" i="9"/>
  <c r="F14" i="9"/>
  <c r="M14" i="9"/>
  <c r="K11" i="9"/>
  <c r="F11" i="9"/>
  <c r="AC11" i="9"/>
  <c r="J11" i="9"/>
  <c r="AE11" i="9"/>
  <c r="V10" i="9"/>
  <c r="J10" i="9"/>
  <c r="I10" i="9"/>
  <c r="AJ10" i="9"/>
  <c r="J14" i="9"/>
  <c r="AJ14" i="9"/>
  <c r="T14" i="9"/>
  <c r="V14" i="9"/>
  <c r="S14" i="9"/>
  <c r="U11" i="9"/>
  <c r="Y11" i="9"/>
  <c r="Q11" i="9"/>
  <c r="AI11" i="9"/>
  <c r="U14" i="9"/>
  <c r="L14" i="9"/>
  <c r="E14" i="9"/>
  <c r="E25" i="9" s="1"/>
  <c r="AC14" i="9"/>
  <c r="H11" i="9"/>
  <c r="AB11" i="9"/>
  <c r="E11" i="9"/>
  <c r="O11" i="9"/>
  <c r="K10" i="9"/>
  <c r="AF10" i="9"/>
  <c r="M10" i="9"/>
  <c r="AK10" i="9"/>
  <c r="P14" i="9"/>
  <c r="N14" i="9"/>
  <c r="AA14" i="9"/>
  <c r="AB14" i="9"/>
  <c r="T11" i="9"/>
  <c r="X11" i="9"/>
  <c r="AJ11" i="9"/>
  <c r="U10" i="9"/>
  <c r="H10" i="9"/>
  <c r="G10" i="9"/>
  <c r="F10" i="9"/>
  <c r="AH14" i="9"/>
  <c r="Q14" i="9"/>
  <c r="Z14" i="9"/>
  <c r="T149" i="11"/>
  <c r="Q149" i="11"/>
  <c r="N149" i="11"/>
  <c r="O149" i="11"/>
  <c r="X149" i="11"/>
  <c r="U149" i="11"/>
  <c r="R149" i="11"/>
  <c r="S149" i="11"/>
  <c r="L149" i="11"/>
  <c r="I149" i="11"/>
  <c r="F149" i="11"/>
  <c r="G149" i="11"/>
  <c r="P149" i="11"/>
  <c r="AG149" i="11"/>
  <c r="W149" i="11"/>
  <c r="AB149" i="11"/>
  <c r="AK149" i="11"/>
  <c r="AA149" i="11"/>
  <c r="M149" i="11"/>
  <c r="AD149" i="11"/>
  <c r="Y149" i="11"/>
  <c r="AH149" i="11"/>
  <c r="AF149" i="11"/>
  <c r="AE149" i="11"/>
  <c r="H149" i="11"/>
  <c r="AI149" i="11"/>
  <c r="AC149" i="11"/>
  <c r="V149" i="11"/>
  <c r="K149" i="11"/>
  <c r="AJ149" i="11"/>
  <c r="J149" i="11"/>
  <c r="E149" i="11"/>
  <c r="Z149" i="11"/>
  <c r="H124" i="12"/>
  <c r="Q124" i="12"/>
  <c r="M124" i="12"/>
  <c r="G124" i="12"/>
  <c r="S124" i="12"/>
  <c r="R124" i="12"/>
  <c r="W124" i="12"/>
  <c r="AK124" i="12"/>
  <c r="Z124" i="12"/>
  <c r="K124" i="12"/>
  <c r="Y124" i="12"/>
  <c r="U124" i="12"/>
  <c r="AG124" i="12"/>
  <c r="P124" i="12"/>
  <c r="AH124" i="12"/>
  <c r="AD124" i="12"/>
  <c r="F124" i="12"/>
  <c r="X124" i="12"/>
  <c r="O124" i="12"/>
  <c r="I124" i="12"/>
  <c r="AA124" i="12"/>
  <c r="AI124" i="12"/>
  <c r="AC124" i="12"/>
  <c r="E124" i="12"/>
  <c r="AJ124" i="12"/>
  <c r="AF124" i="12"/>
  <c r="AB124" i="12"/>
  <c r="J124" i="12"/>
  <c r="L124" i="12"/>
  <c r="AE124" i="12"/>
  <c r="V124" i="12"/>
  <c r="N124" i="12"/>
  <c r="T124" i="12"/>
  <c r="AJ179" i="14"/>
  <c r="AG179" i="14"/>
  <c r="AD179" i="14"/>
  <c r="AE179" i="14"/>
  <c r="H179" i="14"/>
  <c r="E179" i="14"/>
  <c r="AK179" i="14"/>
  <c r="AH179" i="14"/>
  <c r="AI179" i="14"/>
  <c r="L179" i="14"/>
  <c r="I179" i="14"/>
  <c r="F179" i="14"/>
  <c r="G179" i="14"/>
  <c r="AB179" i="14"/>
  <c r="Y179" i="14"/>
  <c r="V179" i="14"/>
  <c r="W179" i="14"/>
  <c r="P179" i="14"/>
  <c r="J179" i="14"/>
  <c r="T179" i="14"/>
  <c r="N179" i="14"/>
  <c r="X179" i="14"/>
  <c r="R179" i="14"/>
  <c r="U179" i="14"/>
  <c r="S179" i="14"/>
  <c r="Z179" i="14"/>
  <c r="M179" i="14"/>
  <c r="Q179" i="14"/>
  <c r="AA179" i="14"/>
  <c r="AF179" i="14"/>
  <c r="AC179" i="14"/>
  <c r="O179" i="14"/>
  <c r="K179" i="14"/>
  <c r="P173" i="16"/>
  <c r="M173" i="16"/>
  <c r="J173" i="16"/>
  <c r="K173" i="16"/>
  <c r="E173" i="16"/>
  <c r="F173" i="16"/>
  <c r="O173" i="16"/>
  <c r="H173" i="16"/>
  <c r="I173" i="16"/>
  <c r="N173" i="16"/>
  <c r="S173" i="16"/>
  <c r="L173" i="16"/>
  <c r="Q173" i="16"/>
  <c r="R173" i="16"/>
  <c r="W173" i="16"/>
  <c r="AF173" i="16"/>
  <c r="AG173" i="16"/>
  <c r="AH173" i="16"/>
  <c r="T173" i="16"/>
  <c r="V173" i="16"/>
  <c r="X173" i="16"/>
  <c r="Z173" i="16"/>
  <c r="AB173" i="16"/>
  <c r="AD173" i="16"/>
  <c r="AC173" i="16"/>
  <c r="AI173" i="16"/>
  <c r="AK173" i="16"/>
  <c r="G173" i="16"/>
  <c r="AA173" i="16"/>
  <c r="AJ173" i="16"/>
  <c r="U173" i="16"/>
  <c r="Y173" i="16"/>
  <c r="AE173" i="16"/>
  <c r="E131" i="12" a="1"/>
  <c r="E98" i="13" a="1"/>
  <c r="E150" i="14" a="1"/>
  <c r="E74" i="14" a="1"/>
  <c r="E96" i="16" a="1"/>
  <c r="E95" i="17" a="1"/>
  <c r="H136" i="12"/>
  <c r="I136" i="12"/>
  <c r="R136" i="12"/>
  <c r="S136" i="12"/>
  <c r="AG136" i="12"/>
  <c r="AB136" i="12"/>
  <c r="J136" i="12"/>
  <c r="O136" i="12"/>
  <c r="AF136" i="12"/>
  <c r="N136" i="12"/>
  <c r="W136" i="12"/>
  <c r="T136" i="12"/>
  <c r="AK136" i="12"/>
  <c r="G136" i="12"/>
  <c r="Q136" i="12"/>
  <c r="F136" i="12"/>
  <c r="AI136" i="12"/>
  <c r="L136" i="12"/>
  <c r="V136" i="12"/>
  <c r="E136" i="12"/>
  <c r="M136" i="12"/>
  <c r="K136" i="12"/>
  <c r="U136" i="12"/>
  <c r="AA136" i="12"/>
  <c r="Z136" i="12"/>
  <c r="AC136" i="12"/>
  <c r="AE136" i="12"/>
  <c r="P136" i="12"/>
  <c r="AJ136" i="12"/>
  <c r="AH136" i="12"/>
  <c r="X136" i="12"/>
  <c r="AD136" i="12"/>
  <c r="Y136" i="12"/>
  <c r="H142" i="12"/>
  <c r="AG142" i="12"/>
  <c r="AC142" i="12"/>
  <c r="V142" i="12"/>
  <c r="AH142" i="12"/>
  <c r="AJ142" i="12"/>
  <c r="K142" i="12"/>
  <c r="I142" i="12"/>
  <c r="E142" i="12"/>
  <c r="O142" i="12"/>
  <c r="J142" i="12"/>
  <c r="AB142" i="12"/>
  <c r="X142" i="12"/>
  <c r="AE142" i="12"/>
  <c r="Z142" i="12"/>
  <c r="F142" i="12"/>
  <c r="AK142" i="12"/>
  <c r="Q142" i="12"/>
  <c r="G142" i="12"/>
  <c r="N142" i="12"/>
  <c r="Y142" i="12"/>
  <c r="M142" i="12"/>
  <c r="R142" i="12"/>
  <c r="P142" i="12"/>
  <c r="U142" i="12"/>
  <c r="L142" i="12"/>
  <c r="AF142" i="12"/>
  <c r="S142" i="12"/>
  <c r="AD142" i="12"/>
  <c r="AA142" i="12"/>
  <c r="W142" i="12"/>
  <c r="AI142" i="12"/>
  <c r="T142" i="12"/>
  <c r="H179" i="15"/>
  <c r="AC179" i="15"/>
  <c r="R179" i="15"/>
  <c r="G179" i="15"/>
  <c r="S179" i="15"/>
  <c r="P179" i="15"/>
  <c r="M179" i="15"/>
  <c r="F179" i="15"/>
  <c r="AH179" i="15"/>
  <c r="Q179" i="15"/>
  <c r="AF179" i="15"/>
  <c r="Y179" i="15"/>
  <c r="AK179" i="15"/>
  <c r="AJ179" i="15"/>
  <c r="T179" i="15"/>
  <c r="L179" i="15"/>
  <c r="X179" i="15"/>
  <c r="O179" i="15"/>
  <c r="U179" i="15"/>
  <c r="AG179" i="15"/>
  <c r="E179" i="15"/>
  <c r="AD179" i="15"/>
  <c r="J179" i="15"/>
  <c r="Z179" i="15"/>
  <c r="AB179" i="15"/>
  <c r="W179" i="15"/>
  <c r="K179" i="15"/>
  <c r="V179" i="15"/>
  <c r="AI179" i="15"/>
  <c r="AE179" i="15"/>
  <c r="AA179" i="15"/>
  <c r="I179" i="15"/>
  <c r="N179" i="15"/>
  <c r="E69" i="11" a="1"/>
  <c r="E168" i="12" a="1"/>
  <c r="E71" i="13" a="1"/>
  <c r="E156" i="14" a="1"/>
  <c r="E162" i="16" a="1"/>
  <c r="E180" i="17" a="1"/>
  <c r="L173" i="12"/>
  <c r="I173" i="12"/>
  <c r="F173" i="12"/>
  <c r="G173" i="12"/>
  <c r="X173" i="12"/>
  <c r="Y173" i="12"/>
  <c r="Z173" i="12"/>
  <c r="AE173" i="12"/>
  <c r="AB173" i="12"/>
  <c r="AC173" i="12"/>
  <c r="AD173" i="12"/>
  <c r="AI173" i="12"/>
  <c r="P173" i="12"/>
  <c r="Q173" i="12"/>
  <c r="R173" i="12"/>
  <c r="W173" i="12"/>
  <c r="T173" i="12"/>
  <c r="J173" i="12"/>
  <c r="AF173" i="12"/>
  <c r="N173" i="12"/>
  <c r="U173" i="12"/>
  <c r="O173" i="12"/>
  <c r="AG173" i="12"/>
  <c r="S173" i="12"/>
  <c r="K173" i="12"/>
  <c r="V173" i="12"/>
  <c r="E173" i="12"/>
  <c r="AH173" i="12"/>
  <c r="H173" i="12"/>
  <c r="AK173" i="12"/>
  <c r="AJ173" i="12"/>
  <c r="M173" i="12"/>
  <c r="AA173" i="12"/>
  <c r="AF185" i="13"/>
  <c r="AC185" i="13"/>
  <c r="Z185" i="13"/>
  <c r="AA185" i="13"/>
  <c r="H185" i="13"/>
  <c r="I185" i="13"/>
  <c r="J185" i="13"/>
  <c r="O185" i="13"/>
  <c r="L185" i="13"/>
  <c r="M185" i="13"/>
  <c r="N185" i="13"/>
  <c r="S185" i="13"/>
  <c r="P185" i="13"/>
  <c r="Q185" i="13"/>
  <c r="R185" i="13"/>
  <c r="W185" i="13"/>
  <c r="AJ185" i="13"/>
  <c r="AK185" i="13"/>
  <c r="G185" i="13"/>
  <c r="AB185" i="13"/>
  <c r="AH185" i="13"/>
  <c r="E185" i="13"/>
  <c r="K185" i="13"/>
  <c r="F185" i="13"/>
  <c r="T185" i="13"/>
  <c r="V185" i="13"/>
  <c r="AG185" i="13"/>
  <c r="AD185" i="13"/>
  <c r="U185" i="13"/>
  <c r="X185" i="13"/>
  <c r="AE185" i="13"/>
  <c r="Y185" i="13"/>
  <c r="AI185" i="13"/>
  <c r="H136" i="16"/>
  <c r="E136" i="16"/>
  <c r="AK136" i="16"/>
  <c r="AH136" i="16"/>
  <c r="AI136" i="16"/>
  <c r="I136" i="16"/>
  <c r="J136" i="16"/>
  <c r="O136" i="16"/>
  <c r="L136" i="16"/>
  <c r="M136" i="16"/>
  <c r="N136" i="16"/>
  <c r="S136" i="16"/>
  <c r="P136" i="16"/>
  <c r="Q136" i="16"/>
  <c r="R136" i="16"/>
  <c r="W136" i="16"/>
  <c r="AF136" i="16"/>
  <c r="AG136" i="16"/>
  <c r="G136" i="16"/>
  <c r="U136" i="16"/>
  <c r="AA136" i="16"/>
  <c r="Y136" i="16"/>
  <c r="AE136" i="16"/>
  <c r="AC136" i="16"/>
  <c r="AB136" i="16"/>
  <c r="AD136" i="16"/>
  <c r="K136" i="16"/>
  <c r="V136" i="16"/>
  <c r="Z136" i="16"/>
  <c r="X136" i="16"/>
  <c r="AJ136" i="16"/>
  <c r="F136" i="16"/>
  <c r="T136" i="16"/>
  <c r="E98" i="12" a="1"/>
  <c r="E70" i="11" a="1"/>
  <c r="E70" i="13" a="1"/>
  <c r="E180" i="13" a="1"/>
  <c r="E97" i="15" a="1"/>
  <c r="E107" i="15" a="1"/>
  <c r="E68" i="16" a="1"/>
  <c r="E101" i="16" a="1"/>
  <c r="H106" i="13"/>
  <c r="E106" i="13"/>
  <c r="AK106" i="13"/>
  <c r="AH106" i="13"/>
  <c r="AI106" i="13"/>
  <c r="T106" i="13"/>
  <c r="U106" i="13"/>
  <c r="V106" i="13"/>
  <c r="AA106" i="13"/>
  <c r="X106" i="13"/>
  <c r="Y106" i="13"/>
  <c r="Z106" i="13"/>
  <c r="AE106" i="13"/>
  <c r="L106" i="13"/>
  <c r="M106" i="13"/>
  <c r="N106" i="13"/>
  <c r="S106" i="13"/>
  <c r="AC106" i="13"/>
  <c r="O106" i="13"/>
  <c r="AG106" i="13"/>
  <c r="W106" i="13"/>
  <c r="AJ106" i="13"/>
  <c r="AD106" i="13"/>
  <c r="I106" i="13"/>
  <c r="G106" i="13"/>
  <c r="AF106" i="13"/>
  <c r="Q106" i="13"/>
  <c r="P106" i="13"/>
  <c r="R106" i="13"/>
  <c r="AB106" i="13"/>
  <c r="F106" i="13"/>
  <c r="K106" i="13"/>
  <c r="J106" i="13"/>
  <c r="X142" i="14"/>
  <c r="U142" i="14"/>
  <c r="R142" i="14"/>
  <c r="S142" i="14"/>
  <c r="L142" i="14"/>
  <c r="I142" i="14"/>
  <c r="F142" i="14"/>
  <c r="G142" i="14"/>
  <c r="AB142" i="14"/>
  <c r="AG142" i="14"/>
  <c r="K142" i="14"/>
  <c r="AF142" i="14"/>
  <c r="AK142" i="14"/>
  <c r="O142" i="14"/>
  <c r="AJ142" i="14"/>
  <c r="J142" i="14"/>
  <c r="W142" i="14"/>
  <c r="P142" i="14"/>
  <c r="Y142" i="14"/>
  <c r="AD142" i="14"/>
  <c r="N142" i="14"/>
  <c r="Q142" i="14"/>
  <c r="AC142" i="14"/>
  <c r="T142" i="14"/>
  <c r="AA142" i="14"/>
  <c r="E142" i="14"/>
  <c r="AE142" i="14"/>
  <c r="M142" i="14"/>
  <c r="V142" i="14"/>
  <c r="AI142" i="14"/>
  <c r="H142" i="14"/>
  <c r="AH142" i="14"/>
  <c r="Z142" i="14"/>
  <c r="AJ167" i="16"/>
  <c r="AC167" i="16"/>
  <c r="O167" i="16"/>
  <c r="Z167" i="16"/>
  <c r="L167" i="16"/>
  <c r="I167" i="16"/>
  <c r="V167" i="16"/>
  <c r="AI167" i="16"/>
  <c r="P167" i="16"/>
  <c r="M167" i="16"/>
  <c r="AD167" i="16"/>
  <c r="J167" i="16"/>
  <c r="T167" i="16"/>
  <c r="Q167" i="16"/>
  <c r="G167" i="16"/>
  <c r="R167" i="16"/>
  <c r="N167" i="16"/>
  <c r="AK167" i="16"/>
  <c r="AA167" i="16"/>
  <c r="X167" i="16"/>
  <c r="K167" i="16"/>
  <c r="AB167" i="16"/>
  <c r="S167" i="16"/>
  <c r="AF167" i="16"/>
  <c r="W167" i="16"/>
  <c r="AG167" i="16"/>
  <c r="F167" i="16"/>
  <c r="AH167" i="16"/>
  <c r="U167" i="16"/>
  <c r="Y167" i="16"/>
  <c r="AE167" i="16"/>
  <c r="H167" i="16"/>
  <c r="E167" i="16"/>
  <c r="E99" i="12" a="1"/>
  <c r="E74" i="13" a="1"/>
  <c r="E143" i="13" a="1"/>
  <c r="E101" i="14" a="1"/>
  <c r="E72" i="15" a="1"/>
  <c r="E100" i="16" a="1"/>
  <c r="L142" i="13"/>
  <c r="I142" i="13"/>
  <c r="K142" i="13"/>
  <c r="AH142" i="13"/>
  <c r="P142" i="13"/>
  <c r="Q142" i="13"/>
  <c r="N142" i="13"/>
  <c r="W142" i="13"/>
  <c r="T142" i="13"/>
  <c r="U142" i="13"/>
  <c r="R142" i="13"/>
  <c r="AA142" i="13"/>
  <c r="X142" i="13"/>
  <c r="Y142" i="13"/>
  <c r="V142" i="13"/>
  <c r="AE142" i="13"/>
  <c r="E142" i="13"/>
  <c r="F142" i="13"/>
  <c r="O142" i="13"/>
  <c r="AK142" i="13"/>
  <c r="H142" i="13"/>
  <c r="J142" i="13"/>
  <c r="M142" i="13"/>
  <c r="S142" i="13"/>
  <c r="AC142" i="13"/>
  <c r="AI142" i="13"/>
  <c r="G142" i="13"/>
  <c r="AJ142" i="13"/>
  <c r="Z142" i="13"/>
  <c r="AG142" i="13"/>
  <c r="AD142" i="13"/>
  <c r="AB142" i="13"/>
  <c r="AF142" i="13"/>
  <c r="AF167" i="12"/>
  <c r="AC167" i="12"/>
  <c r="Z167" i="12"/>
  <c r="AA167" i="12"/>
  <c r="AB167" i="12"/>
  <c r="AG167" i="12"/>
  <c r="AH167" i="12"/>
  <c r="AJ167" i="12"/>
  <c r="AK167" i="12"/>
  <c r="G167" i="12"/>
  <c r="T167" i="12"/>
  <c r="U167" i="12"/>
  <c r="V167" i="12"/>
  <c r="AE167" i="12"/>
  <c r="Q167" i="12"/>
  <c r="O167" i="12"/>
  <c r="H167" i="12"/>
  <c r="Y167" i="12"/>
  <c r="S167" i="12"/>
  <c r="E167" i="12"/>
  <c r="R167" i="12"/>
  <c r="I167" i="12"/>
  <c r="AD167" i="12"/>
  <c r="N167" i="12"/>
  <c r="F167" i="12"/>
  <c r="M167" i="12"/>
  <c r="W167" i="12"/>
  <c r="L167" i="12"/>
  <c r="P167" i="12"/>
  <c r="K167" i="12"/>
  <c r="AI167" i="12"/>
  <c r="X167" i="12"/>
  <c r="J167" i="12"/>
  <c r="AB149" i="12"/>
  <c r="Y149" i="12"/>
  <c r="V149" i="12"/>
  <c r="W149" i="12"/>
  <c r="L149" i="12"/>
  <c r="M149" i="12"/>
  <c r="N149" i="12"/>
  <c r="S149" i="12"/>
  <c r="P149" i="12"/>
  <c r="Q149" i="12"/>
  <c r="R149" i="12"/>
  <c r="AA149" i="12"/>
  <c r="E149" i="12"/>
  <c r="F149" i="12"/>
  <c r="K149" i="12"/>
  <c r="I149" i="12"/>
  <c r="AH149" i="12"/>
  <c r="U149" i="12"/>
  <c r="G149" i="12"/>
  <c r="X149" i="12"/>
  <c r="J149" i="12"/>
  <c r="AF149" i="12"/>
  <c r="Z149" i="12"/>
  <c r="O149" i="12"/>
  <c r="AG149" i="12"/>
  <c r="AE149" i="12"/>
  <c r="T149" i="12"/>
  <c r="AC149" i="12"/>
  <c r="AK149" i="12"/>
  <c r="AI149" i="12"/>
  <c r="H149" i="12"/>
  <c r="AJ149" i="12"/>
  <c r="AD149" i="12"/>
  <c r="L167" i="14"/>
  <c r="N167" i="14"/>
  <c r="Y167" i="14"/>
  <c r="G167" i="14"/>
  <c r="P167" i="14"/>
  <c r="V167" i="14"/>
  <c r="AC167" i="14"/>
  <c r="K167" i="14"/>
  <c r="AJ167" i="14"/>
  <c r="Q167" i="14"/>
  <c r="Z167" i="14"/>
  <c r="AE167" i="14"/>
  <c r="T167" i="14"/>
  <c r="M167" i="14"/>
  <c r="S167" i="14"/>
  <c r="X167" i="14"/>
  <c r="U167" i="14"/>
  <c r="W167" i="14"/>
  <c r="AB167" i="14"/>
  <c r="AG167" i="14"/>
  <c r="AA167" i="14"/>
  <c r="E167" i="14"/>
  <c r="AH167" i="14"/>
  <c r="AF167" i="14"/>
  <c r="AI167" i="14"/>
  <c r="H167" i="14"/>
  <c r="F167" i="14"/>
  <c r="J167" i="14"/>
  <c r="R167" i="14"/>
  <c r="AD167" i="14"/>
  <c r="O167" i="14"/>
  <c r="I167" i="14"/>
  <c r="AK167" i="14"/>
  <c r="H185" i="12"/>
  <c r="Z185" i="12"/>
  <c r="M185" i="12"/>
  <c r="AB185" i="12"/>
  <c r="E185" i="12"/>
  <c r="AE185" i="12"/>
  <c r="N185" i="12"/>
  <c r="V185" i="12"/>
  <c r="R185" i="12"/>
  <c r="AA185" i="12"/>
  <c r="Q185" i="12"/>
  <c r="F185" i="12"/>
  <c r="AK185" i="12"/>
  <c r="AF185" i="12"/>
  <c r="W185" i="12"/>
  <c r="S185" i="12"/>
  <c r="J185" i="12"/>
  <c r="U185" i="12"/>
  <c r="AG185" i="12"/>
  <c r="P185" i="12"/>
  <c r="X185" i="12"/>
  <c r="O185" i="12"/>
  <c r="L185" i="12"/>
  <c r="T185" i="12"/>
  <c r="AI185" i="12"/>
  <c r="AJ185" i="12"/>
  <c r="AC185" i="12"/>
  <c r="G185" i="12"/>
  <c r="I185" i="12"/>
  <c r="Y185" i="12"/>
  <c r="AD185" i="12"/>
  <c r="K185" i="12"/>
  <c r="AH185" i="12"/>
  <c r="AB167" i="13"/>
  <c r="Y167" i="13"/>
  <c r="V167" i="13"/>
  <c r="W167" i="13"/>
  <c r="X167" i="13"/>
  <c r="AC167" i="13"/>
  <c r="AD167" i="13"/>
  <c r="AI167" i="13"/>
  <c r="AF167" i="13"/>
  <c r="AG167" i="13"/>
  <c r="AH167" i="13"/>
  <c r="AJ167" i="13"/>
  <c r="AK167" i="13"/>
  <c r="G167" i="13"/>
  <c r="P167" i="13"/>
  <c r="Q167" i="13"/>
  <c r="R167" i="13"/>
  <c r="AA167" i="13"/>
  <c r="M167" i="13"/>
  <c r="S167" i="13"/>
  <c r="U167" i="13"/>
  <c r="AE167" i="13"/>
  <c r="T167" i="13"/>
  <c r="Z167" i="13"/>
  <c r="E167" i="13"/>
  <c r="K167" i="13"/>
  <c r="N167" i="13"/>
  <c r="O167" i="13"/>
  <c r="L167" i="13"/>
  <c r="F167" i="13"/>
  <c r="I167" i="13"/>
  <c r="J167" i="13"/>
  <c r="H167" i="13"/>
  <c r="L149" i="14"/>
  <c r="I149" i="14"/>
  <c r="F149" i="14"/>
  <c r="G149" i="14"/>
  <c r="AF149" i="14"/>
  <c r="AC149" i="14"/>
  <c r="Z149" i="14"/>
  <c r="AA149" i="14"/>
  <c r="M149" i="14"/>
  <c r="R149" i="14"/>
  <c r="AE149" i="14"/>
  <c r="H149" i="14"/>
  <c r="Q149" i="14"/>
  <c r="V149" i="14"/>
  <c r="AI149" i="14"/>
  <c r="P149" i="14"/>
  <c r="U149" i="14"/>
  <c r="AD149" i="14"/>
  <c r="AJ149" i="14"/>
  <c r="J149" i="14"/>
  <c r="S149" i="14"/>
  <c r="Y149" i="14"/>
  <c r="T149" i="14"/>
  <c r="K149" i="14"/>
  <c r="X149" i="14"/>
  <c r="O149" i="14"/>
  <c r="AK149" i="14"/>
  <c r="N149" i="14"/>
  <c r="AB149" i="14"/>
  <c r="AH149" i="14"/>
  <c r="W149" i="14"/>
  <c r="E149" i="14"/>
  <c r="AG149" i="14"/>
  <c r="H167" i="15"/>
  <c r="AA167" i="15"/>
  <c r="K167" i="15"/>
  <c r="M167" i="15"/>
  <c r="U167" i="15"/>
  <c r="F167" i="15"/>
  <c r="Y167" i="15"/>
  <c r="Z167" i="15"/>
  <c r="E167" i="15"/>
  <c r="I167" i="15"/>
  <c r="V167" i="15"/>
  <c r="AF167" i="15"/>
  <c r="J167" i="15"/>
  <c r="Q167" i="15"/>
  <c r="AH167" i="15"/>
  <c r="R167" i="15"/>
  <c r="G167" i="15"/>
  <c r="AB167" i="15"/>
  <c r="P167" i="15"/>
  <c r="S167" i="15"/>
  <c r="N167" i="15"/>
  <c r="AG167" i="15"/>
  <c r="W167" i="15"/>
  <c r="AD167" i="15"/>
  <c r="O167" i="15"/>
  <c r="T167" i="15"/>
  <c r="AJ167" i="15"/>
  <c r="L167" i="15"/>
  <c r="X167" i="15"/>
  <c r="AI167" i="15"/>
  <c r="AE167" i="15"/>
  <c r="AK167" i="15"/>
  <c r="AC167" i="15"/>
  <c r="H142" i="15"/>
  <c r="AC142" i="15"/>
  <c r="M142" i="15"/>
  <c r="G142" i="15"/>
  <c r="O142" i="15"/>
  <c r="AJ142" i="15"/>
  <c r="T142" i="15"/>
  <c r="N142" i="15"/>
  <c r="Z142" i="15"/>
  <c r="AI142" i="15"/>
  <c r="S142" i="15"/>
  <c r="Y142" i="15"/>
  <c r="AG142" i="15"/>
  <c r="V142" i="15"/>
  <c r="AA142" i="15"/>
  <c r="F142" i="15"/>
  <c r="AD142" i="15"/>
  <c r="AK142" i="15"/>
  <c r="Q142" i="15"/>
  <c r="E142" i="15"/>
  <c r="J142" i="15"/>
  <c r="L142" i="15"/>
  <c r="X142" i="15"/>
  <c r="AB142" i="15"/>
  <c r="P142" i="15"/>
  <c r="K142" i="15"/>
  <c r="W142" i="15"/>
  <c r="I142" i="15"/>
  <c r="U142" i="15"/>
  <c r="AH142" i="15"/>
  <c r="R142" i="15"/>
  <c r="AF142" i="15"/>
  <c r="AE142" i="15"/>
  <c r="P124" i="16"/>
  <c r="M124" i="16"/>
  <c r="J124" i="16"/>
  <c r="K124" i="16"/>
  <c r="T124" i="16"/>
  <c r="U124" i="16"/>
  <c r="V124" i="16"/>
  <c r="AA124" i="16"/>
  <c r="X124" i="16"/>
  <c r="Y124" i="16"/>
  <c r="Z124" i="16"/>
  <c r="AE124" i="16"/>
  <c r="AB124" i="16"/>
  <c r="AC124" i="16"/>
  <c r="AD124" i="16"/>
  <c r="AI124" i="16"/>
  <c r="H124" i="16"/>
  <c r="I124" i="16"/>
  <c r="N124" i="16"/>
  <c r="S124" i="16"/>
  <c r="AG124" i="16"/>
  <c r="AK124" i="16"/>
  <c r="F124" i="16"/>
  <c r="E124" i="16"/>
  <c r="O124" i="16"/>
  <c r="W124" i="16"/>
  <c r="L124" i="16"/>
  <c r="R124" i="16"/>
  <c r="AH124" i="16"/>
  <c r="G124" i="16"/>
  <c r="AJ124" i="16"/>
  <c r="AF124" i="16"/>
  <c r="Q124" i="16"/>
  <c r="L130" i="17"/>
  <c r="I130" i="17"/>
  <c r="F130" i="17"/>
  <c r="G130" i="17"/>
  <c r="AF130" i="17"/>
  <c r="AG130" i="17"/>
  <c r="AH130" i="17"/>
  <c r="AJ130" i="17"/>
  <c r="AK130" i="17"/>
  <c r="K130" i="17"/>
  <c r="E130" i="17"/>
  <c r="J130" i="17"/>
  <c r="O130" i="17"/>
  <c r="X130" i="17"/>
  <c r="Y130" i="17"/>
  <c r="Z130" i="17"/>
  <c r="AE130" i="17"/>
  <c r="T130" i="17"/>
  <c r="V130" i="17"/>
  <c r="AB130" i="17"/>
  <c r="AD130" i="17"/>
  <c r="M130" i="17"/>
  <c r="S130" i="17"/>
  <c r="H130" i="17"/>
  <c r="N130" i="17"/>
  <c r="U130" i="17"/>
  <c r="AC130" i="17"/>
  <c r="R130" i="17"/>
  <c r="P130" i="17"/>
  <c r="AI130" i="17"/>
  <c r="W130" i="17"/>
  <c r="AA130" i="17"/>
  <c r="Q130" i="17"/>
  <c r="AF124" i="17"/>
  <c r="AC124" i="17"/>
  <c r="Z124" i="17"/>
  <c r="AA124" i="17"/>
  <c r="E124" i="17"/>
  <c r="F124" i="17"/>
  <c r="K124" i="17"/>
  <c r="H124" i="17"/>
  <c r="I124" i="17"/>
  <c r="J124" i="17"/>
  <c r="O124" i="17"/>
  <c r="L124" i="17"/>
  <c r="M124" i="17"/>
  <c r="N124" i="17"/>
  <c r="S124" i="17"/>
  <c r="AB124" i="17"/>
  <c r="AG124" i="17"/>
  <c r="AH124" i="17"/>
  <c r="X124" i="17"/>
  <c r="AD124" i="17"/>
  <c r="AJ124" i="17"/>
  <c r="G124" i="17"/>
  <c r="Q124" i="17"/>
  <c r="W124" i="17"/>
  <c r="P124" i="17"/>
  <c r="R124" i="17"/>
  <c r="Y124" i="17"/>
  <c r="V124" i="17"/>
  <c r="AE124" i="17"/>
  <c r="T124" i="17"/>
  <c r="U124" i="17"/>
  <c r="AK124" i="17"/>
  <c r="AI124" i="17"/>
  <c r="E174" i="12" a="1"/>
  <c r="E113" i="11" a="1"/>
  <c r="E131" i="11" a="1"/>
  <c r="E125" i="11" a="1"/>
  <c r="E98" i="11" a="1"/>
  <c r="E162" i="14" a="1"/>
  <c r="E143" i="12" a="1"/>
  <c r="E100" i="13" a="1"/>
  <c r="E156" i="12" a="1"/>
  <c r="E95" i="13" a="1"/>
  <c r="E100" i="12" a="1"/>
  <c r="E97" i="13" a="1"/>
  <c r="E98" i="14" a="1"/>
  <c r="E99" i="13" a="1"/>
  <c r="E96" i="14" a="1"/>
  <c r="E68" i="15" a="1"/>
  <c r="E186" i="14" a="1"/>
  <c r="E69" i="16" a="1"/>
  <c r="E143" i="15" a="1"/>
  <c r="E72" i="16" a="1"/>
  <c r="E71" i="16" a="1"/>
  <c r="E143" i="16" a="1"/>
  <c r="E71" i="17" a="1"/>
  <c r="E96" i="17" a="1"/>
  <c r="E74" i="17" a="1"/>
  <c r="AJ136" i="11"/>
  <c r="AG136" i="11"/>
  <c r="AD136" i="11"/>
  <c r="AA136" i="11"/>
  <c r="E136" i="11"/>
  <c r="AK136" i="11"/>
  <c r="AH136" i="11"/>
  <c r="AE136" i="11"/>
  <c r="X136" i="11"/>
  <c r="Y136" i="11"/>
  <c r="V136" i="11"/>
  <c r="S136" i="11"/>
  <c r="Q136" i="11"/>
  <c r="AB136" i="11"/>
  <c r="U136" i="11"/>
  <c r="G136" i="11"/>
  <c r="AF136" i="11"/>
  <c r="N136" i="11"/>
  <c r="AI136" i="11"/>
  <c r="I136" i="11"/>
  <c r="R136" i="11"/>
  <c r="T136" i="11"/>
  <c r="AC136" i="11"/>
  <c r="Z136" i="11"/>
  <c r="L136" i="11"/>
  <c r="W136" i="11"/>
  <c r="M136" i="11"/>
  <c r="J136" i="11"/>
  <c r="F136" i="11"/>
  <c r="K136" i="11"/>
  <c r="H136" i="11"/>
  <c r="P136" i="11"/>
  <c r="O136" i="11"/>
  <c r="P173" i="14"/>
  <c r="M173" i="14"/>
  <c r="J173" i="14"/>
  <c r="K173" i="14"/>
  <c r="T173" i="14"/>
  <c r="Q173" i="14"/>
  <c r="N173" i="14"/>
  <c r="O173" i="14"/>
  <c r="H173" i="14"/>
  <c r="E173" i="14"/>
  <c r="AK173" i="14"/>
  <c r="AH173" i="14"/>
  <c r="AI173" i="14"/>
  <c r="I173" i="14"/>
  <c r="Z173" i="14"/>
  <c r="U173" i="14"/>
  <c r="AD173" i="14"/>
  <c r="Y173" i="14"/>
  <c r="G173" i="14"/>
  <c r="AF173" i="14"/>
  <c r="R173" i="14"/>
  <c r="AE173" i="14"/>
  <c r="AC173" i="14"/>
  <c r="AB173" i="14"/>
  <c r="AJ173" i="14"/>
  <c r="S173" i="14"/>
  <c r="L173" i="14"/>
  <c r="W173" i="14"/>
  <c r="AA173" i="14"/>
  <c r="X173" i="14"/>
  <c r="F173" i="14"/>
  <c r="AG173" i="14"/>
  <c r="V173" i="14"/>
  <c r="L179" i="17"/>
  <c r="E179" i="17"/>
  <c r="AK179" i="17"/>
  <c r="W179" i="17"/>
  <c r="T179" i="17"/>
  <c r="Q179" i="17"/>
  <c r="G179" i="17"/>
  <c r="V179" i="17"/>
  <c r="X179" i="17"/>
  <c r="U179" i="17"/>
  <c r="K179" i="17"/>
  <c r="Z179" i="17"/>
  <c r="AB179" i="17"/>
  <c r="Y179" i="17"/>
  <c r="O179" i="17"/>
  <c r="AH179" i="17"/>
  <c r="H179" i="17"/>
  <c r="I179" i="17"/>
  <c r="R179" i="17"/>
  <c r="AI179" i="17"/>
  <c r="N179" i="17"/>
  <c r="AE179" i="17"/>
  <c r="M179" i="17"/>
  <c r="J179" i="17"/>
  <c r="AC179" i="17"/>
  <c r="AF179" i="17"/>
  <c r="S179" i="17"/>
  <c r="P179" i="17"/>
  <c r="AJ179" i="17"/>
  <c r="AA179" i="17"/>
  <c r="AD179" i="17"/>
  <c r="F179" i="17"/>
  <c r="AG179" i="17"/>
  <c r="E162" i="12" a="1"/>
  <c r="E137" i="12" a="1"/>
  <c r="E180" i="12" a="1"/>
  <c r="E70" i="16" a="1"/>
  <c r="E73" i="16" a="1"/>
  <c r="E168" i="17" a="1"/>
  <c r="P124" i="15"/>
  <c r="M124" i="15"/>
  <c r="J124" i="15"/>
  <c r="K124" i="15"/>
  <c r="T124" i="15"/>
  <c r="Q124" i="15"/>
  <c r="N124" i="15"/>
  <c r="O124" i="15"/>
  <c r="X124" i="15"/>
  <c r="U124" i="15"/>
  <c r="R124" i="15"/>
  <c r="S124" i="15"/>
  <c r="H124" i="15"/>
  <c r="E124" i="15"/>
  <c r="AK124" i="15"/>
  <c r="AH124" i="15"/>
  <c r="AI124" i="15"/>
  <c r="AB124" i="15"/>
  <c r="V124" i="15"/>
  <c r="AF124" i="15"/>
  <c r="Z124" i="15"/>
  <c r="AJ124" i="15"/>
  <c r="AD124" i="15"/>
  <c r="AG124" i="15"/>
  <c r="AE124" i="15"/>
  <c r="G124" i="15"/>
  <c r="F124" i="15"/>
  <c r="W124" i="15"/>
  <c r="I124" i="15"/>
  <c r="Y124" i="15"/>
  <c r="AC124" i="15"/>
  <c r="AA124" i="15"/>
  <c r="L124" i="15"/>
  <c r="L106" i="15"/>
  <c r="I106" i="15"/>
  <c r="F106" i="15"/>
  <c r="G106" i="15"/>
  <c r="P106" i="15"/>
  <c r="M106" i="15"/>
  <c r="J106" i="15"/>
  <c r="K106" i="15"/>
  <c r="T106" i="15"/>
  <c r="Q106" i="15"/>
  <c r="N106" i="15"/>
  <c r="O106" i="15"/>
  <c r="AJ106" i="15"/>
  <c r="AG106" i="15"/>
  <c r="AD106" i="15"/>
  <c r="AE106" i="15"/>
  <c r="U106" i="15"/>
  <c r="S106" i="15"/>
  <c r="Y106" i="15"/>
  <c r="W106" i="15"/>
  <c r="AC106" i="15"/>
  <c r="AA106" i="15"/>
  <c r="AF106" i="15"/>
  <c r="Z106" i="15"/>
  <c r="AK106" i="15"/>
  <c r="AH106" i="15"/>
  <c r="AI106" i="15"/>
  <c r="E106" i="15"/>
  <c r="R106" i="15"/>
  <c r="V106" i="15"/>
  <c r="X106" i="15"/>
  <c r="H106" i="15"/>
  <c r="AB106" i="15"/>
  <c r="P136" i="17"/>
  <c r="AE136" i="17"/>
  <c r="AG136" i="17"/>
  <c r="N136" i="17"/>
  <c r="T136" i="17"/>
  <c r="I136" i="17"/>
  <c r="S136" i="17"/>
  <c r="AD136" i="17"/>
  <c r="X136" i="17"/>
  <c r="M136" i="17"/>
  <c r="AA136" i="17"/>
  <c r="AH136" i="17"/>
  <c r="AB136" i="17"/>
  <c r="Q136" i="17"/>
  <c r="AI136" i="17"/>
  <c r="G136" i="17"/>
  <c r="H136" i="17"/>
  <c r="W136" i="17"/>
  <c r="AK136" i="17"/>
  <c r="V136" i="17"/>
  <c r="AC136" i="17"/>
  <c r="L136" i="17"/>
  <c r="O136" i="17"/>
  <c r="AF136" i="17"/>
  <c r="F136" i="17"/>
  <c r="U136" i="17"/>
  <c r="K136" i="17"/>
  <c r="AJ136" i="17"/>
  <c r="E136" i="17"/>
  <c r="Z136" i="17"/>
  <c r="R136" i="17"/>
  <c r="J136" i="17"/>
  <c r="Y136" i="17"/>
  <c r="E186" i="12" a="1"/>
  <c r="E72" i="14" a="1"/>
  <c r="E71" i="15" a="1"/>
  <c r="E174" i="14" a="1"/>
  <c r="E168" i="16" a="1"/>
  <c r="E70" i="17" a="1"/>
  <c r="AB130" i="11"/>
  <c r="Y130" i="11"/>
  <c r="V130" i="11"/>
  <c r="W130" i="11"/>
  <c r="P130" i="11"/>
  <c r="M130" i="11"/>
  <c r="J130" i="11"/>
  <c r="K130" i="11"/>
  <c r="L130" i="11"/>
  <c r="U130" i="11"/>
  <c r="AD130" i="11"/>
  <c r="T130" i="11"/>
  <c r="AC130" i="11"/>
  <c r="AH130" i="11"/>
  <c r="E130" i="11"/>
  <c r="N130" i="11"/>
  <c r="AA130" i="11"/>
  <c r="I130" i="11"/>
  <c r="R130" i="11"/>
  <c r="AE130" i="11"/>
  <c r="X130" i="11"/>
  <c r="G130" i="11"/>
  <c r="AG130" i="11"/>
  <c r="Z130" i="11"/>
  <c r="AF130" i="11"/>
  <c r="S130" i="11"/>
  <c r="O130" i="11"/>
  <c r="AI130" i="11"/>
  <c r="AJ130" i="11"/>
  <c r="AK130" i="11"/>
  <c r="Q130" i="11"/>
  <c r="F130" i="11"/>
  <c r="H130" i="11"/>
  <c r="L106" i="14"/>
  <c r="I106" i="14"/>
  <c r="F106" i="14"/>
  <c r="G106" i="14"/>
  <c r="AB106" i="14"/>
  <c r="AC106" i="14"/>
  <c r="AD106" i="14"/>
  <c r="AI106" i="14"/>
  <c r="AF106" i="14"/>
  <c r="AG106" i="14"/>
  <c r="AH106" i="14"/>
  <c r="AJ106" i="14"/>
  <c r="AK106" i="14"/>
  <c r="K106" i="14"/>
  <c r="T106" i="14"/>
  <c r="U106" i="14"/>
  <c r="V106" i="14"/>
  <c r="AA106" i="14"/>
  <c r="Y106" i="14"/>
  <c r="AE106" i="14"/>
  <c r="J106" i="14"/>
  <c r="E106" i="14"/>
  <c r="O106" i="14"/>
  <c r="M106" i="14"/>
  <c r="S106" i="14"/>
  <c r="Q106" i="14"/>
  <c r="N106" i="14"/>
  <c r="W106" i="14"/>
  <c r="P106" i="14"/>
  <c r="H106" i="14"/>
  <c r="R106" i="14"/>
  <c r="Z106" i="14"/>
  <c r="X106" i="14"/>
  <c r="L155" i="16"/>
  <c r="I155" i="16"/>
  <c r="F155" i="16"/>
  <c r="G155" i="16"/>
  <c r="X155" i="16"/>
  <c r="Y155" i="16"/>
  <c r="Z155" i="16"/>
  <c r="AE155" i="16"/>
  <c r="AB155" i="16"/>
  <c r="AC155" i="16"/>
  <c r="AD155" i="16"/>
  <c r="AI155" i="16"/>
  <c r="AF155" i="16"/>
  <c r="AG155" i="16"/>
  <c r="AH155" i="16"/>
  <c r="P155" i="16"/>
  <c r="Q155" i="16"/>
  <c r="R155" i="16"/>
  <c r="W155" i="16"/>
  <c r="AJ155" i="16"/>
  <c r="K155" i="16"/>
  <c r="E155" i="16"/>
  <c r="O155" i="16"/>
  <c r="M155" i="16"/>
  <c r="S155" i="16"/>
  <c r="H155" i="16"/>
  <c r="N155" i="16"/>
  <c r="V155" i="16"/>
  <c r="T155" i="16"/>
  <c r="AA155" i="16"/>
  <c r="AK155" i="16"/>
  <c r="U155" i="16"/>
  <c r="J155" i="16"/>
  <c r="E143" i="11" a="1"/>
  <c r="E174" i="13" a="1"/>
  <c r="E69" i="12" a="1"/>
  <c r="E101" i="13" a="1"/>
  <c r="E99" i="14" a="1"/>
  <c r="E113" i="15" a="1"/>
  <c r="E74" i="16" a="1"/>
  <c r="E101" i="17" a="1"/>
  <c r="AJ155" i="11"/>
  <c r="AG155" i="11"/>
  <c r="AD155" i="11"/>
  <c r="AE155" i="11"/>
  <c r="E155" i="11"/>
  <c r="AK155" i="11"/>
  <c r="AH155" i="11"/>
  <c r="AI155" i="11"/>
  <c r="AB155" i="11"/>
  <c r="Y155" i="11"/>
  <c r="V155" i="11"/>
  <c r="W155" i="11"/>
  <c r="L155" i="11"/>
  <c r="U155" i="11"/>
  <c r="K155" i="11"/>
  <c r="P155" i="11"/>
  <c r="AC155" i="11"/>
  <c r="O155" i="11"/>
  <c r="I155" i="11"/>
  <c r="R155" i="11"/>
  <c r="M155" i="11"/>
  <c r="Z155" i="11"/>
  <c r="F155" i="11"/>
  <c r="AF155" i="11"/>
  <c r="N155" i="11"/>
  <c r="S155" i="11"/>
  <c r="AA155" i="11"/>
  <c r="Q155" i="11"/>
  <c r="J155" i="11"/>
  <c r="T155" i="11"/>
  <c r="X155" i="11"/>
  <c r="H155" i="11"/>
  <c r="G155" i="11"/>
  <c r="H106" i="16"/>
  <c r="AC106" i="16"/>
  <c r="M106" i="16"/>
  <c r="R106" i="16"/>
  <c r="O106" i="16"/>
  <c r="AH106" i="16"/>
  <c r="AD106" i="16"/>
  <c r="AE106" i="16"/>
  <c r="J106" i="16"/>
  <c r="AK106" i="16"/>
  <c r="N106" i="16"/>
  <c r="V106" i="16"/>
  <c r="T106" i="16"/>
  <c r="U106" i="16"/>
  <c r="AG106" i="16"/>
  <c r="Z106" i="16"/>
  <c r="P106" i="16"/>
  <c r="AI106" i="16"/>
  <c r="AF106" i="16"/>
  <c r="E106" i="16"/>
  <c r="AA106" i="16"/>
  <c r="AB106" i="16"/>
  <c r="Y106" i="16"/>
  <c r="L106" i="16"/>
  <c r="I106" i="16"/>
  <c r="X106" i="16"/>
  <c r="F106" i="16"/>
  <c r="W106" i="16"/>
  <c r="AJ106" i="16"/>
  <c r="G106" i="16"/>
  <c r="S106" i="16"/>
  <c r="K106" i="16"/>
  <c r="Q106" i="16"/>
  <c r="AB155" i="17"/>
  <c r="Y155" i="17"/>
  <c r="V155" i="17"/>
  <c r="W155" i="17"/>
  <c r="H155" i="17"/>
  <c r="I155" i="17"/>
  <c r="J155" i="17"/>
  <c r="O155" i="17"/>
  <c r="L155" i="17"/>
  <c r="M155" i="17"/>
  <c r="N155" i="17"/>
  <c r="S155" i="17"/>
  <c r="P155" i="17"/>
  <c r="Q155" i="17"/>
  <c r="R155" i="17"/>
  <c r="AA155" i="17"/>
  <c r="AJ155" i="17"/>
  <c r="AK155" i="17"/>
  <c r="G155" i="17"/>
  <c r="AG155" i="17"/>
  <c r="F155" i="17"/>
  <c r="T155" i="17"/>
  <c r="Z155" i="17"/>
  <c r="U155" i="17"/>
  <c r="AE155" i="17"/>
  <c r="AF155" i="17"/>
  <c r="K155" i="17"/>
  <c r="AI155" i="17"/>
  <c r="AC155" i="17"/>
  <c r="AD155" i="17"/>
  <c r="E155" i="17"/>
  <c r="AH155" i="17"/>
  <c r="X155" i="17"/>
  <c r="E68" i="11" a="1"/>
  <c r="E72" i="12" a="1"/>
  <c r="E131" i="15" a="1"/>
  <c r="E137" i="14" a="1"/>
  <c r="E119" i="16" a="1"/>
  <c r="E119" i="17" a="1"/>
  <c r="AJ112" i="14"/>
  <c r="X112" i="14"/>
  <c r="U112" i="14"/>
  <c r="N112" i="14"/>
  <c r="S112" i="14"/>
  <c r="P112" i="14"/>
  <c r="Y112" i="14"/>
  <c r="V112" i="14"/>
  <c r="AE112" i="14"/>
  <c r="T112" i="14"/>
  <c r="AC112" i="14"/>
  <c r="Z112" i="14"/>
  <c r="AI112" i="14"/>
  <c r="AB112" i="14"/>
  <c r="AG112" i="14"/>
  <c r="AD112" i="14"/>
  <c r="H112" i="14"/>
  <c r="M112" i="14"/>
  <c r="J112" i="14"/>
  <c r="W112" i="14"/>
  <c r="Q112" i="14"/>
  <c r="AA112" i="14"/>
  <c r="AK112" i="14"/>
  <c r="AF112" i="14"/>
  <c r="AH112" i="14"/>
  <c r="E112" i="14"/>
  <c r="G112" i="14"/>
  <c r="I112" i="14"/>
  <c r="K112" i="14"/>
  <c r="O112" i="14"/>
  <c r="L112" i="14"/>
  <c r="R112" i="14"/>
  <c r="F112" i="14"/>
  <c r="X112" i="11"/>
  <c r="U112" i="11"/>
  <c r="R112" i="11"/>
  <c r="S112" i="11"/>
  <c r="L112" i="11"/>
  <c r="I112" i="11"/>
  <c r="F112" i="11"/>
  <c r="G112" i="11"/>
  <c r="T112" i="11"/>
  <c r="AC112" i="11"/>
  <c r="AH112" i="11"/>
  <c r="AB112" i="11"/>
  <c r="AG112" i="11"/>
  <c r="K112" i="11"/>
  <c r="M112" i="11"/>
  <c r="V112" i="11"/>
  <c r="AE112" i="11"/>
  <c r="H112" i="11"/>
  <c r="Q112" i="11"/>
  <c r="Z112" i="11"/>
  <c r="AI112" i="11"/>
  <c r="AF112" i="11"/>
  <c r="O112" i="11"/>
  <c r="AJ112" i="11"/>
  <c r="AA112" i="11"/>
  <c r="AK112" i="11"/>
  <c r="N112" i="11"/>
  <c r="Y112" i="11"/>
  <c r="J112" i="11"/>
  <c r="P112" i="11"/>
  <c r="E112" i="11"/>
  <c r="AD112" i="11"/>
  <c r="W112" i="11"/>
  <c r="N124" i="11"/>
  <c r="AC124" i="11"/>
  <c r="O124" i="11"/>
  <c r="T124" i="11"/>
  <c r="Q124" i="11"/>
  <c r="AD124" i="11"/>
  <c r="AI124" i="11"/>
  <c r="R124" i="11"/>
  <c r="Y124" i="11"/>
  <c r="W124" i="11"/>
  <c r="F124" i="11"/>
  <c r="L124" i="11"/>
  <c r="AG124" i="11"/>
  <c r="AA124" i="11"/>
  <c r="Z124" i="11"/>
  <c r="I124" i="11"/>
  <c r="G124" i="11"/>
  <c r="X124" i="11"/>
  <c r="M124" i="11"/>
  <c r="K124" i="11"/>
  <c r="AB124" i="11"/>
  <c r="AK124" i="11"/>
  <c r="AH124" i="11"/>
  <c r="P124" i="11"/>
  <c r="J124" i="11"/>
  <c r="S124" i="11"/>
  <c r="AJ124" i="11"/>
  <c r="AF124" i="11"/>
  <c r="V124" i="11"/>
  <c r="H124" i="11"/>
  <c r="AE124" i="11"/>
  <c r="E124" i="11"/>
  <c r="U124" i="11"/>
  <c r="H155" i="12"/>
  <c r="E155" i="12"/>
  <c r="AK155" i="12"/>
  <c r="AH155" i="12"/>
  <c r="AI155" i="12"/>
  <c r="I155" i="12"/>
  <c r="J155" i="12"/>
  <c r="O155" i="12"/>
  <c r="L155" i="12"/>
  <c r="M155" i="12"/>
  <c r="N155" i="12"/>
  <c r="S155" i="12"/>
  <c r="AF155" i="12"/>
  <c r="AG155" i="12"/>
  <c r="G155" i="12"/>
  <c r="P155" i="12"/>
  <c r="AC155" i="12"/>
  <c r="AA155" i="12"/>
  <c r="T155" i="12"/>
  <c r="F155" i="12"/>
  <c r="AE155" i="12"/>
  <c r="Q155" i="12"/>
  <c r="AD155" i="12"/>
  <c r="U155" i="12"/>
  <c r="K155" i="12"/>
  <c r="X155" i="12"/>
  <c r="R155" i="12"/>
  <c r="W155" i="12"/>
  <c r="AB155" i="12"/>
  <c r="V155" i="12"/>
  <c r="Z155" i="12"/>
  <c r="AJ155" i="12"/>
  <c r="Y155" i="12"/>
  <c r="T130" i="13"/>
  <c r="Q130" i="13"/>
  <c r="N130" i="13"/>
  <c r="O130" i="13"/>
  <c r="AB130" i="13"/>
  <c r="AC130" i="13"/>
  <c r="AD130" i="13"/>
  <c r="AI130" i="13"/>
  <c r="AF130" i="13"/>
  <c r="AG130" i="13"/>
  <c r="AH130" i="13"/>
  <c r="AJ130" i="13"/>
  <c r="AK130" i="13"/>
  <c r="P130" i="13"/>
  <c r="U130" i="13"/>
  <c r="V130" i="13"/>
  <c r="AA130" i="13"/>
  <c r="L130" i="13"/>
  <c r="R130" i="13"/>
  <c r="X130" i="13"/>
  <c r="Z130" i="13"/>
  <c r="Y130" i="13"/>
  <c r="W130" i="13"/>
  <c r="F130" i="13"/>
  <c r="AE130" i="13"/>
  <c r="S130" i="13"/>
  <c r="H130" i="13"/>
  <c r="G130" i="13"/>
  <c r="M130" i="13"/>
  <c r="J130" i="13"/>
  <c r="E130" i="13"/>
  <c r="K130" i="13"/>
  <c r="I130" i="13"/>
  <c r="T179" i="13"/>
  <c r="Q179" i="13"/>
  <c r="N179" i="13"/>
  <c r="O179" i="13"/>
  <c r="L179" i="13"/>
  <c r="M179" i="13"/>
  <c r="R179" i="13"/>
  <c r="W179" i="13"/>
  <c r="P179" i="13"/>
  <c r="U179" i="13"/>
  <c r="V179" i="13"/>
  <c r="AA179" i="13"/>
  <c r="X179" i="13"/>
  <c r="Y179" i="13"/>
  <c r="Z179" i="13"/>
  <c r="AE179" i="13"/>
  <c r="E179" i="13"/>
  <c r="F179" i="13"/>
  <c r="K179" i="13"/>
  <c r="AJ179" i="13"/>
  <c r="G179" i="13"/>
  <c r="I179" i="13"/>
  <c r="S179" i="13"/>
  <c r="H179" i="13"/>
  <c r="J179" i="13"/>
  <c r="AB179" i="13"/>
  <c r="AD179" i="13"/>
  <c r="AK179" i="13"/>
  <c r="AH179" i="13"/>
  <c r="AC179" i="13"/>
  <c r="AF179" i="13"/>
  <c r="AG179" i="13"/>
  <c r="AI179" i="13"/>
  <c r="H130" i="14"/>
  <c r="E130" i="14"/>
  <c r="AK130" i="14"/>
  <c r="AH130" i="14"/>
  <c r="AI130" i="14"/>
  <c r="AB130" i="14"/>
  <c r="Y130" i="14"/>
  <c r="V130" i="14"/>
  <c r="W130" i="14"/>
  <c r="L130" i="14"/>
  <c r="Q130" i="14"/>
  <c r="Z130" i="14"/>
  <c r="P130" i="14"/>
  <c r="U130" i="14"/>
  <c r="AD130" i="14"/>
  <c r="T130" i="14"/>
  <c r="AC130" i="14"/>
  <c r="G130" i="14"/>
  <c r="I130" i="14"/>
  <c r="N130" i="14"/>
  <c r="AA130" i="14"/>
  <c r="M130" i="14"/>
  <c r="AE130" i="14"/>
  <c r="AG130" i="14"/>
  <c r="X130" i="14"/>
  <c r="K130" i="14"/>
  <c r="AF130" i="14"/>
  <c r="O130" i="14"/>
  <c r="S130" i="14"/>
  <c r="AJ130" i="14"/>
  <c r="J130" i="14"/>
  <c r="F130" i="14"/>
  <c r="R130" i="14"/>
  <c r="AJ161" i="14"/>
  <c r="AG161" i="14"/>
  <c r="AD161" i="14"/>
  <c r="AE161" i="14"/>
  <c r="X161" i="14"/>
  <c r="U161" i="14"/>
  <c r="R161" i="14"/>
  <c r="S161" i="14"/>
  <c r="AB161" i="14"/>
  <c r="AK161" i="14"/>
  <c r="K161" i="14"/>
  <c r="AF161" i="14"/>
  <c r="F161" i="14"/>
  <c r="O161" i="14"/>
  <c r="E161" i="14"/>
  <c r="J161" i="14"/>
  <c r="W161" i="14"/>
  <c r="P161" i="14"/>
  <c r="Y161" i="14"/>
  <c r="AH161" i="14"/>
  <c r="N161" i="14"/>
  <c r="H161" i="14"/>
  <c r="Z161" i="14"/>
  <c r="L161" i="14"/>
  <c r="G161" i="14"/>
  <c r="Q161" i="14"/>
  <c r="AC161" i="14"/>
  <c r="V161" i="14"/>
  <c r="AA161" i="14"/>
  <c r="I161" i="14"/>
  <c r="T161" i="14"/>
  <c r="M161" i="14"/>
  <c r="AI161" i="14"/>
  <c r="AB130" i="15"/>
  <c r="Y130" i="15"/>
  <c r="V130" i="15"/>
  <c r="W130" i="15"/>
  <c r="AF130" i="15"/>
  <c r="AC130" i="15"/>
  <c r="Z130" i="15"/>
  <c r="AA130" i="15"/>
  <c r="AJ130" i="15"/>
  <c r="AG130" i="15"/>
  <c r="AD130" i="15"/>
  <c r="AE130" i="15"/>
  <c r="T130" i="15"/>
  <c r="Q130" i="15"/>
  <c r="N130" i="15"/>
  <c r="O130" i="15"/>
  <c r="E130" i="15"/>
  <c r="AH130" i="15"/>
  <c r="I130" i="15"/>
  <c r="G130" i="15"/>
  <c r="M130" i="15"/>
  <c r="K130" i="15"/>
  <c r="P130" i="15"/>
  <c r="J130" i="15"/>
  <c r="S130" i="15"/>
  <c r="F130" i="15"/>
  <c r="R130" i="15"/>
  <c r="X130" i="15"/>
  <c r="U130" i="15"/>
  <c r="AK130" i="15"/>
  <c r="AI130" i="15"/>
  <c r="H130" i="15"/>
  <c r="L130" i="15"/>
  <c r="AB112" i="16"/>
  <c r="Y112" i="16"/>
  <c r="V112" i="16"/>
  <c r="W112" i="16"/>
  <c r="AJ112" i="16"/>
  <c r="AK112" i="16"/>
  <c r="G112" i="16"/>
  <c r="E112" i="16"/>
  <c r="F112" i="16"/>
  <c r="K112" i="16"/>
  <c r="H112" i="16"/>
  <c r="I112" i="16"/>
  <c r="J112" i="16"/>
  <c r="O112" i="16"/>
  <c r="X112" i="16"/>
  <c r="AC112" i="16"/>
  <c r="AD112" i="16"/>
  <c r="AI112" i="16"/>
  <c r="L112" i="16"/>
  <c r="N112" i="16"/>
  <c r="P112" i="16"/>
  <c r="R112" i="16"/>
  <c r="T112" i="16"/>
  <c r="Z112" i="16"/>
  <c r="U112" i="16"/>
  <c r="AE112" i="16"/>
  <c r="M112" i="16"/>
  <c r="Q112" i="16"/>
  <c r="AA112" i="16"/>
  <c r="AF112" i="16"/>
  <c r="AH112" i="16"/>
  <c r="AG112" i="16"/>
  <c r="S112" i="16"/>
  <c r="H185" i="16"/>
  <c r="O185" i="16"/>
  <c r="AG185" i="16"/>
  <c r="Z185" i="16"/>
  <c r="AI185" i="16"/>
  <c r="AB185" i="16"/>
  <c r="Y185" i="16"/>
  <c r="V185" i="16"/>
  <c r="AF185" i="16"/>
  <c r="AC185" i="16"/>
  <c r="AD185" i="16"/>
  <c r="AJ185" i="16"/>
  <c r="AK185" i="16"/>
  <c r="AH185" i="16"/>
  <c r="T185" i="16"/>
  <c r="Q185" i="16"/>
  <c r="N185" i="16"/>
  <c r="AA185" i="16"/>
  <c r="G185" i="16"/>
  <c r="L185" i="16"/>
  <c r="F185" i="16"/>
  <c r="P185" i="16"/>
  <c r="J185" i="16"/>
  <c r="M185" i="16"/>
  <c r="W185" i="16"/>
  <c r="U185" i="16"/>
  <c r="E185" i="16"/>
  <c r="I185" i="16"/>
  <c r="AE185" i="16"/>
  <c r="X185" i="16"/>
  <c r="K185" i="16"/>
  <c r="R185" i="16"/>
  <c r="S185" i="16"/>
  <c r="T167" i="17"/>
  <c r="M167" i="17"/>
  <c r="R167" i="17"/>
  <c r="AA167" i="17"/>
  <c r="AF167" i="17"/>
  <c r="AC167" i="17"/>
  <c r="O167" i="17"/>
  <c r="AJ167" i="17"/>
  <c r="AG167" i="17"/>
  <c r="S167" i="17"/>
  <c r="N167" i="17"/>
  <c r="AK167" i="17"/>
  <c r="W167" i="17"/>
  <c r="X167" i="17"/>
  <c r="U167" i="17"/>
  <c r="G167" i="17"/>
  <c r="V167" i="17"/>
  <c r="Q167" i="17"/>
  <c r="J167" i="17"/>
  <c r="Y167" i="17"/>
  <c r="Z167" i="17"/>
  <c r="H167" i="17"/>
  <c r="F167" i="17"/>
  <c r="E167" i="17"/>
  <c r="AE167" i="17"/>
  <c r="P167" i="17"/>
  <c r="AD167" i="17"/>
  <c r="AH167" i="17"/>
  <c r="L167" i="17"/>
  <c r="AB167" i="17"/>
  <c r="I167" i="17"/>
  <c r="AI167" i="17"/>
  <c r="K167" i="17"/>
  <c r="E70" i="12" a="1"/>
  <c r="E100" i="11" a="1"/>
  <c r="E150" i="12" a="1"/>
  <c r="E74" i="11" a="1"/>
  <c r="E119" i="12" a="1"/>
  <c r="E137" i="11" a="1"/>
  <c r="E97" i="12" a="1"/>
  <c r="E71" i="12" a="1"/>
  <c r="E101" i="12" a="1"/>
  <c r="E168" i="13" a="1"/>
  <c r="E107" i="13" a="1"/>
  <c r="E68" i="14" a="1"/>
  <c r="E186" i="13" a="1"/>
  <c r="E119" i="14" a="1"/>
  <c r="E180" i="14" a="1"/>
  <c r="E137" i="15" a="1"/>
  <c r="E70" i="15" a="1"/>
  <c r="E69" i="15" a="1"/>
  <c r="E99" i="15" a="1"/>
  <c r="E97" i="16" a="1"/>
  <c r="E72" i="17" a="1"/>
  <c r="E180" i="16" a="1"/>
  <c r="E186" i="16" a="1"/>
  <c r="E186" i="17" a="1"/>
  <c r="E174" i="17" a="1"/>
  <c r="AF167" i="11"/>
  <c r="AC167" i="11"/>
  <c r="Z167" i="11"/>
  <c r="AA167" i="11"/>
  <c r="AJ167" i="11"/>
  <c r="AG167" i="11"/>
  <c r="AD167" i="11"/>
  <c r="AE167" i="11"/>
  <c r="X167" i="11"/>
  <c r="U167" i="11"/>
  <c r="R167" i="11"/>
  <c r="S167" i="11"/>
  <c r="E167" i="11"/>
  <c r="N167" i="11"/>
  <c r="I167" i="11"/>
  <c r="V167" i="11"/>
  <c r="P167" i="11"/>
  <c r="AK167" i="11"/>
  <c r="O167" i="11"/>
  <c r="T167" i="11"/>
  <c r="F167" i="11"/>
  <c r="W167" i="11"/>
  <c r="M167" i="11"/>
  <c r="AH167" i="11"/>
  <c r="L167" i="11"/>
  <c r="AI167" i="11"/>
  <c r="Q167" i="11"/>
  <c r="AB167" i="11"/>
  <c r="K167" i="11"/>
  <c r="H167" i="11"/>
  <c r="J167" i="11"/>
  <c r="Y167" i="11"/>
  <c r="G167" i="11"/>
  <c r="P161" i="13"/>
  <c r="Q161" i="13"/>
  <c r="V161" i="13"/>
  <c r="AE161" i="13"/>
  <c r="AF161" i="13"/>
  <c r="AK161" i="13"/>
  <c r="W161" i="13"/>
  <c r="AJ161" i="13"/>
  <c r="J161" i="13"/>
  <c r="AA161" i="13"/>
  <c r="E161" i="13"/>
  <c r="N161" i="13"/>
  <c r="AI161" i="13"/>
  <c r="X161" i="13"/>
  <c r="AC161" i="13"/>
  <c r="O161" i="13"/>
  <c r="Z161" i="13"/>
  <c r="Y161" i="13"/>
  <c r="R161" i="13"/>
  <c r="AG161" i="13"/>
  <c r="AH161" i="13"/>
  <c r="AB161" i="13"/>
  <c r="S161" i="13"/>
  <c r="M161" i="13"/>
  <c r="I161" i="13"/>
  <c r="K161" i="13"/>
  <c r="F161" i="13"/>
  <c r="T161" i="13"/>
  <c r="AD161" i="13"/>
  <c r="U161" i="13"/>
  <c r="L161" i="13"/>
  <c r="G161" i="13"/>
  <c r="H161" i="13"/>
  <c r="P161" i="15"/>
  <c r="M161" i="15"/>
  <c r="J161" i="15"/>
  <c r="K161" i="15"/>
  <c r="T161" i="15"/>
  <c r="Q161" i="15"/>
  <c r="N161" i="15"/>
  <c r="O161" i="15"/>
  <c r="X161" i="15"/>
  <c r="U161" i="15"/>
  <c r="R161" i="15"/>
  <c r="S161" i="15"/>
  <c r="H161" i="15"/>
  <c r="E161" i="15"/>
  <c r="AK161" i="15"/>
  <c r="AH161" i="15"/>
  <c r="AI161" i="15"/>
  <c r="AB161" i="15"/>
  <c r="V161" i="15"/>
  <c r="AF161" i="15"/>
  <c r="Z161" i="15"/>
  <c r="AJ161" i="15"/>
  <c r="AD161" i="15"/>
  <c r="AG161" i="15"/>
  <c r="AE161" i="15"/>
  <c r="I161" i="15"/>
  <c r="Y161" i="15"/>
  <c r="AC161" i="15"/>
  <c r="AA161" i="15"/>
  <c r="L161" i="15"/>
  <c r="G161" i="15"/>
  <c r="F161" i="15"/>
  <c r="W161" i="15"/>
  <c r="E97" i="11" a="1"/>
  <c r="E119" i="11" a="1"/>
  <c r="E150" i="13" a="1"/>
  <c r="E168" i="14" a="1"/>
  <c r="E98" i="16" a="1"/>
  <c r="E156" i="16" a="1"/>
  <c r="P142" i="11"/>
  <c r="M142" i="11"/>
  <c r="O142" i="11"/>
  <c r="V142" i="11"/>
  <c r="T142" i="11"/>
  <c r="Q142" i="11"/>
  <c r="S142" i="11"/>
  <c r="Z142" i="11"/>
  <c r="H142" i="11"/>
  <c r="E142" i="11"/>
  <c r="AK142" i="11"/>
  <c r="N142" i="11"/>
  <c r="AE142" i="11"/>
  <c r="AJ142" i="11"/>
  <c r="AI142" i="11"/>
  <c r="I142" i="11"/>
  <c r="F142" i="11"/>
  <c r="X142" i="11"/>
  <c r="AG142" i="11"/>
  <c r="AH142" i="11"/>
  <c r="AB142" i="11"/>
  <c r="G142" i="11"/>
  <c r="K142" i="11"/>
  <c r="J142" i="11"/>
  <c r="AD142" i="11"/>
  <c r="U142" i="11"/>
  <c r="AC142" i="11"/>
  <c r="AF142" i="11"/>
  <c r="L142" i="11"/>
  <c r="R142" i="11"/>
  <c r="W142" i="11"/>
  <c r="Y142" i="11"/>
  <c r="AA142" i="11"/>
  <c r="AJ155" i="15"/>
  <c r="AG155" i="15"/>
  <c r="AD155" i="15"/>
  <c r="AE155" i="15"/>
  <c r="H155" i="15"/>
  <c r="E155" i="15"/>
  <c r="AK155" i="15"/>
  <c r="AH155" i="15"/>
  <c r="AI155" i="15"/>
  <c r="L155" i="15"/>
  <c r="I155" i="15"/>
  <c r="F155" i="15"/>
  <c r="G155" i="15"/>
  <c r="AB155" i="15"/>
  <c r="Y155" i="15"/>
  <c r="V155" i="15"/>
  <c r="W155" i="15"/>
  <c r="P155" i="15"/>
  <c r="J155" i="15"/>
  <c r="T155" i="15"/>
  <c r="N155" i="15"/>
  <c r="X155" i="15"/>
  <c r="R155" i="15"/>
  <c r="U155" i="15"/>
  <c r="S155" i="15"/>
  <c r="AF155" i="15"/>
  <c r="Q155" i="15"/>
  <c r="AC155" i="15"/>
  <c r="AA155" i="15"/>
  <c r="M155" i="15"/>
  <c r="Z155" i="15"/>
  <c r="K155" i="15"/>
  <c r="O155" i="15"/>
  <c r="AF173" i="17"/>
  <c r="AC173" i="17"/>
  <c r="Z173" i="17"/>
  <c r="AA173" i="17"/>
  <c r="X173" i="17"/>
  <c r="Y173" i="17"/>
  <c r="AD173" i="17"/>
  <c r="AI173" i="17"/>
  <c r="AB173" i="17"/>
  <c r="AG173" i="17"/>
  <c r="AH173" i="17"/>
  <c r="AJ173" i="17"/>
  <c r="AK173" i="17"/>
  <c r="G173" i="17"/>
  <c r="P173" i="17"/>
  <c r="Q173" i="17"/>
  <c r="R173" i="17"/>
  <c r="W173" i="17"/>
  <c r="M173" i="17"/>
  <c r="S173" i="17"/>
  <c r="U173" i="17"/>
  <c r="AE173" i="17"/>
  <c r="F173" i="17"/>
  <c r="E173" i="17"/>
  <c r="K173" i="17"/>
  <c r="L173" i="17"/>
  <c r="I173" i="17"/>
  <c r="J173" i="17"/>
  <c r="H173" i="17"/>
  <c r="O173" i="17"/>
  <c r="N173" i="17"/>
  <c r="T173" i="17"/>
  <c r="V173" i="17"/>
  <c r="E162" i="11" a="1"/>
  <c r="E73" i="11" a="1"/>
  <c r="E95" i="14" a="1"/>
  <c r="E100" i="14" a="1"/>
  <c r="E125" i="15" a="1"/>
  <c r="E98" i="17" a="1"/>
  <c r="AJ155" i="13"/>
  <c r="U155" i="13"/>
  <c r="O155" i="13"/>
  <c r="Z155" i="13"/>
  <c r="F155" i="13"/>
  <c r="AC155" i="13"/>
  <c r="AA155" i="13"/>
  <c r="H155" i="13"/>
  <c r="R155" i="13"/>
  <c r="AG155" i="13"/>
  <c r="AE155" i="13"/>
  <c r="L155" i="13"/>
  <c r="AD155" i="13"/>
  <c r="AK155" i="13"/>
  <c r="AI155" i="13"/>
  <c r="AB155" i="13"/>
  <c r="Q155" i="13"/>
  <c r="S155" i="13"/>
  <c r="M155" i="13"/>
  <c r="AH155" i="13"/>
  <c r="Y155" i="13"/>
  <c r="AF155" i="13"/>
  <c r="W155" i="13"/>
  <c r="E155" i="13"/>
  <c r="J155" i="13"/>
  <c r="K155" i="13"/>
  <c r="V155" i="13"/>
  <c r="X155" i="13"/>
  <c r="N155" i="13"/>
  <c r="I155" i="13"/>
  <c r="G155" i="13"/>
  <c r="P155" i="13"/>
  <c r="T155" i="13"/>
  <c r="H173" i="13"/>
  <c r="E173" i="13"/>
  <c r="AK173" i="13"/>
  <c r="AH173" i="13"/>
  <c r="AI173" i="13"/>
  <c r="T173" i="13"/>
  <c r="U173" i="13"/>
  <c r="V173" i="13"/>
  <c r="AA173" i="13"/>
  <c r="X173" i="13"/>
  <c r="Y173" i="13"/>
  <c r="Z173" i="13"/>
  <c r="AE173" i="13"/>
  <c r="AB173" i="13"/>
  <c r="AC173" i="13"/>
  <c r="AD173" i="13"/>
  <c r="L173" i="13"/>
  <c r="M173" i="13"/>
  <c r="N173" i="13"/>
  <c r="S173" i="13"/>
  <c r="I173" i="13"/>
  <c r="O173" i="13"/>
  <c r="Q173" i="13"/>
  <c r="W173" i="13"/>
  <c r="P173" i="13"/>
  <c r="R173" i="13"/>
  <c r="AF173" i="13"/>
  <c r="G173" i="13"/>
  <c r="J173" i="13"/>
  <c r="K173" i="13"/>
  <c r="AG173" i="13"/>
  <c r="AJ173" i="13"/>
  <c r="F173" i="13"/>
  <c r="H112" i="17"/>
  <c r="E112" i="17"/>
  <c r="AK112" i="17"/>
  <c r="AH112" i="17"/>
  <c r="AI112" i="17"/>
  <c r="P112" i="17"/>
  <c r="Q112" i="17"/>
  <c r="R112" i="17"/>
  <c r="W112" i="17"/>
  <c r="T112" i="17"/>
  <c r="U112" i="17"/>
  <c r="V112" i="17"/>
  <c r="AA112" i="17"/>
  <c r="X112" i="17"/>
  <c r="Y112" i="17"/>
  <c r="Z112" i="17"/>
  <c r="AE112" i="17"/>
  <c r="I112" i="17"/>
  <c r="J112" i="17"/>
  <c r="O112" i="17"/>
  <c r="AJ112" i="17"/>
  <c r="K112" i="17"/>
  <c r="M112" i="17"/>
  <c r="S112" i="17"/>
  <c r="AC112" i="17"/>
  <c r="AB112" i="17"/>
  <c r="AD112" i="17"/>
  <c r="F112" i="17"/>
  <c r="N112" i="17"/>
  <c r="G112" i="17"/>
  <c r="AG112" i="17"/>
  <c r="L112" i="17"/>
  <c r="AF112" i="17"/>
  <c r="AJ118" i="13"/>
  <c r="AA118" i="13"/>
  <c r="Q118" i="13"/>
  <c r="U118" i="13"/>
  <c r="AE118" i="13"/>
  <c r="P118" i="13"/>
  <c r="AH118" i="13"/>
  <c r="H118" i="13"/>
  <c r="W118" i="13"/>
  <c r="G118" i="13"/>
  <c r="O118" i="13"/>
  <c r="R118" i="13"/>
  <c r="N118" i="13"/>
  <c r="AG118" i="13"/>
  <c r="AI118" i="13"/>
  <c r="J118" i="13"/>
  <c r="L118" i="13"/>
  <c r="M118" i="13"/>
  <c r="S118" i="13"/>
  <c r="Y118" i="13"/>
  <c r="Z118" i="13"/>
  <c r="V118" i="13"/>
  <c r="F118" i="13"/>
  <c r="I118" i="13"/>
  <c r="AF118" i="13"/>
  <c r="T118" i="13"/>
  <c r="K118" i="13"/>
  <c r="AD118" i="13"/>
  <c r="E118" i="13"/>
  <c r="X118" i="13"/>
  <c r="AB118" i="13"/>
  <c r="AC118" i="13"/>
  <c r="AK118" i="13"/>
  <c r="AB124" i="14"/>
  <c r="U124" i="14"/>
  <c r="N124" i="14"/>
  <c r="W124" i="14"/>
  <c r="P124" i="14"/>
  <c r="I124" i="14"/>
  <c r="K124" i="14"/>
  <c r="AH124" i="14"/>
  <c r="O124" i="14"/>
  <c r="F124" i="14"/>
  <c r="AA124" i="14"/>
  <c r="E124" i="14"/>
  <c r="J124" i="14"/>
  <c r="AE124" i="14"/>
  <c r="H124" i="14"/>
  <c r="M124" i="14"/>
  <c r="R124" i="14"/>
  <c r="AI124" i="14"/>
  <c r="AF124" i="14"/>
  <c r="AG124" i="14"/>
  <c r="G124" i="14"/>
  <c r="AK124" i="14"/>
  <c r="L124" i="14"/>
  <c r="V124" i="14"/>
  <c r="Q124" i="14"/>
  <c r="Y124" i="14"/>
  <c r="T124" i="14"/>
  <c r="AC124" i="14"/>
  <c r="AD124" i="14"/>
  <c r="Z124" i="14"/>
  <c r="X124" i="14"/>
  <c r="AJ124" i="14"/>
  <c r="S124" i="14"/>
  <c r="X112" i="15"/>
  <c r="U112" i="15"/>
  <c r="R112" i="15"/>
  <c r="S112" i="15"/>
  <c r="AB112" i="15"/>
  <c r="Y112" i="15"/>
  <c r="V112" i="15"/>
  <c r="W112" i="15"/>
  <c r="AF112" i="15"/>
  <c r="AC112" i="15"/>
  <c r="Z112" i="15"/>
  <c r="AA112" i="15"/>
  <c r="P112" i="15"/>
  <c r="M112" i="15"/>
  <c r="J112" i="15"/>
  <c r="K112" i="15"/>
  <c r="AG112" i="15"/>
  <c r="AE112" i="15"/>
  <c r="H112" i="15"/>
  <c r="AK112" i="15"/>
  <c r="AI112" i="15"/>
  <c r="L112" i="15"/>
  <c r="F112" i="15"/>
  <c r="I112" i="15"/>
  <c r="G112" i="15"/>
  <c r="N112" i="15"/>
  <c r="AH112" i="15"/>
  <c r="O112" i="15"/>
  <c r="E112" i="15"/>
  <c r="Q112" i="15"/>
  <c r="AD112" i="15"/>
  <c r="T112" i="15"/>
  <c r="AJ112" i="15"/>
  <c r="E69" i="13" a="1"/>
  <c r="E101" i="11" a="1"/>
  <c r="E73" i="13" a="1"/>
  <c r="E156" i="13" a="1"/>
  <c r="E168" i="15" a="1"/>
  <c r="E99" i="16" a="1"/>
  <c r="AJ118" i="11"/>
  <c r="AG118" i="11"/>
  <c r="V118" i="11"/>
  <c r="AA118" i="11"/>
  <c r="X118" i="11"/>
  <c r="U118" i="11"/>
  <c r="J118" i="11"/>
  <c r="O118" i="11"/>
  <c r="AF118" i="11"/>
  <c r="K118" i="11"/>
  <c r="G118" i="11"/>
  <c r="E118" i="11"/>
  <c r="AI118" i="11"/>
  <c r="S118" i="11"/>
  <c r="P118" i="11"/>
  <c r="Y118" i="11"/>
  <c r="Z118" i="11"/>
  <c r="T118" i="11"/>
  <c r="AC118" i="11"/>
  <c r="AD118" i="11"/>
  <c r="F118" i="11"/>
  <c r="AK118" i="11"/>
  <c r="L118" i="11"/>
  <c r="AH118" i="11"/>
  <c r="I118" i="11"/>
  <c r="AE118" i="11"/>
  <c r="AB118" i="11"/>
  <c r="M118" i="11"/>
  <c r="R118" i="11"/>
  <c r="H118" i="11"/>
  <c r="W118" i="11"/>
  <c r="Q118" i="11"/>
  <c r="N118" i="11"/>
  <c r="T161" i="11"/>
  <c r="Q161" i="11"/>
  <c r="N161" i="11"/>
  <c r="O161" i="11"/>
  <c r="X161" i="11"/>
  <c r="U161" i="11"/>
  <c r="R161" i="11"/>
  <c r="S161" i="11"/>
  <c r="L161" i="11"/>
  <c r="I161" i="11"/>
  <c r="F161" i="11"/>
  <c r="G161" i="11"/>
  <c r="M161" i="11"/>
  <c r="AD161" i="11"/>
  <c r="Y161" i="11"/>
  <c r="AH161" i="11"/>
  <c r="AF161" i="11"/>
  <c r="J161" i="11"/>
  <c r="AE161" i="11"/>
  <c r="AJ161" i="11"/>
  <c r="V161" i="11"/>
  <c r="AI161" i="11"/>
  <c r="H161" i="11"/>
  <c r="K161" i="11"/>
  <c r="AG161" i="11"/>
  <c r="W161" i="11"/>
  <c r="AB161" i="11"/>
  <c r="AK161" i="11"/>
  <c r="P161" i="11"/>
  <c r="Z161" i="11"/>
  <c r="AA161" i="11"/>
  <c r="E161" i="11"/>
  <c r="AC161" i="11"/>
  <c r="L173" i="11"/>
  <c r="I173" i="11"/>
  <c r="F173" i="11"/>
  <c r="G173" i="11"/>
  <c r="P173" i="11"/>
  <c r="M173" i="11"/>
  <c r="J173" i="11"/>
  <c r="K173" i="11"/>
  <c r="AJ173" i="11"/>
  <c r="AG173" i="11"/>
  <c r="AD173" i="11"/>
  <c r="AE173" i="11"/>
  <c r="X173" i="11"/>
  <c r="AK173" i="11"/>
  <c r="W173" i="11"/>
  <c r="AB173" i="11"/>
  <c r="N173" i="11"/>
  <c r="AA173" i="11"/>
  <c r="U173" i="11"/>
  <c r="AH173" i="11"/>
  <c r="H173" i="11"/>
  <c r="Y173" i="11"/>
  <c r="O173" i="11"/>
  <c r="R173" i="11"/>
  <c r="S173" i="11"/>
  <c r="E173" i="11"/>
  <c r="AC173" i="11"/>
  <c r="Q173" i="11"/>
  <c r="V173" i="11"/>
  <c r="T173" i="11"/>
  <c r="AF173" i="11"/>
  <c r="AI173" i="11"/>
  <c r="Z173" i="11"/>
  <c r="AB112" i="12"/>
  <c r="Y112" i="12"/>
  <c r="V112" i="12"/>
  <c r="W112" i="12"/>
  <c r="T112" i="12"/>
  <c r="U112" i="12"/>
  <c r="Z112" i="12"/>
  <c r="AE112" i="12"/>
  <c r="X112" i="12"/>
  <c r="AC112" i="12"/>
  <c r="AD112" i="12"/>
  <c r="AI112" i="12"/>
  <c r="L112" i="12"/>
  <c r="M112" i="12"/>
  <c r="N112" i="12"/>
  <c r="S112" i="12"/>
  <c r="AJ112" i="12"/>
  <c r="R112" i="12"/>
  <c r="E112" i="12"/>
  <c r="AH112" i="12"/>
  <c r="H112" i="12"/>
  <c r="AK112" i="12"/>
  <c r="AA112" i="12"/>
  <c r="P112" i="12"/>
  <c r="F112" i="12"/>
  <c r="G112" i="12"/>
  <c r="I112" i="12"/>
  <c r="J112" i="12"/>
  <c r="O112" i="12"/>
  <c r="AG112" i="12"/>
  <c r="K112" i="12"/>
  <c r="AF112" i="12"/>
  <c r="Q112" i="12"/>
  <c r="X155" i="14"/>
  <c r="U155" i="14"/>
  <c r="R155" i="14"/>
  <c r="S155" i="14"/>
  <c r="L155" i="14"/>
  <c r="I155" i="14"/>
  <c r="F155" i="14"/>
  <c r="G155" i="14"/>
  <c r="P155" i="14"/>
  <c r="Y155" i="14"/>
  <c r="AD155" i="14"/>
  <c r="T155" i="14"/>
  <c r="AC155" i="14"/>
  <c r="AH155" i="14"/>
  <c r="AB155" i="14"/>
  <c r="AG155" i="14"/>
  <c r="K155" i="14"/>
  <c r="M155" i="14"/>
  <c r="V155" i="14"/>
  <c r="AE155" i="14"/>
  <c r="AF155" i="14"/>
  <c r="O155" i="14"/>
  <c r="Q155" i="14"/>
  <c r="AK155" i="14"/>
  <c r="H155" i="14"/>
  <c r="W155" i="14"/>
  <c r="AJ155" i="14"/>
  <c r="AA155" i="14"/>
  <c r="AI155" i="14"/>
  <c r="E155" i="14"/>
  <c r="N155" i="14"/>
  <c r="J155" i="14"/>
  <c r="Z155" i="14"/>
  <c r="P118" i="14"/>
  <c r="M118" i="14"/>
  <c r="J118" i="14"/>
  <c r="K118" i="14"/>
  <c r="AJ118" i="14"/>
  <c r="AG118" i="14"/>
  <c r="AD118" i="14"/>
  <c r="AE118" i="14"/>
  <c r="AB118" i="14"/>
  <c r="AK118" i="14"/>
  <c r="O118" i="14"/>
  <c r="AF118" i="14"/>
  <c r="F118" i="14"/>
  <c r="S118" i="14"/>
  <c r="E118" i="14"/>
  <c r="N118" i="14"/>
  <c r="W118" i="14"/>
  <c r="T118" i="14"/>
  <c r="Y118" i="14"/>
  <c r="AH118" i="14"/>
  <c r="X118" i="14"/>
  <c r="G118" i="14"/>
  <c r="I118" i="14"/>
  <c r="AA118" i="14"/>
  <c r="R118" i="14"/>
  <c r="H118" i="14"/>
  <c r="V118" i="14"/>
  <c r="L118" i="14"/>
  <c r="Q118" i="14"/>
  <c r="Z118" i="14"/>
  <c r="AI118" i="14"/>
  <c r="U118" i="14"/>
  <c r="AC118" i="14"/>
  <c r="AJ118" i="15"/>
  <c r="AG118" i="15"/>
  <c r="AD118" i="15"/>
  <c r="AE118" i="15"/>
  <c r="H118" i="15"/>
  <c r="E118" i="15"/>
  <c r="AK118" i="15"/>
  <c r="AH118" i="15"/>
  <c r="AI118" i="15"/>
  <c r="L118" i="15"/>
  <c r="I118" i="15"/>
  <c r="F118" i="15"/>
  <c r="G118" i="15"/>
  <c r="AB118" i="15"/>
  <c r="Y118" i="15"/>
  <c r="V118" i="15"/>
  <c r="W118" i="15"/>
  <c r="P118" i="15"/>
  <c r="J118" i="15"/>
  <c r="T118" i="15"/>
  <c r="N118" i="15"/>
  <c r="X118" i="15"/>
  <c r="R118" i="15"/>
  <c r="U118" i="15"/>
  <c r="S118" i="15"/>
  <c r="Z118" i="15"/>
  <c r="K118" i="15"/>
  <c r="O118" i="15"/>
  <c r="M118" i="15"/>
  <c r="Q118" i="15"/>
  <c r="AC118" i="15"/>
  <c r="AA118" i="15"/>
  <c r="AF118" i="15"/>
  <c r="AF149" i="16"/>
  <c r="AC149" i="16"/>
  <c r="Z149" i="16"/>
  <c r="AA149" i="16"/>
  <c r="AB149" i="16"/>
  <c r="AG149" i="16"/>
  <c r="AH149" i="16"/>
  <c r="AJ149" i="16"/>
  <c r="AK149" i="16"/>
  <c r="G149" i="16"/>
  <c r="E149" i="16"/>
  <c r="F149" i="16"/>
  <c r="K149" i="16"/>
  <c r="T149" i="16"/>
  <c r="U149" i="16"/>
  <c r="V149" i="16"/>
  <c r="AE149" i="16"/>
  <c r="I149" i="16"/>
  <c r="O149" i="16"/>
  <c r="M149" i="16"/>
  <c r="S149" i="16"/>
  <c r="Q149" i="16"/>
  <c r="W149" i="16"/>
  <c r="P149" i="16"/>
  <c r="R149" i="16"/>
  <c r="AD149" i="16"/>
  <c r="X149" i="16"/>
  <c r="Y149" i="16"/>
  <c r="H149" i="16"/>
  <c r="L149" i="16"/>
  <c r="J149" i="16"/>
  <c r="N149" i="16"/>
  <c r="AI149" i="16"/>
  <c r="AJ173" i="15"/>
  <c r="AG173" i="15"/>
  <c r="AD173" i="15"/>
  <c r="AE173" i="15"/>
  <c r="H173" i="15"/>
  <c r="E173" i="15"/>
  <c r="AK173" i="15"/>
  <c r="AH173" i="15"/>
  <c r="AI173" i="15"/>
  <c r="L173" i="15"/>
  <c r="I173" i="15"/>
  <c r="F173" i="15"/>
  <c r="G173" i="15"/>
  <c r="AB173" i="15"/>
  <c r="Y173" i="15"/>
  <c r="V173" i="15"/>
  <c r="W173" i="15"/>
  <c r="M173" i="15"/>
  <c r="K173" i="15"/>
  <c r="Q173" i="15"/>
  <c r="O173" i="15"/>
  <c r="U173" i="15"/>
  <c r="S173" i="15"/>
  <c r="X173" i="15"/>
  <c r="R173" i="15"/>
  <c r="AC173" i="15"/>
  <c r="T173" i="15"/>
  <c r="AF173" i="15"/>
  <c r="AA173" i="15"/>
  <c r="P173" i="15"/>
  <c r="N173" i="15"/>
  <c r="J173" i="15"/>
  <c r="Z173" i="15"/>
  <c r="P149" i="17"/>
  <c r="M149" i="17"/>
  <c r="J149" i="17"/>
  <c r="K149" i="17"/>
  <c r="L149" i="17"/>
  <c r="Q149" i="17"/>
  <c r="R149" i="17"/>
  <c r="W149" i="17"/>
  <c r="T149" i="17"/>
  <c r="U149" i="17"/>
  <c r="V149" i="17"/>
  <c r="AA149" i="17"/>
  <c r="X149" i="17"/>
  <c r="Y149" i="17"/>
  <c r="Z149" i="17"/>
  <c r="AE149" i="17"/>
  <c r="E149" i="17"/>
  <c r="F149" i="17"/>
  <c r="O149" i="17"/>
  <c r="AK149" i="17"/>
  <c r="H149" i="17"/>
  <c r="N149" i="17"/>
  <c r="AB149" i="17"/>
  <c r="AD149" i="17"/>
  <c r="AC149" i="17"/>
  <c r="AI149" i="17"/>
  <c r="AJ149" i="17"/>
  <c r="AH149" i="17"/>
  <c r="G149" i="17"/>
  <c r="AG149" i="17"/>
  <c r="I149" i="17"/>
  <c r="S149" i="17"/>
  <c r="AF149" i="17"/>
  <c r="AB179" i="16"/>
  <c r="Y179" i="16"/>
  <c r="V179" i="16"/>
  <c r="W179" i="16"/>
  <c r="AJ179" i="16"/>
  <c r="AK179" i="16"/>
  <c r="G179" i="16"/>
  <c r="E179" i="16"/>
  <c r="F179" i="16"/>
  <c r="K179" i="16"/>
  <c r="H179" i="16"/>
  <c r="I179" i="16"/>
  <c r="J179" i="16"/>
  <c r="O179" i="16"/>
  <c r="X179" i="16"/>
  <c r="AC179" i="16"/>
  <c r="AD179" i="16"/>
  <c r="AI179" i="16"/>
  <c r="L179" i="16"/>
  <c r="N179" i="16"/>
  <c r="P179" i="16"/>
  <c r="R179" i="16"/>
  <c r="T179" i="16"/>
  <c r="Z179" i="16"/>
  <c r="U179" i="16"/>
  <c r="AE179" i="16"/>
  <c r="AG179" i="16"/>
  <c r="Q179" i="16"/>
  <c r="AH179" i="16"/>
  <c r="AF179" i="16"/>
  <c r="M179" i="16"/>
  <c r="S179" i="16"/>
  <c r="AA179" i="16"/>
  <c r="AJ142" i="17"/>
  <c r="AG142" i="17"/>
  <c r="AD142" i="17"/>
  <c r="AE142" i="17"/>
  <c r="T142" i="17"/>
  <c r="U142" i="17"/>
  <c r="V142" i="17"/>
  <c r="AA142" i="17"/>
  <c r="X142" i="17"/>
  <c r="Y142" i="17"/>
  <c r="Z142" i="17"/>
  <c r="AI142" i="17"/>
  <c r="AB142" i="17"/>
  <c r="AC142" i="17"/>
  <c r="AH142" i="17"/>
  <c r="L142" i="17"/>
  <c r="M142" i="17"/>
  <c r="N142" i="17"/>
  <c r="S142" i="17"/>
  <c r="H142" i="17"/>
  <c r="J142" i="17"/>
  <c r="P142" i="17"/>
  <c r="R142" i="17"/>
  <c r="AF142" i="17"/>
  <c r="G142" i="17"/>
  <c r="AK142" i="17"/>
  <c r="I142" i="17"/>
  <c r="E142" i="17"/>
  <c r="O142" i="17"/>
  <c r="W142" i="17"/>
  <c r="K142" i="17"/>
  <c r="Q142" i="17"/>
  <c r="F142" i="17"/>
  <c r="E72" i="11" a="1"/>
  <c r="E71" i="11" a="1"/>
  <c r="E107" i="11" a="1"/>
  <c r="E174" i="11" a="1"/>
  <c r="E74" i="12" a="1"/>
  <c r="E96" i="11" a="1"/>
  <c r="E96" i="13" a="1"/>
  <c r="E96" i="12" a="1"/>
  <c r="E72" i="13" a="1"/>
  <c r="E107" i="14" a="1"/>
  <c r="E162" i="13" a="1"/>
  <c r="E71" i="14" a="1"/>
  <c r="E70" i="14" a="1"/>
  <c r="E119" i="15" a="1"/>
  <c r="E73" i="15" a="1"/>
  <c r="E180" i="15" a="1"/>
  <c r="E162" i="15" a="1"/>
  <c r="E74" i="15" a="1"/>
  <c r="E174" i="15" a="1"/>
  <c r="E107" i="17" a="1"/>
  <c r="E131" i="16" a="1"/>
  <c r="E137" i="17" a="1"/>
  <c r="E125" i="17" a="1"/>
  <c r="E68" i="17" a="1"/>
  <c r="E143" i="17" a="1"/>
  <c r="X149" i="13"/>
  <c r="U149" i="13"/>
  <c r="R149" i="13"/>
  <c r="S149" i="13"/>
  <c r="H149" i="13"/>
  <c r="I149" i="13"/>
  <c r="J149" i="13"/>
  <c r="O149" i="13"/>
  <c r="L149" i="13"/>
  <c r="M149" i="13"/>
  <c r="N149" i="13"/>
  <c r="W149" i="13"/>
  <c r="P149" i="13"/>
  <c r="Q149" i="13"/>
  <c r="V149" i="13"/>
  <c r="AA149" i="13"/>
  <c r="AJ149" i="13"/>
  <c r="AK149" i="13"/>
  <c r="G149" i="13"/>
  <c r="AG149" i="13"/>
  <c r="F149" i="13"/>
  <c r="E149" i="13"/>
  <c r="K149" i="13"/>
  <c r="Y149" i="13"/>
  <c r="AE149" i="13"/>
  <c r="AH149" i="13"/>
  <c r="AI149" i="13"/>
  <c r="AF149" i="13"/>
  <c r="Z149" i="13"/>
  <c r="AC149" i="13"/>
  <c r="T149" i="13"/>
  <c r="AD149" i="13"/>
  <c r="AB149" i="13"/>
  <c r="H149" i="15"/>
  <c r="V149" i="15"/>
  <c r="Y149" i="15"/>
  <c r="U149" i="15"/>
  <c r="AG149" i="15"/>
  <c r="AJ149" i="15"/>
  <c r="I149" i="15"/>
  <c r="E149" i="15"/>
  <c r="Q149" i="15"/>
  <c r="F149" i="15"/>
  <c r="AF149" i="15"/>
  <c r="AB149" i="15"/>
  <c r="O149" i="15"/>
  <c r="G149" i="15"/>
  <c r="R149" i="15"/>
  <c r="N149" i="15"/>
  <c r="Z149" i="15"/>
  <c r="P149" i="15"/>
  <c r="X149" i="15"/>
  <c r="AE149" i="15"/>
  <c r="W149" i="15"/>
  <c r="AC149" i="15"/>
  <c r="AD149" i="15"/>
  <c r="AH149" i="15"/>
  <c r="S149" i="15"/>
  <c r="M149" i="15"/>
  <c r="K149" i="15"/>
  <c r="AK149" i="15"/>
  <c r="T149" i="15"/>
  <c r="AA149" i="15"/>
  <c r="AI149" i="15"/>
  <c r="L149" i="15"/>
  <c r="J149" i="15"/>
  <c r="X185" i="17"/>
  <c r="U185" i="17"/>
  <c r="R185" i="17"/>
  <c r="S185" i="17"/>
  <c r="L185" i="17"/>
  <c r="M185" i="17"/>
  <c r="N185" i="17"/>
  <c r="W185" i="17"/>
  <c r="P185" i="17"/>
  <c r="Q185" i="17"/>
  <c r="V185" i="17"/>
  <c r="AA185" i="17"/>
  <c r="T185" i="17"/>
  <c r="Y185" i="17"/>
  <c r="Z185" i="17"/>
  <c r="AE185" i="17"/>
  <c r="E185" i="17"/>
  <c r="F185" i="17"/>
  <c r="K185" i="17"/>
  <c r="AJ185" i="17"/>
  <c r="G185" i="17"/>
  <c r="I185" i="17"/>
  <c r="O185" i="17"/>
  <c r="AC185" i="17"/>
  <c r="AI185" i="17"/>
  <c r="AB185" i="17"/>
  <c r="AD185" i="17"/>
  <c r="H185" i="17"/>
  <c r="J185" i="17"/>
  <c r="AH185" i="17"/>
  <c r="AK185" i="17"/>
  <c r="AF185" i="17"/>
  <c r="AG185" i="17"/>
  <c r="E95" i="11" a="1"/>
  <c r="E113" i="12" a="1"/>
  <c r="E68" i="13" a="1"/>
  <c r="E97" i="14" a="1"/>
  <c r="E131" i="17" a="1"/>
  <c r="E113" i="17" a="1"/>
  <c r="AJ185" i="11"/>
  <c r="AG185" i="11"/>
  <c r="AD185" i="11"/>
  <c r="AE185" i="11"/>
  <c r="H185" i="11"/>
  <c r="E185" i="11"/>
  <c r="AK185" i="11"/>
  <c r="AH185" i="11"/>
  <c r="AI185" i="11"/>
  <c r="AB185" i="11"/>
  <c r="Y185" i="11"/>
  <c r="V185" i="11"/>
  <c r="W185" i="11"/>
  <c r="M185" i="11"/>
  <c r="Z185" i="11"/>
  <c r="Q185" i="11"/>
  <c r="G185" i="11"/>
  <c r="X185" i="11"/>
  <c r="J185" i="11"/>
  <c r="AA185" i="11"/>
  <c r="AF185" i="11"/>
  <c r="N185" i="11"/>
  <c r="U185" i="11"/>
  <c r="I185" i="11"/>
  <c r="R185" i="11"/>
  <c r="L185" i="11"/>
  <c r="O185" i="11"/>
  <c r="F185" i="11"/>
  <c r="S185" i="11"/>
  <c r="P185" i="11"/>
  <c r="AC185" i="11"/>
  <c r="T185" i="11"/>
  <c r="K185" i="11"/>
  <c r="H124" i="13"/>
  <c r="E124" i="13"/>
  <c r="AK124" i="13"/>
  <c r="AH124" i="13"/>
  <c r="AI124" i="13"/>
  <c r="AF124" i="13"/>
  <c r="AG124" i="13"/>
  <c r="G124" i="13"/>
  <c r="AJ124" i="13"/>
  <c r="F124" i="13"/>
  <c r="K124" i="13"/>
  <c r="X124" i="13"/>
  <c r="Y124" i="13"/>
  <c r="Z124" i="13"/>
  <c r="AE124" i="13"/>
  <c r="L124" i="13"/>
  <c r="AC124" i="13"/>
  <c r="W124" i="13"/>
  <c r="P124" i="13"/>
  <c r="J124" i="13"/>
  <c r="AA124" i="13"/>
  <c r="M124" i="13"/>
  <c r="AD124" i="13"/>
  <c r="Q124" i="13"/>
  <c r="O124" i="13"/>
  <c r="V124" i="13"/>
  <c r="S124" i="13"/>
  <c r="N124" i="13"/>
  <c r="AB124" i="13"/>
  <c r="U124" i="13"/>
  <c r="R124" i="13"/>
  <c r="T124" i="13"/>
  <c r="I124" i="13"/>
  <c r="H118" i="16"/>
  <c r="T118" i="16"/>
  <c r="P118" i="16"/>
  <c r="L118" i="16"/>
  <c r="X118" i="16"/>
  <c r="Z118" i="16"/>
  <c r="I118" i="16"/>
  <c r="AB118" i="16"/>
  <c r="AJ118" i="16"/>
  <c r="AF118" i="16"/>
  <c r="AI118" i="16"/>
  <c r="J118" i="16"/>
  <c r="W118" i="16"/>
  <c r="S118" i="16"/>
  <c r="O118" i="16"/>
  <c r="F118" i="16"/>
  <c r="U118" i="16"/>
  <c r="Q118" i="16"/>
  <c r="AH118" i="16"/>
  <c r="AE118" i="16"/>
  <c r="R118" i="16"/>
  <c r="AC118" i="16"/>
  <c r="AK118" i="16"/>
  <c r="V118" i="16"/>
  <c r="AG118" i="16"/>
  <c r="K118" i="16"/>
  <c r="M118" i="16"/>
  <c r="AA118" i="16"/>
  <c r="AD118" i="16"/>
  <c r="N118" i="16"/>
  <c r="G118" i="16"/>
  <c r="Y118" i="16"/>
  <c r="E118" i="16"/>
  <c r="E180" i="11" a="1"/>
  <c r="E95" i="12" a="1"/>
  <c r="E119" i="13" a="1"/>
  <c r="E186" i="15" a="1"/>
  <c r="E150" i="17" a="1"/>
  <c r="E100" i="17" a="1"/>
  <c r="AF118" i="12"/>
  <c r="M118" i="12"/>
  <c r="F118" i="12"/>
  <c r="G118" i="12"/>
  <c r="H118" i="12"/>
  <c r="W118" i="12"/>
  <c r="AC118" i="12"/>
  <c r="Z118" i="12"/>
  <c r="L118" i="12"/>
  <c r="AE118" i="12"/>
  <c r="AG118" i="12"/>
  <c r="AD118" i="12"/>
  <c r="AJ118" i="12"/>
  <c r="U118" i="12"/>
  <c r="R118" i="12"/>
  <c r="AI118" i="12"/>
  <c r="N118" i="12"/>
  <c r="E118" i="12"/>
  <c r="V118" i="12"/>
  <c r="X118" i="12"/>
  <c r="AK118" i="12"/>
  <c r="AB118" i="12"/>
  <c r="O118" i="12"/>
  <c r="AH118" i="12"/>
  <c r="K118" i="12"/>
  <c r="Y118" i="12"/>
  <c r="S118" i="12"/>
  <c r="P118" i="12"/>
  <c r="T118" i="12"/>
  <c r="J118" i="12"/>
  <c r="I118" i="12"/>
  <c r="Q118" i="12"/>
  <c r="AA118" i="12"/>
  <c r="T130" i="16"/>
  <c r="M130" i="16"/>
  <c r="J130" i="16"/>
  <c r="O130" i="16"/>
  <c r="K130" i="16"/>
  <c r="AK130" i="16"/>
  <c r="G130" i="16"/>
  <c r="H130" i="16"/>
  <c r="E130" i="16"/>
  <c r="F130" i="16"/>
  <c r="S130" i="16"/>
  <c r="L130" i="16"/>
  <c r="I130" i="16"/>
  <c r="N130" i="16"/>
  <c r="W130" i="16"/>
  <c r="AF130" i="16"/>
  <c r="AC130" i="16"/>
  <c r="AD130" i="16"/>
  <c r="Q130" i="16"/>
  <c r="AA130" i="16"/>
  <c r="U130" i="16"/>
  <c r="AE130" i="16"/>
  <c r="Y130" i="16"/>
  <c r="AI130" i="16"/>
  <c r="AB130" i="16"/>
  <c r="Z130" i="16"/>
  <c r="AH130" i="16"/>
  <c r="V130" i="16"/>
  <c r="AJ130" i="16"/>
  <c r="AG130" i="16"/>
  <c r="R130" i="16"/>
  <c r="X130" i="16"/>
  <c r="P130" i="16"/>
  <c r="AB106" i="17"/>
  <c r="AD106" i="17"/>
  <c r="AI106" i="17"/>
  <c r="AG106" i="17"/>
  <c r="T106" i="17"/>
  <c r="Z106" i="17"/>
  <c r="E106" i="17"/>
  <c r="J106" i="17"/>
  <c r="X106" i="17"/>
  <c r="AH106" i="17"/>
  <c r="I106" i="17"/>
  <c r="K106" i="17"/>
  <c r="AF106" i="17"/>
  <c r="G106" i="17"/>
  <c r="M106" i="17"/>
  <c r="L106" i="17"/>
  <c r="R106" i="17"/>
  <c r="AA106" i="17"/>
  <c r="AC106" i="17"/>
  <c r="N106" i="17"/>
  <c r="Y106" i="17"/>
  <c r="V106" i="17"/>
  <c r="AK106" i="17"/>
  <c r="O106" i="17"/>
  <c r="AJ106" i="17"/>
  <c r="Q106" i="17"/>
  <c r="W106" i="17"/>
  <c r="H106" i="17"/>
  <c r="P106" i="17"/>
  <c r="U106" i="17"/>
  <c r="AE106" i="17"/>
  <c r="S106" i="17"/>
  <c r="F106" i="17"/>
  <c r="E68" i="12" a="1"/>
  <c r="E168" i="11" a="1"/>
  <c r="E113" i="13" a="1"/>
  <c r="E150" i="15" a="1"/>
  <c r="E150" i="16" a="1"/>
  <c r="E96" i="15" a="1"/>
  <c r="E69" i="17" a="1"/>
  <c r="E156" i="17" a="1"/>
  <c r="P179" i="11"/>
  <c r="M179" i="11"/>
  <c r="J179" i="11"/>
  <c r="K179" i="11"/>
  <c r="T179" i="11"/>
  <c r="Q179" i="11"/>
  <c r="N179" i="11"/>
  <c r="O179" i="11"/>
  <c r="H179" i="11"/>
  <c r="E179" i="11"/>
  <c r="AK179" i="11"/>
  <c r="AH179" i="11"/>
  <c r="AI179" i="11"/>
  <c r="U179" i="11"/>
  <c r="AD179" i="11"/>
  <c r="Y179" i="11"/>
  <c r="G179" i="11"/>
  <c r="AF179" i="11"/>
  <c r="R179" i="11"/>
  <c r="AE179" i="11"/>
  <c r="AJ179" i="11"/>
  <c r="V179" i="11"/>
  <c r="L179" i="11"/>
  <c r="S179" i="11"/>
  <c r="X179" i="11"/>
  <c r="AA179" i="11"/>
  <c r="AC179" i="11"/>
  <c r="F179" i="11"/>
  <c r="W179" i="11"/>
  <c r="AG179" i="11"/>
  <c r="Z179" i="11"/>
  <c r="AB179" i="11"/>
  <c r="I179" i="11"/>
  <c r="T112" i="13"/>
  <c r="Q112" i="13"/>
  <c r="N112" i="13"/>
  <c r="O112" i="13"/>
  <c r="L112" i="13"/>
  <c r="M112" i="13"/>
  <c r="R112" i="13"/>
  <c r="W112" i="13"/>
  <c r="P112" i="13"/>
  <c r="U112" i="13"/>
  <c r="V112" i="13"/>
  <c r="AA112" i="13"/>
  <c r="E112" i="13"/>
  <c r="F112" i="13"/>
  <c r="K112" i="13"/>
  <c r="AB112" i="13"/>
  <c r="J112" i="13"/>
  <c r="AF112" i="13"/>
  <c r="Z112" i="13"/>
  <c r="AC112" i="13"/>
  <c r="S112" i="13"/>
  <c r="H112" i="13"/>
  <c r="AG112" i="13"/>
  <c r="AE112" i="13"/>
  <c r="Y112" i="13"/>
  <c r="AK112" i="13"/>
  <c r="AJ112" i="13"/>
  <c r="I112" i="13"/>
  <c r="G112" i="13"/>
  <c r="X112" i="13"/>
  <c r="AD112" i="13"/>
  <c r="AH112" i="13"/>
  <c r="AI112" i="13"/>
  <c r="X185" i="15"/>
  <c r="U185" i="15"/>
  <c r="R185" i="15"/>
  <c r="S185" i="15"/>
  <c r="AB185" i="15"/>
  <c r="Y185" i="15"/>
  <c r="V185" i="15"/>
  <c r="W185" i="15"/>
  <c r="AF185" i="15"/>
  <c r="AC185" i="15"/>
  <c r="Z185" i="15"/>
  <c r="AA185" i="15"/>
  <c r="P185" i="15"/>
  <c r="M185" i="15"/>
  <c r="J185" i="15"/>
  <c r="K185" i="15"/>
  <c r="AG185" i="15"/>
  <c r="AE185" i="15"/>
  <c r="H185" i="15"/>
  <c r="AK185" i="15"/>
  <c r="AI185" i="15"/>
  <c r="L185" i="15"/>
  <c r="F185" i="15"/>
  <c r="I185" i="15"/>
  <c r="G185" i="15"/>
  <c r="N185" i="15"/>
  <c r="T185" i="15"/>
  <c r="AJ185" i="15"/>
  <c r="AH185" i="15"/>
  <c r="O185" i="15"/>
  <c r="Q185" i="15"/>
  <c r="E185" i="15"/>
  <c r="AD185" i="15"/>
  <c r="E150" i="11" a="1"/>
  <c r="E125" i="12" a="1"/>
  <c r="E113" i="14" a="1"/>
  <c r="E98" i="15" a="1"/>
  <c r="E101" i="15" a="1"/>
  <c r="E99" i="17" a="1"/>
  <c r="L106" i="11"/>
  <c r="I106" i="11"/>
  <c r="K106" i="11"/>
  <c r="AH106" i="11"/>
  <c r="AF106" i="11"/>
  <c r="AC106" i="11"/>
  <c r="V106" i="11"/>
  <c r="AA106" i="11"/>
  <c r="H106" i="11"/>
  <c r="Q106" i="11"/>
  <c r="R106" i="11"/>
  <c r="AI106" i="11"/>
  <c r="P106" i="11"/>
  <c r="U106" i="11"/>
  <c r="Z106" i="11"/>
  <c r="AJ106" i="11"/>
  <c r="F106" i="11"/>
  <c r="S106" i="11"/>
  <c r="E106" i="11"/>
  <c r="J106" i="11"/>
  <c r="W106" i="11"/>
  <c r="Y106" i="11"/>
  <c r="X106" i="11"/>
  <c r="O106" i="11"/>
  <c r="M106" i="11"/>
  <c r="T106" i="11"/>
  <c r="N106" i="11"/>
  <c r="AD106" i="11"/>
  <c r="AG106" i="11"/>
  <c r="AB106" i="11"/>
  <c r="AK106" i="11"/>
  <c r="AE106" i="11"/>
  <c r="G106" i="11"/>
  <c r="AB130" i="12"/>
  <c r="Y130" i="12"/>
  <c r="V130" i="12"/>
  <c r="W130" i="12"/>
  <c r="AJ130" i="12"/>
  <c r="AK130" i="12"/>
  <c r="G130" i="12"/>
  <c r="E130" i="12"/>
  <c r="F130" i="12"/>
  <c r="K130" i="12"/>
  <c r="X130" i="12"/>
  <c r="AC130" i="12"/>
  <c r="AD130" i="12"/>
  <c r="AI130" i="12"/>
  <c r="I130" i="12"/>
  <c r="Z130" i="12"/>
  <c r="M130" i="12"/>
  <c r="AH130" i="12"/>
  <c r="P130" i="12"/>
  <c r="J130" i="12"/>
  <c r="AE130" i="12"/>
  <c r="T130" i="12"/>
  <c r="N130" i="12"/>
  <c r="Q130" i="12"/>
  <c r="U130" i="12"/>
  <c r="O130" i="12"/>
  <c r="H130" i="12"/>
  <c r="AA130" i="12"/>
  <c r="AG130" i="12"/>
  <c r="L130" i="12"/>
  <c r="AF130" i="12"/>
  <c r="R130" i="12"/>
  <c r="S130" i="12"/>
  <c r="L161" i="12"/>
  <c r="I161" i="12"/>
  <c r="F161" i="12"/>
  <c r="G161" i="12"/>
  <c r="AB161" i="12"/>
  <c r="AC161" i="12"/>
  <c r="AD161" i="12"/>
  <c r="AI161" i="12"/>
  <c r="AF161" i="12"/>
  <c r="AG161" i="12"/>
  <c r="AH161" i="12"/>
  <c r="T161" i="12"/>
  <c r="U161" i="12"/>
  <c r="V161" i="12"/>
  <c r="AA161" i="12"/>
  <c r="X161" i="12"/>
  <c r="N161" i="12"/>
  <c r="AJ161" i="12"/>
  <c r="R161" i="12"/>
  <c r="Y161" i="12"/>
  <c r="S161" i="12"/>
  <c r="H161" i="12"/>
  <c r="AK161" i="12"/>
  <c r="W161" i="12"/>
  <c r="Q161" i="12"/>
  <c r="E161" i="12"/>
  <c r="J161" i="12"/>
  <c r="O161" i="12"/>
  <c r="K161" i="12"/>
  <c r="Z161" i="12"/>
  <c r="P161" i="12"/>
  <c r="M161" i="12"/>
  <c r="AE161" i="12"/>
  <c r="P106" i="12"/>
  <c r="M106" i="12"/>
  <c r="J106" i="12"/>
  <c r="K106" i="12"/>
  <c r="AB106" i="12"/>
  <c r="AC106" i="12"/>
  <c r="AD106" i="12"/>
  <c r="AI106" i="12"/>
  <c r="AF106" i="12"/>
  <c r="AG106" i="12"/>
  <c r="AH106" i="12"/>
  <c r="T106" i="12"/>
  <c r="U106" i="12"/>
  <c r="V106" i="12"/>
  <c r="AA106" i="12"/>
  <c r="H106" i="12"/>
  <c r="AK106" i="12"/>
  <c r="W106" i="12"/>
  <c r="L106" i="12"/>
  <c r="F106" i="12"/>
  <c r="AE106" i="12"/>
  <c r="I106" i="12"/>
  <c r="G106" i="12"/>
  <c r="Q106" i="12"/>
  <c r="O106" i="12"/>
  <c r="N106" i="12"/>
  <c r="AJ106" i="12"/>
  <c r="R106" i="12"/>
  <c r="S106" i="12"/>
  <c r="Y106" i="12"/>
  <c r="X106" i="12"/>
  <c r="E106" i="12"/>
  <c r="Z106" i="12"/>
  <c r="AF136" i="13"/>
  <c r="U136" i="13"/>
  <c r="F136" i="13"/>
  <c r="O136" i="13"/>
  <c r="T136" i="13"/>
  <c r="M136" i="13"/>
  <c r="AE136" i="13"/>
  <c r="AA136" i="13"/>
  <c r="X136" i="13"/>
  <c r="Q136" i="13"/>
  <c r="J136" i="13"/>
  <c r="AI136" i="13"/>
  <c r="AB136" i="13"/>
  <c r="Y136" i="13"/>
  <c r="N136" i="13"/>
  <c r="L136" i="13"/>
  <c r="E136" i="13"/>
  <c r="G136" i="13"/>
  <c r="AD136" i="13"/>
  <c r="H136" i="13"/>
  <c r="AK136" i="13"/>
  <c r="P136" i="13"/>
  <c r="S136" i="13"/>
  <c r="I136" i="13"/>
  <c r="AH136" i="13"/>
  <c r="AC136" i="13"/>
  <c r="Z136" i="13"/>
  <c r="W136" i="13"/>
  <c r="R136" i="13"/>
  <c r="AG136" i="13"/>
  <c r="V136" i="13"/>
  <c r="AJ136" i="13"/>
  <c r="K136" i="13"/>
  <c r="X179" i="12"/>
  <c r="U179" i="12"/>
  <c r="R179" i="12"/>
  <c r="S179" i="12"/>
  <c r="P179" i="12"/>
  <c r="Q179" i="12"/>
  <c r="V179" i="12"/>
  <c r="AA179" i="12"/>
  <c r="T179" i="12"/>
  <c r="Y179" i="12"/>
  <c r="Z179" i="12"/>
  <c r="AE179" i="12"/>
  <c r="H179" i="12"/>
  <c r="I179" i="12"/>
  <c r="J179" i="12"/>
  <c r="O179" i="12"/>
  <c r="E179" i="12"/>
  <c r="AH179" i="12"/>
  <c r="M179" i="12"/>
  <c r="G179" i="12"/>
  <c r="AB179" i="12"/>
  <c r="F179" i="12"/>
  <c r="AF179" i="12"/>
  <c r="N179" i="12"/>
  <c r="L179" i="12"/>
  <c r="AI179" i="12"/>
  <c r="K179" i="12"/>
  <c r="AJ179" i="12"/>
  <c r="AK179" i="12"/>
  <c r="W179" i="12"/>
  <c r="AC179" i="12"/>
  <c r="AD179" i="12"/>
  <c r="AG179" i="12"/>
  <c r="T136" i="14"/>
  <c r="Q136" i="14"/>
  <c r="R136" i="14"/>
  <c r="S136" i="14"/>
  <c r="H136" i="14"/>
  <c r="E136" i="14"/>
  <c r="AK136" i="14"/>
  <c r="G136" i="14"/>
  <c r="J136" i="14"/>
  <c r="X136" i="14"/>
  <c r="AC136" i="14"/>
  <c r="K136" i="14"/>
  <c r="AB136" i="14"/>
  <c r="AG136" i="14"/>
  <c r="O136" i="14"/>
  <c r="AF136" i="14"/>
  <c r="F136" i="14"/>
  <c r="W136" i="14"/>
  <c r="L136" i="14"/>
  <c r="U136" i="14"/>
  <c r="AD136" i="14"/>
  <c r="P136" i="14"/>
  <c r="AH136" i="14"/>
  <c r="AJ136" i="14"/>
  <c r="AA136" i="14"/>
  <c r="N136" i="14"/>
  <c r="V136" i="14"/>
  <c r="Z136" i="14"/>
  <c r="AE136" i="14"/>
  <c r="M136" i="14"/>
  <c r="I136" i="14"/>
  <c r="AI136" i="14"/>
  <c r="Y136" i="14"/>
  <c r="P161" i="16"/>
  <c r="M161" i="16"/>
  <c r="J161" i="16"/>
  <c r="K161" i="16"/>
  <c r="H161" i="16"/>
  <c r="I161" i="16"/>
  <c r="N161" i="16"/>
  <c r="S161" i="16"/>
  <c r="L161" i="16"/>
  <c r="Q161" i="16"/>
  <c r="R161" i="16"/>
  <c r="W161" i="16"/>
  <c r="T161" i="16"/>
  <c r="U161" i="16"/>
  <c r="V161" i="16"/>
  <c r="AA161" i="16"/>
  <c r="AJ161" i="16"/>
  <c r="AK161" i="16"/>
  <c r="G161" i="16"/>
  <c r="X161" i="16"/>
  <c r="Z161" i="16"/>
  <c r="AB161" i="16"/>
  <c r="AD161" i="16"/>
  <c r="AF161" i="16"/>
  <c r="AH161" i="16"/>
  <c r="AG161" i="16"/>
  <c r="F161" i="16"/>
  <c r="AI161" i="16"/>
  <c r="AC161" i="16"/>
  <c r="O161" i="16"/>
  <c r="AE161" i="16"/>
  <c r="Y161" i="16"/>
  <c r="E161" i="16"/>
  <c r="H136" i="15"/>
  <c r="E136" i="15"/>
  <c r="AK136" i="15"/>
  <c r="AH136" i="15"/>
  <c r="AI136" i="15"/>
  <c r="L136" i="15"/>
  <c r="I136" i="15"/>
  <c r="F136" i="15"/>
  <c r="G136" i="15"/>
  <c r="P136" i="15"/>
  <c r="M136" i="15"/>
  <c r="J136" i="15"/>
  <c r="K136" i="15"/>
  <c r="AF136" i="15"/>
  <c r="AC136" i="15"/>
  <c r="Z136" i="15"/>
  <c r="AA136" i="15"/>
  <c r="Q136" i="15"/>
  <c r="O136" i="15"/>
  <c r="U136" i="15"/>
  <c r="S136" i="15"/>
  <c r="Y136" i="15"/>
  <c r="W136" i="15"/>
  <c r="AB136" i="15"/>
  <c r="V136" i="15"/>
  <c r="AE136" i="15"/>
  <c r="N136" i="15"/>
  <c r="R136" i="15"/>
  <c r="X136" i="15"/>
  <c r="AJ136" i="15"/>
  <c r="AG136" i="15"/>
  <c r="AD136" i="15"/>
  <c r="T136" i="15"/>
  <c r="P185" i="14"/>
  <c r="M185" i="14"/>
  <c r="J185" i="14"/>
  <c r="K185" i="14"/>
  <c r="T185" i="14"/>
  <c r="Q185" i="14"/>
  <c r="N185" i="14"/>
  <c r="O185" i="14"/>
  <c r="X185" i="14"/>
  <c r="U185" i="14"/>
  <c r="R185" i="14"/>
  <c r="S185" i="14"/>
  <c r="H185" i="14"/>
  <c r="E185" i="14"/>
  <c r="AK185" i="14"/>
  <c r="AH185" i="14"/>
  <c r="AI185" i="14"/>
  <c r="AB185" i="14"/>
  <c r="V185" i="14"/>
  <c r="AF185" i="14"/>
  <c r="Z185" i="14"/>
  <c r="AJ185" i="14"/>
  <c r="AD185" i="14"/>
  <c r="AG185" i="14"/>
  <c r="AE185" i="14"/>
  <c r="G185" i="14"/>
  <c r="I185" i="14"/>
  <c r="Y185" i="14"/>
  <c r="AA185" i="14"/>
  <c r="L185" i="14"/>
  <c r="F185" i="14"/>
  <c r="AC185" i="14"/>
  <c r="W185" i="14"/>
  <c r="T142" i="16"/>
  <c r="Q142" i="16"/>
  <c r="N142" i="16"/>
  <c r="O142" i="16"/>
  <c r="AJ142" i="16"/>
  <c r="AK142" i="16"/>
  <c r="G142" i="16"/>
  <c r="E142" i="16"/>
  <c r="F142" i="16"/>
  <c r="K142" i="16"/>
  <c r="H142" i="16"/>
  <c r="I142" i="16"/>
  <c r="J142" i="16"/>
  <c r="S142" i="16"/>
  <c r="AB142" i="16"/>
  <c r="AC142" i="16"/>
  <c r="AD142" i="16"/>
  <c r="AI142" i="16"/>
  <c r="M142" i="16"/>
  <c r="W142" i="16"/>
  <c r="U142" i="16"/>
  <c r="AA142" i="16"/>
  <c r="Y142" i="16"/>
  <c r="AE142" i="16"/>
  <c r="X142" i="16"/>
  <c r="Z142" i="16"/>
  <c r="AH142" i="16"/>
  <c r="AG142" i="16"/>
  <c r="R142" i="16"/>
  <c r="L142" i="16"/>
  <c r="P142" i="16"/>
  <c r="AF142" i="16"/>
  <c r="V142" i="16"/>
  <c r="T118" i="17"/>
  <c r="M118" i="17"/>
  <c r="F118" i="17"/>
  <c r="G118" i="17"/>
  <c r="H118" i="17"/>
  <c r="E118" i="17"/>
  <c r="O118" i="17"/>
  <c r="S118" i="17"/>
  <c r="L118" i="17"/>
  <c r="I118" i="17"/>
  <c r="J118" i="17"/>
  <c r="W118" i="17"/>
  <c r="P118" i="17"/>
  <c r="Q118" i="17"/>
  <c r="N118" i="17"/>
  <c r="AA118" i="17"/>
  <c r="AJ118" i="17"/>
  <c r="AG118" i="17"/>
  <c r="AD118" i="17"/>
  <c r="AF118" i="17"/>
  <c r="Z118" i="17"/>
  <c r="K118" i="17"/>
  <c r="AH118" i="17"/>
  <c r="U118" i="17"/>
  <c r="AE118" i="17"/>
  <c r="X118" i="17"/>
  <c r="R118" i="17"/>
  <c r="AC118" i="17"/>
  <c r="AI118" i="17"/>
  <c r="Y118" i="17"/>
  <c r="AK118" i="17"/>
  <c r="AB118" i="17"/>
  <c r="V118" i="17"/>
  <c r="H161" i="17"/>
  <c r="E161" i="17"/>
  <c r="AK161" i="17"/>
  <c r="AH161" i="17"/>
  <c r="AI161" i="17"/>
  <c r="AJ161" i="17"/>
  <c r="F161" i="17"/>
  <c r="K161" i="17"/>
  <c r="I161" i="17"/>
  <c r="J161" i="17"/>
  <c r="O161" i="17"/>
  <c r="L161" i="17"/>
  <c r="M161" i="17"/>
  <c r="N161" i="17"/>
  <c r="S161" i="17"/>
  <c r="AB161" i="17"/>
  <c r="AC161" i="17"/>
  <c r="AD161" i="17"/>
  <c r="Y161" i="17"/>
  <c r="AE161" i="17"/>
  <c r="AG161" i="17"/>
  <c r="P161" i="17"/>
  <c r="R161" i="17"/>
  <c r="Q161" i="17"/>
  <c r="W161" i="17"/>
  <c r="X161" i="17"/>
  <c r="Z161" i="17"/>
  <c r="G161" i="17"/>
  <c r="AF161" i="17"/>
  <c r="U161" i="17"/>
  <c r="T161" i="17"/>
  <c r="AA161" i="17"/>
  <c r="V161" i="17"/>
  <c r="E156" i="11" a="1"/>
  <c r="E73" i="12" a="1"/>
  <c r="E99" i="11" a="1"/>
  <c r="E107" i="12" a="1"/>
  <c r="E131" i="13" a="1"/>
  <c r="E186" i="11" a="1"/>
  <c r="E69" i="14" a="1"/>
  <c r="E125" i="13" a="1"/>
  <c r="E137" i="13" a="1"/>
  <c r="E125" i="14" a="1"/>
  <c r="E95" i="15" a="1"/>
  <c r="E131" i="14" a="1"/>
  <c r="E73" i="14" a="1"/>
  <c r="E143" i="14" a="1"/>
  <c r="E100" i="15" a="1"/>
  <c r="E137" i="16" a="1"/>
  <c r="E125" i="16" a="1"/>
  <c r="E156" i="15" a="1"/>
  <c r="E113" i="16" a="1"/>
  <c r="E107" i="16" a="1"/>
  <c r="E95" i="16" a="1"/>
  <c r="E174" i="16" a="1"/>
  <c r="E73" i="17" a="1"/>
  <c r="E162" i="17" a="1"/>
  <c r="E97" i="17" a="1"/>
  <c r="X32" i="17" l="1"/>
  <c r="N32" i="17"/>
  <c r="H32" i="17"/>
  <c r="AJ32" i="17"/>
  <c r="J32" i="17"/>
  <c r="Y32" i="17"/>
  <c r="O32" i="17"/>
  <c r="P32" i="17"/>
  <c r="V32" i="17"/>
  <c r="R32" i="17"/>
  <c r="F32" i="17"/>
  <c r="AE32" i="17"/>
  <c r="M32" i="17"/>
  <c r="S32" i="17"/>
  <c r="AD32" i="17"/>
  <c r="AE38" i="17"/>
  <c r="AC32" i="17"/>
  <c r="J34" i="17"/>
  <c r="K32" i="17"/>
  <c r="G32" i="17"/>
  <c r="W34" i="17"/>
  <c r="AF32" i="17"/>
  <c r="L32" i="17"/>
  <c r="AC34" i="17"/>
  <c r="AA32" i="17"/>
  <c r="U32" i="17"/>
  <c r="AD38" i="14"/>
  <c r="AC37" i="12"/>
  <c r="Q35" i="12"/>
  <c r="AH38" i="14"/>
  <c r="J38" i="14"/>
  <c r="AJ37" i="12"/>
  <c r="AB33" i="14"/>
  <c r="N33" i="14"/>
  <c r="G33" i="14"/>
  <c r="AF34" i="13"/>
  <c r="R34" i="13"/>
  <c r="K38" i="14"/>
  <c r="O35" i="12"/>
  <c r="AH35" i="12"/>
  <c r="AI35" i="12"/>
  <c r="AK34" i="13"/>
  <c r="AB33" i="16"/>
  <c r="K33" i="14"/>
  <c r="L36" i="11"/>
  <c r="J36" i="11"/>
  <c r="V36" i="11"/>
  <c r="AD36" i="11"/>
  <c r="W33" i="11"/>
  <c r="U37" i="15"/>
  <c r="AF37" i="15"/>
  <c r="Z37" i="15"/>
  <c r="AH37" i="12"/>
  <c r="T33" i="14"/>
  <c r="H33" i="14"/>
  <c r="AD34" i="13"/>
  <c r="X35" i="13"/>
  <c r="S33" i="16"/>
  <c r="AB35" i="12"/>
  <c r="Y33" i="14"/>
  <c r="AG35" i="12"/>
  <c r="AJ38" i="14"/>
  <c r="T35" i="12"/>
  <c r="X36" i="16"/>
  <c r="X33" i="16"/>
  <c r="N35" i="16"/>
  <c r="K36" i="11"/>
  <c r="AI36" i="11"/>
  <c r="R36" i="11"/>
  <c r="AJ38" i="11"/>
  <c r="I33" i="11"/>
  <c r="P37" i="11"/>
  <c r="I37" i="11"/>
  <c r="AA37" i="11"/>
  <c r="R37" i="15"/>
  <c r="AE35" i="16"/>
  <c r="U38" i="14"/>
  <c r="L37" i="15"/>
  <c r="AE37" i="15"/>
  <c r="G37" i="15"/>
  <c r="AH37" i="15"/>
  <c r="AA37" i="15"/>
  <c r="O38" i="14"/>
  <c r="AC38" i="14"/>
  <c r="AB38" i="14"/>
  <c r="I37" i="12"/>
  <c r="AI37" i="12"/>
  <c r="W33" i="14"/>
  <c r="AD33" i="14"/>
  <c r="K37" i="15"/>
  <c r="Y34" i="13"/>
  <c r="M34" i="14"/>
  <c r="Y33" i="16"/>
  <c r="K35" i="12"/>
  <c r="AI38" i="14"/>
  <c r="U35" i="12"/>
  <c r="K33" i="16"/>
  <c r="U32" i="16"/>
  <c r="Z35" i="12"/>
  <c r="K34" i="14"/>
  <c r="AA35" i="12"/>
  <c r="I36" i="11"/>
  <c r="X36" i="11"/>
  <c r="Q36" i="11"/>
  <c r="AK36" i="11"/>
  <c r="U36" i="11"/>
  <c r="I38" i="11"/>
  <c r="G38" i="11"/>
  <c r="O33" i="11"/>
  <c r="AH38" i="11"/>
  <c r="X37" i="11"/>
  <c r="Y37" i="11"/>
  <c r="S35" i="11"/>
  <c r="AA38" i="11"/>
  <c r="Q38" i="14"/>
  <c r="S38" i="14"/>
  <c r="AK38" i="14"/>
  <c r="AC35" i="12"/>
  <c r="AJ35" i="16"/>
  <c r="Y36" i="11"/>
  <c r="P36" i="11"/>
  <c r="O36" i="11"/>
  <c r="H36" i="11"/>
  <c r="AH36" i="11"/>
  <c r="AI37" i="15"/>
  <c r="AJ37" i="15"/>
  <c r="P37" i="15"/>
  <c r="W38" i="14"/>
  <c r="V38" i="14"/>
  <c r="L38" i="14"/>
  <c r="AH36" i="14"/>
  <c r="S37" i="15"/>
  <c r="H37" i="15"/>
  <c r="S34" i="13"/>
  <c r="N36" i="16"/>
  <c r="AG35" i="13"/>
  <c r="P35" i="12"/>
  <c r="AD33" i="16"/>
  <c r="N38" i="14"/>
  <c r="AC33" i="16"/>
  <c r="R35" i="12"/>
  <c r="G33" i="16"/>
  <c r="F33" i="16"/>
  <c r="AB37" i="15"/>
  <c r="Z38" i="11"/>
  <c r="AB36" i="11"/>
  <c r="Z36" i="11"/>
  <c r="AA36" i="11"/>
  <c r="T34" i="13"/>
  <c r="W38" i="11"/>
  <c r="H38" i="11"/>
  <c r="AD37" i="11"/>
  <c r="W37" i="11"/>
  <c r="U38" i="13"/>
  <c r="S35" i="12"/>
  <c r="F35" i="12"/>
  <c r="J37" i="15"/>
  <c r="F38" i="14"/>
  <c r="AE38" i="14"/>
  <c r="Y37" i="15"/>
  <c r="Q33" i="14"/>
  <c r="N37" i="15"/>
  <c r="I34" i="13"/>
  <c r="I36" i="16"/>
  <c r="N35" i="12"/>
  <c r="AI35" i="13"/>
  <c r="S36" i="16"/>
  <c r="M33" i="16"/>
  <c r="N36" i="11"/>
  <c r="F36" i="11"/>
  <c r="W36" i="11"/>
  <c r="T36" i="11"/>
  <c r="AA36" i="15"/>
  <c r="AD36" i="15"/>
  <c r="S36" i="15"/>
  <c r="O36" i="15"/>
  <c r="Z36" i="15"/>
  <c r="K33" i="13"/>
  <c r="X33" i="13"/>
  <c r="AF33" i="13"/>
  <c r="AK33" i="13"/>
  <c r="O33" i="13"/>
  <c r="AH33" i="13"/>
  <c r="G33" i="15"/>
  <c r="H33" i="15"/>
  <c r="AC33" i="15"/>
  <c r="X33" i="15"/>
  <c r="AB33" i="15"/>
  <c r="N33" i="15"/>
  <c r="U33" i="15"/>
  <c r="Z37" i="13"/>
  <c r="V37" i="13"/>
  <c r="AE37" i="13"/>
  <c r="R37" i="13"/>
  <c r="AC37" i="13"/>
  <c r="G37" i="13"/>
  <c r="P37" i="13"/>
  <c r="H37" i="13"/>
  <c r="AA37" i="13"/>
  <c r="N37" i="13"/>
  <c r="AF37" i="13"/>
  <c r="AH37" i="13"/>
  <c r="U37" i="13"/>
  <c r="AB37" i="13"/>
  <c r="Y37" i="13"/>
  <c r="AI35" i="16"/>
  <c r="AK35" i="16"/>
  <c r="H35" i="16"/>
  <c r="J35" i="16"/>
  <c r="AG35" i="16"/>
  <c r="Q35" i="16"/>
  <c r="I35" i="16"/>
  <c r="M35" i="16"/>
  <c r="AH35" i="16"/>
  <c r="X35" i="16"/>
  <c r="W35" i="16"/>
  <c r="V35" i="16"/>
  <c r="AF35" i="16"/>
  <c r="U35" i="16"/>
  <c r="G35" i="16"/>
  <c r="L35" i="16"/>
  <c r="Z35" i="16"/>
  <c r="AC35" i="16"/>
  <c r="AA35" i="16"/>
  <c r="S35" i="16"/>
  <c r="N33" i="17"/>
  <c r="H33" i="17"/>
  <c r="AA33" i="17"/>
  <c r="AH33" i="17"/>
  <c r="U33" i="17"/>
  <c r="AD33" i="17"/>
  <c r="U36" i="12"/>
  <c r="M36" i="12"/>
  <c r="F36" i="12"/>
  <c r="AD36" i="12"/>
  <c r="AH33" i="15"/>
  <c r="F37" i="13"/>
  <c r="T36" i="15"/>
  <c r="X37" i="13"/>
  <c r="T37" i="13"/>
  <c r="S33" i="15"/>
  <c r="G36" i="15"/>
  <c r="G33" i="13"/>
  <c r="AB35" i="16"/>
  <c r="Y35" i="16"/>
  <c r="AI34" i="13"/>
  <c r="AB34" i="13"/>
  <c r="F34" i="13"/>
  <c r="O34" i="13"/>
  <c r="M34" i="13"/>
  <c r="AA34" i="13"/>
  <c r="G34" i="13"/>
  <c r="Q34" i="13"/>
  <c r="J34" i="13"/>
  <c r="H34" i="13"/>
  <c r="U34" i="13"/>
  <c r="N34" i="13"/>
  <c r="AJ34" i="13"/>
  <c r="K34" i="13"/>
  <c r="P34" i="13"/>
  <c r="K36" i="15"/>
  <c r="I36" i="15"/>
  <c r="AK37" i="13"/>
  <c r="AE33" i="15"/>
  <c r="G36" i="16"/>
  <c r="X34" i="13"/>
  <c r="AH34" i="13"/>
  <c r="X33" i="17"/>
  <c r="AG33" i="13"/>
  <c r="W33" i="17"/>
  <c r="AA36" i="16"/>
  <c r="Y37" i="16"/>
  <c r="S37" i="16"/>
  <c r="U37" i="16"/>
  <c r="K37" i="16"/>
  <c r="M37" i="16"/>
  <c r="AB37" i="16"/>
  <c r="AA33" i="16"/>
  <c r="P33" i="16"/>
  <c r="AE33" i="16"/>
  <c r="L33" i="16"/>
  <c r="W33" i="16"/>
  <c r="AF33" i="16"/>
  <c r="AK33" i="16"/>
  <c r="AI33" i="16"/>
  <c r="N33" i="16"/>
  <c r="O33" i="16"/>
  <c r="Z33" i="16"/>
  <c r="Q33" i="16"/>
  <c r="I33" i="16"/>
  <c r="T33" i="16"/>
  <c r="V33" i="16"/>
  <c r="AG33" i="16"/>
  <c r="R33" i="16"/>
  <c r="AG37" i="13"/>
  <c r="M37" i="13"/>
  <c r="AI37" i="13"/>
  <c r="P36" i="15"/>
  <c r="O33" i="17"/>
  <c r="K35" i="16"/>
  <c r="AD35" i="16"/>
  <c r="AG36" i="16"/>
  <c r="H36" i="16"/>
  <c r="AF36" i="16"/>
  <c r="K36" i="16"/>
  <c r="F36" i="16"/>
  <c r="T36" i="16"/>
  <c r="Y36" i="16"/>
  <c r="AD36" i="16"/>
  <c r="AK36" i="16"/>
  <c r="O36" i="16"/>
  <c r="U36" i="16"/>
  <c r="L36" i="16"/>
  <c r="P36" i="16"/>
  <c r="R36" i="16"/>
  <c r="Q36" i="16"/>
  <c r="M36" i="16"/>
  <c r="W36" i="16"/>
  <c r="AB36" i="16"/>
  <c r="AI36" i="16"/>
  <c r="AD37" i="13"/>
  <c r="L37" i="13"/>
  <c r="O37" i="13"/>
  <c r="AJ33" i="15"/>
  <c r="H36" i="15"/>
  <c r="V34" i="13"/>
  <c r="M33" i="13"/>
  <c r="J33" i="17"/>
  <c r="U33" i="13"/>
  <c r="O35" i="16"/>
  <c r="F35" i="16"/>
  <c r="N36" i="14"/>
  <c r="I36" i="14"/>
  <c r="AE36" i="14"/>
  <c r="H36" i="14"/>
  <c r="AA36" i="14"/>
  <c r="L38" i="13"/>
  <c r="J38" i="13"/>
  <c r="V38" i="13"/>
  <c r="N38" i="13"/>
  <c r="M38" i="13"/>
  <c r="H38" i="13"/>
  <c r="AC38" i="13"/>
  <c r="S38" i="13"/>
  <c r="F38" i="13"/>
  <c r="Y38" i="13"/>
  <c r="AA38" i="13"/>
  <c r="P38" i="13"/>
  <c r="AJ38" i="13"/>
  <c r="G38" i="13"/>
  <c r="AD38" i="13"/>
  <c r="R38" i="13"/>
  <c r="K35" i="17"/>
  <c r="R35" i="17"/>
  <c r="V35" i="17"/>
  <c r="L35" i="17"/>
  <c r="AK35" i="17"/>
  <c r="AH35" i="17"/>
  <c r="Y35" i="17"/>
  <c r="AG35" i="17"/>
  <c r="AJ35" i="17"/>
  <c r="AF35" i="17"/>
  <c r="F35" i="17"/>
  <c r="M33" i="15"/>
  <c r="K37" i="13"/>
  <c r="J37" i="13"/>
  <c r="S37" i="13"/>
  <c r="P33" i="15"/>
  <c r="K33" i="15"/>
  <c r="I35" i="17"/>
  <c r="U36" i="15"/>
  <c r="W37" i="13"/>
  <c r="AE34" i="13"/>
  <c r="I38" i="13"/>
  <c r="J36" i="16"/>
  <c r="AC34" i="13"/>
  <c r="AG34" i="13"/>
  <c r="W33" i="13"/>
  <c r="AJ33" i="17"/>
  <c r="AI33" i="17"/>
  <c r="T35" i="16"/>
  <c r="P35" i="16"/>
  <c r="I32" i="12"/>
  <c r="Y32" i="12"/>
  <c r="Q32" i="12"/>
  <c r="M32" i="12"/>
  <c r="U32" i="12"/>
  <c r="N32" i="12"/>
  <c r="W32" i="12"/>
  <c r="AF32" i="12"/>
  <c r="K32" i="12"/>
  <c r="L32" i="12"/>
  <c r="R32" i="12"/>
  <c r="S32" i="12"/>
  <c r="AI32" i="12"/>
  <c r="AD32" i="12"/>
  <c r="F32" i="12"/>
  <c r="AA32" i="12"/>
  <c r="AK32" i="12"/>
  <c r="Z32" i="12"/>
  <c r="O32" i="12"/>
  <c r="R35" i="14"/>
  <c r="H35" i="14"/>
  <c r="AI35" i="14"/>
  <c r="AE35" i="14"/>
  <c r="N37" i="12"/>
  <c r="P33" i="14"/>
  <c r="O33" i="14"/>
  <c r="L33" i="14"/>
  <c r="AG33" i="14"/>
  <c r="AH33" i="14"/>
  <c r="Z37" i="11"/>
  <c r="AJ37" i="11"/>
  <c r="T37" i="11"/>
  <c r="AI37" i="11"/>
  <c r="Q33" i="11"/>
  <c r="J38" i="15"/>
  <c r="AD38" i="15"/>
  <c r="Y38" i="15"/>
  <c r="L37" i="12"/>
  <c r="AA33" i="14"/>
  <c r="AF33" i="14"/>
  <c r="X37" i="17"/>
  <c r="AG34" i="12"/>
  <c r="Z34" i="17"/>
  <c r="AE34" i="12"/>
  <c r="AI34" i="12"/>
  <c r="G38" i="17"/>
  <c r="I33" i="14"/>
  <c r="AJ32" i="11"/>
  <c r="Q38" i="11"/>
  <c r="M38" i="11"/>
  <c r="AB37" i="11"/>
  <c r="S37" i="11"/>
  <c r="AK37" i="11"/>
  <c r="AG37" i="11"/>
  <c r="H33" i="11"/>
  <c r="W37" i="12"/>
  <c r="Q37" i="11"/>
  <c r="AG38" i="15"/>
  <c r="K38" i="15"/>
  <c r="H38" i="15"/>
  <c r="O32" i="14"/>
  <c r="U33" i="14"/>
  <c r="AJ33" i="14"/>
  <c r="M38" i="17"/>
  <c r="X34" i="12"/>
  <c r="R38" i="17"/>
  <c r="N37" i="17"/>
  <c r="AI38" i="15"/>
  <c r="AC34" i="12"/>
  <c r="I38" i="15"/>
  <c r="J37" i="17"/>
  <c r="AB38" i="15"/>
  <c r="AI33" i="14"/>
  <c r="X38" i="11"/>
  <c r="R38" i="11"/>
  <c r="AH38" i="17"/>
  <c r="AB33" i="11"/>
  <c r="Y38" i="11"/>
  <c r="V37" i="11"/>
  <c r="AH37" i="11"/>
  <c r="J37" i="11"/>
  <c r="AE38" i="15"/>
  <c r="Q38" i="15"/>
  <c r="V33" i="14"/>
  <c r="X33" i="14"/>
  <c r="S33" i="14"/>
  <c r="AF38" i="15"/>
  <c r="W37" i="17"/>
  <c r="W34" i="12"/>
  <c r="AB34" i="12"/>
  <c r="P34" i="17"/>
  <c r="I34" i="12"/>
  <c r="AB37" i="17"/>
  <c r="AC33" i="14"/>
  <c r="J33" i="14"/>
  <c r="AE38" i="11"/>
  <c r="P38" i="11"/>
  <c r="J38" i="11"/>
  <c r="U38" i="15"/>
  <c r="M33" i="11"/>
  <c r="K37" i="11"/>
  <c r="U37" i="11"/>
  <c r="F37" i="11"/>
  <c r="K33" i="11"/>
  <c r="U35" i="15"/>
  <c r="Z35" i="15"/>
  <c r="AD35" i="15"/>
  <c r="P35" i="15"/>
  <c r="AK35" i="15"/>
  <c r="AB32" i="14"/>
  <c r="Z32" i="14"/>
  <c r="W35" i="15"/>
  <c r="T32" i="16"/>
  <c r="J32" i="16"/>
  <c r="V32" i="16"/>
  <c r="Q32" i="16"/>
  <c r="I32" i="16"/>
  <c r="AJ32" i="16"/>
  <c r="K32" i="16"/>
  <c r="W34" i="14"/>
  <c r="AJ34" i="14"/>
  <c r="X34" i="14"/>
  <c r="Q34" i="14"/>
  <c r="J34" i="14"/>
  <c r="V34" i="14"/>
  <c r="N34" i="14"/>
  <c r="Z34" i="14"/>
  <c r="AK34" i="14"/>
  <c r="AB34" i="14"/>
  <c r="AJ36" i="15"/>
  <c r="AC35" i="15"/>
  <c r="AI36" i="15"/>
  <c r="F36" i="15"/>
  <c r="AA35" i="15"/>
  <c r="I32" i="14"/>
  <c r="AB36" i="14"/>
  <c r="V36" i="14"/>
  <c r="AA32" i="14"/>
  <c r="S32" i="14"/>
  <c r="K36" i="14"/>
  <c r="AB38" i="16"/>
  <c r="J35" i="13"/>
  <c r="H35" i="13"/>
  <c r="P34" i="14"/>
  <c r="T34" i="17"/>
  <c r="AC34" i="14"/>
  <c r="AA34" i="17"/>
  <c r="X35" i="14"/>
  <c r="L32" i="16"/>
  <c r="P32" i="16"/>
  <c r="AG32" i="16"/>
  <c r="Y32" i="16"/>
  <c r="Q37" i="16"/>
  <c r="AF37" i="16"/>
  <c r="N38" i="16"/>
  <c r="N38" i="17"/>
  <c r="AE38" i="16"/>
  <c r="AG36" i="12"/>
  <c r="S34" i="14"/>
  <c r="AD33" i="11"/>
  <c r="Y36" i="12"/>
  <c r="T35" i="15"/>
  <c r="J35" i="15"/>
  <c r="X35" i="15"/>
  <c r="AE32" i="14"/>
  <c r="R36" i="14"/>
  <c r="T36" i="14"/>
  <c r="AJ32" i="14"/>
  <c r="Z36" i="14"/>
  <c r="AH36" i="12"/>
  <c r="R35" i="13"/>
  <c r="R34" i="17"/>
  <c r="N34" i="17"/>
  <c r="AE36" i="12"/>
  <c r="U34" i="14"/>
  <c r="AD34" i="14"/>
  <c r="AD35" i="13"/>
  <c r="T35" i="14"/>
  <c r="W37" i="16"/>
  <c r="AC32" i="16"/>
  <c r="AH34" i="14"/>
  <c r="AI32" i="16"/>
  <c r="AK32" i="16"/>
  <c r="AB32" i="16"/>
  <c r="AE37" i="16"/>
  <c r="L37" i="16"/>
  <c r="AK38" i="16"/>
  <c r="F38" i="16"/>
  <c r="V38" i="16"/>
  <c r="S36" i="12"/>
  <c r="AF36" i="12"/>
  <c r="N33" i="11"/>
  <c r="F33" i="11"/>
  <c r="AF33" i="11"/>
  <c r="U33" i="11"/>
  <c r="AH33" i="11"/>
  <c r="J33" i="11"/>
  <c r="AI33" i="11"/>
  <c r="AC33" i="11"/>
  <c r="AK33" i="11"/>
  <c r="T33" i="11"/>
  <c r="Z33" i="11"/>
  <c r="V33" i="11"/>
  <c r="R33" i="11"/>
  <c r="L33" i="11"/>
  <c r="AA33" i="11"/>
  <c r="S33" i="11"/>
  <c r="M37" i="12"/>
  <c r="R37" i="12"/>
  <c r="G37" i="12"/>
  <c r="AA37" i="12"/>
  <c r="AD37" i="12"/>
  <c r="AB37" i="12"/>
  <c r="S37" i="12"/>
  <c r="Z37" i="12"/>
  <c r="AE37" i="12"/>
  <c r="AK37" i="12"/>
  <c r="AF37" i="12"/>
  <c r="K37" i="12"/>
  <c r="O37" i="12"/>
  <c r="T37" i="12"/>
  <c r="Q37" i="12"/>
  <c r="Y37" i="12"/>
  <c r="AF36" i="15"/>
  <c r="AK36" i="15"/>
  <c r="AE36" i="15"/>
  <c r="N36" i="15"/>
  <c r="AB36" i="15"/>
  <c r="J36" i="15"/>
  <c r="AG36" i="15"/>
  <c r="W36" i="15"/>
  <c r="L38" i="17"/>
  <c r="O38" i="17"/>
  <c r="F38" i="17"/>
  <c r="H38" i="17"/>
  <c r="AG38" i="17"/>
  <c r="V38" i="17"/>
  <c r="T38" i="17"/>
  <c r="AI38" i="17"/>
  <c r="AJ38" i="17"/>
  <c r="P38" i="17"/>
  <c r="AA38" i="17"/>
  <c r="M36" i="15"/>
  <c r="S35" i="15"/>
  <c r="R36" i="15"/>
  <c r="I35" i="15"/>
  <c r="AI35" i="15"/>
  <c r="U36" i="14"/>
  <c r="AG32" i="14"/>
  <c r="J36" i="14"/>
  <c r="Y32" i="14"/>
  <c r="R32" i="14"/>
  <c r="V37" i="12"/>
  <c r="U37" i="12"/>
  <c r="M36" i="14"/>
  <c r="Q38" i="17"/>
  <c r="V36" i="12"/>
  <c r="AK36" i="12"/>
  <c r="K38" i="17"/>
  <c r="V36" i="15"/>
  <c r="G34" i="14"/>
  <c r="I34" i="17"/>
  <c r="O35" i="13"/>
  <c r="X37" i="12"/>
  <c r="AC35" i="13"/>
  <c r="N35" i="14"/>
  <c r="AF35" i="13"/>
  <c r="Z32" i="16"/>
  <c r="AF35" i="14"/>
  <c r="O37" i="16"/>
  <c r="AK35" i="14"/>
  <c r="M32" i="16"/>
  <c r="AG34" i="17"/>
  <c r="J38" i="16"/>
  <c r="AG38" i="16"/>
  <c r="AB36" i="12"/>
  <c r="K38" i="16"/>
  <c r="L34" i="14"/>
  <c r="Z36" i="12"/>
  <c r="P33" i="11"/>
  <c r="P36" i="12"/>
  <c r="P32" i="13"/>
  <c r="AC32" i="13"/>
  <c r="J32" i="13"/>
  <c r="N32" i="13"/>
  <c r="AE32" i="13"/>
  <c r="AF32" i="13"/>
  <c r="U32" i="13"/>
  <c r="Q32" i="13"/>
  <c r="AC38" i="16"/>
  <c r="AG33" i="17"/>
  <c r="AE33" i="17"/>
  <c r="K33" i="17"/>
  <c r="AF33" i="17"/>
  <c r="AB33" i="17"/>
  <c r="L33" i="17"/>
  <c r="S33" i="17"/>
  <c r="I33" i="17"/>
  <c r="Q33" i="17"/>
  <c r="AC33" i="17"/>
  <c r="P33" i="17"/>
  <c r="Y33" i="17"/>
  <c r="G33" i="17"/>
  <c r="R33" i="17"/>
  <c r="AK33" i="17"/>
  <c r="F33" i="17"/>
  <c r="P33" i="13"/>
  <c r="AI33" i="13"/>
  <c r="Y33" i="13"/>
  <c r="Q33" i="13"/>
  <c r="AB33" i="13"/>
  <c r="R33" i="13"/>
  <c r="S33" i="13"/>
  <c r="L33" i="13"/>
  <c r="AJ33" i="13"/>
  <c r="F33" i="13"/>
  <c r="H33" i="13"/>
  <c r="AA33" i="13"/>
  <c r="Z33" i="13"/>
  <c r="T33" i="13"/>
  <c r="O32" i="16"/>
  <c r="AG33" i="15"/>
  <c r="V33" i="15"/>
  <c r="Q33" i="15"/>
  <c r="F33" i="15"/>
  <c r="J33" i="15"/>
  <c r="Y33" i="15"/>
  <c r="AI33" i="15"/>
  <c r="T33" i="15"/>
  <c r="I33" i="15"/>
  <c r="L34" i="17"/>
  <c r="AI34" i="14"/>
  <c r="L32" i="14"/>
  <c r="P32" i="14"/>
  <c r="M32" i="14"/>
  <c r="S36" i="14"/>
  <c r="AD36" i="14"/>
  <c r="AC36" i="14"/>
  <c r="Y36" i="14"/>
  <c r="AK36" i="14"/>
  <c r="W36" i="14"/>
  <c r="AI36" i="14"/>
  <c r="AJ36" i="14"/>
  <c r="T36" i="12"/>
  <c r="J36" i="12"/>
  <c r="L36" i="12"/>
  <c r="AA36" i="12"/>
  <c r="AI36" i="12"/>
  <c r="R36" i="12"/>
  <c r="U32" i="14"/>
  <c r="O36" i="14"/>
  <c r="I37" i="16"/>
  <c r="N37" i="16"/>
  <c r="G37" i="16"/>
  <c r="AK37" i="16"/>
  <c r="AI37" i="16"/>
  <c r="J37" i="16"/>
  <c r="V37" i="16"/>
  <c r="F37" i="16"/>
  <c r="AH37" i="16"/>
  <c r="AD37" i="16"/>
  <c r="AJ37" i="16"/>
  <c r="AC37" i="16"/>
  <c r="H37" i="16"/>
  <c r="AG37" i="16"/>
  <c r="X37" i="16"/>
  <c r="R37" i="16"/>
  <c r="T37" i="16"/>
  <c r="AG35" i="14"/>
  <c r="AC35" i="14"/>
  <c r="L35" i="14"/>
  <c r="AJ35" i="14"/>
  <c r="K35" i="14"/>
  <c r="AB35" i="14"/>
  <c r="I35" i="14"/>
  <c r="J35" i="14"/>
  <c r="M35" i="14"/>
  <c r="AH35" i="14"/>
  <c r="S35" i="14"/>
  <c r="W35" i="14"/>
  <c r="V35" i="14"/>
  <c r="Y35" i="14"/>
  <c r="AC36" i="15"/>
  <c r="AF35" i="15"/>
  <c r="Y35" i="15"/>
  <c r="AK33" i="15"/>
  <c r="H35" i="15"/>
  <c r="Q36" i="14"/>
  <c r="N32" i="14"/>
  <c r="G36" i="14"/>
  <c r="P36" i="14"/>
  <c r="AI32" i="14"/>
  <c r="AD32" i="14"/>
  <c r="X32" i="14"/>
  <c r="T32" i="14"/>
  <c r="G32" i="13"/>
  <c r="P37" i="12"/>
  <c r="Z33" i="15"/>
  <c r="V35" i="13"/>
  <c r="K36" i="12"/>
  <c r="AD33" i="15"/>
  <c r="AB38" i="17"/>
  <c r="V32" i="13"/>
  <c r="J38" i="17"/>
  <c r="H37" i="12"/>
  <c r="Q36" i="15"/>
  <c r="AE32" i="16"/>
  <c r="P35" i="14"/>
  <c r="V33" i="13"/>
  <c r="X32" i="16"/>
  <c r="O35" i="14"/>
  <c r="F32" i="16"/>
  <c r="N33" i="13"/>
  <c r="M33" i="17"/>
  <c r="J33" i="13"/>
  <c r="AD35" i="14"/>
  <c r="Q35" i="14"/>
  <c r="R32" i="16"/>
  <c r="I36" i="12"/>
  <c r="Y38" i="17"/>
  <c r="G33" i="11"/>
  <c r="N36" i="12"/>
  <c r="AJ33" i="11"/>
  <c r="Z37" i="16"/>
  <c r="L34" i="12"/>
  <c r="S34" i="12"/>
  <c r="V34" i="12"/>
  <c r="AD34" i="12"/>
  <c r="N34" i="12"/>
  <c r="Y34" i="12"/>
  <c r="Q34" i="12"/>
  <c r="H34" i="12"/>
  <c r="F34" i="12"/>
  <c r="K34" i="12"/>
  <c r="AA34" i="12"/>
  <c r="T34" i="12"/>
  <c r="V37" i="17"/>
  <c r="Q37" i="17"/>
  <c r="AK37" i="17"/>
  <c r="AF37" i="17"/>
  <c r="AD37" i="17"/>
  <c r="L37" i="17"/>
  <c r="M37" i="17"/>
  <c r="AG37" i="17"/>
  <c r="AI37" i="17"/>
  <c r="AE37" i="17"/>
  <c r="O37" i="17"/>
  <c r="Y35" i="12"/>
  <c r="X35" i="12"/>
  <c r="AJ35" i="12"/>
  <c r="J35" i="12"/>
  <c r="V35" i="12"/>
  <c r="AK35" i="12"/>
  <c r="I35" i="12"/>
  <c r="AD35" i="12"/>
  <c r="AE35" i="12"/>
  <c r="L35" i="12"/>
  <c r="G35" i="12"/>
  <c r="X38" i="14"/>
  <c r="Y38" i="14"/>
  <c r="G38" i="14"/>
  <c r="AA38" i="14"/>
  <c r="I38" i="14"/>
  <c r="Z38" i="14"/>
  <c r="AG38" i="14"/>
  <c r="R38" i="14"/>
  <c r="M38" i="14"/>
  <c r="U35" i="14"/>
  <c r="N35" i="17"/>
  <c r="AE35" i="17"/>
  <c r="S35" i="17"/>
  <c r="G35" i="17"/>
  <c r="Z35" i="17"/>
  <c r="AC35" i="17"/>
  <c r="W35" i="17"/>
  <c r="P35" i="17"/>
  <c r="AB35" i="17"/>
  <c r="T35" i="17"/>
  <c r="M35" i="17"/>
  <c r="AA35" i="17"/>
  <c r="L35" i="15"/>
  <c r="K35" i="15"/>
  <c r="R35" i="15"/>
  <c r="G38" i="16"/>
  <c r="AJ38" i="16"/>
  <c r="Y38" i="16"/>
  <c r="T38" i="16"/>
  <c r="O38" i="16"/>
  <c r="U38" i="16"/>
  <c r="AF38" i="16"/>
  <c r="AA38" i="16"/>
  <c r="S38" i="16"/>
  <c r="AD38" i="16"/>
  <c r="P38" i="16"/>
  <c r="F34" i="17"/>
  <c r="AK34" i="17"/>
  <c r="M34" i="17"/>
  <c r="AE34" i="17"/>
  <c r="O34" i="17"/>
  <c r="U34" i="17"/>
  <c r="Y34" i="17"/>
  <c r="AB34" i="17"/>
  <c r="H34" i="17"/>
  <c r="AF34" i="17"/>
  <c r="S34" i="17"/>
  <c r="G34" i="17"/>
  <c r="AG35" i="15"/>
  <c r="F35" i="15"/>
  <c r="AJ35" i="15"/>
  <c r="W32" i="14"/>
  <c r="X36" i="14"/>
  <c r="Q32" i="14"/>
  <c r="G32" i="14"/>
  <c r="AK32" i="14"/>
  <c r="L36" i="14"/>
  <c r="I38" i="16"/>
  <c r="W38" i="16"/>
  <c r="O34" i="14"/>
  <c r="AC36" i="12"/>
  <c r="AI34" i="17"/>
  <c r="AA32" i="16"/>
  <c r="AH32" i="16"/>
  <c r="G32" i="16"/>
  <c r="AJ34" i="17"/>
  <c r="W32" i="16"/>
  <c r="Q38" i="16"/>
  <c r="Z38" i="16"/>
  <c r="AJ36" i="12"/>
  <c r="V34" i="17"/>
  <c r="X36" i="12"/>
  <c r="H36" i="12"/>
  <c r="AE35" i="13"/>
  <c r="U35" i="13"/>
  <c r="N35" i="13"/>
  <c r="AJ35" i="13"/>
  <c r="L35" i="13"/>
  <c r="AK35" i="13"/>
  <c r="S35" i="13"/>
  <c r="T35" i="13"/>
  <c r="M35" i="13"/>
  <c r="AB35" i="13"/>
  <c r="Q35" i="13"/>
  <c r="X36" i="15"/>
  <c r="Y36" i="15"/>
  <c r="M35" i="15"/>
  <c r="N35" i="15"/>
  <c r="AF32" i="14"/>
  <c r="AG36" i="14"/>
  <c r="H32" i="14"/>
  <c r="J32" i="14"/>
  <c r="K32" i="14"/>
  <c r="AH32" i="14"/>
  <c r="X32" i="13"/>
  <c r="AA32" i="13"/>
  <c r="AG37" i="12"/>
  <c r="R33" i="15"/>
  <c r="G35" i="15"/>
  <c r="O33" i="15"/>
  <c r="R38" i="16"/>
  <c r="W36" i="12"/>
  <c r="O36" i="12"/>
  <c r="Z38" i="17"/>
  <c r="AG32" i="13"/>
  <c r="W33" i="15"/>
  <c r="AE34" i="14"/>
  <c r="L36" i="15"/>
  <c r="AA34" i="14"/>
  <c r="X34" i="17"/>
  <c r="Q34" i="17"/>
  <c r="Z35" i="13"/>
  <c r="R34" i="14"/>
  <c r="N32" i="16"/>
  <c r="I33" i="13"/>
  <c r="T34" i="14"/>
  <c r="AE33" i="13"/>
  <c r="K35" i="13"/>
  <c r="AD33" i="13"/>
  <c r="H32" i="16"/>
  <c r="P35" i="13"/>
  <c r="Z33" i="17"/>
  <c r="T33" i="17"/>
  <c r="I34" i="14"/>
  <c r="G36" i="12"/>
  <c r="Y33" i="11"/>
  <c r="AG33" i="11"/>
  <c r="AE33" i="11"/>
  <c r="AF38" i="17"/>
  <c r="I35" i="13"/>
  <c r="T37" i="15"/>
  <c r="AF38" i="11"/>
  <c r="N38" i="11"/>
  <c r="J21" i="7"/>
  <c r="J14" i="7" s="1"/>
  <c r="BS24" i="9"/>
  <c r="W24" i="9"/>
  <c r="CD24" i="9"/>
  <c r="J24" i="9"/>
  <c r="CE24" i="9"/>
  <c r="T24" i="9"/>
  <c r="P24" i="9"/>
  <c r="AD24" i="9"/>
  <c r="Q24" i="9"/>
  <c r="BB24" i="9"/>
  <c r="BW24" i="9"/>
  <c r="AN24" i="9"/>
  <c r="CH24" i="9"/>
  <c r="AH24" i="9"/>
  <c r="BU24" i="9"/>
  <c r="BZ24" i="9"/>
  <c r="R24" i="9"/>
  <c r="G24" i="9"/>
  <c r="BM24" i="9"/>
  <c r="AG24" i="9"/>
  <c r="AR24" i="9"/>
  <c r="BK24" i="9"/>
  <c r="V24" i="9"/>
  <c r="K24" i="9"/>
  <c r="AE24" i="9"/>
  <c r="BX24" i="9"/>
  <c r="BI24" i="9"/>
  <c r="AF24" i="9"/>
  <c r="AW24" i="9"/>
  <c r="CM24" i="9"/>
  <c r="BR24" i="9"/>
  <c r="BY24" i="9"/>
  <c r="CJ24" i="9"/>
  <c r="BG24" i="9"/>
  <c r="AA24" i="9"/>
  <c r="AL24" i="9"/>
  <c r="BO24" i="9"/>
  <c r="CQ24" i="9"/>
  <c r="AZ24" i="9"/>
  <c r="O24" i="9"/>
  <c r="H24" i="9"/>
  <c r="CL24" i="9"/>
  <c r="F24" i="9"/>
  <c r="BH24" i="9"/>
  <c r="CA24" i="9"/>
  <c r="BD24" i="9"/>
  <c r="CG24" i="9"/>
  <c r="BA24" i="9"/>
  <c r="AP24" i="9"/>
  <c r="AJ24" i="9"/>
  <c r="AV24" i="9"/>
  <c r="CK24" i="9"/>
  <c r="BJ24" i="9"/>
  <c r="AU24" i="9"/>
  <c r="AO24" i="9"/>
  <c r="AB24" i="9"/>
  <c r="AS24" i="9"/>
  <c r="BV24" i="9"/>
  <c r="Y24" i="9"/>
  <c r="N24" i="9"/>
  <c r="M24" i="9"/>
  <c r="X24" i="9"/>
  <c r="AQ24" i="9"/>
  <c r="CO24" i="9"/>
  <c r="I24" i="9"/>
  <c r="BP24" i="9"/>
  <c r="BL24" i="9"/>
  <c r="AY24" i="9"/>
  <c r="L24" i="9"/>
  <c r="CR24" i="9"/>
  <c r="CC24" i="9"/>
  <c r="BT24" i="9"/>
  <c r="AI24" i="9"/>
  <c r="AC24" i="9"/>
  <c r="AX24" i="9"/>
  <c r="BE24" i="9"/>
  <c r="CF24" i="9"/>
  <c r="AM24" i="9"/>
  <c r="AT24" i="9"/>
  <c r="BQ24" i="9"/>
  <c r="BN24" i="9"/>
  <c r="U24" i="9"/>
  <c r="AK24" i="9"/>
  <c r="BF24" i="9"/>
  <c r="S24" i="9"/>
  <c r="CN24" i="9"/>
  <c r="BC24" i="9"/>
  <c r="CI24" i="9"/>
  <c r="CP24" i="9"/>
  <c r="Z24" i="9"/>
  <c r="CB24" i="9"/>
  <c r="J27" i="9"/>
  <c r="BC27" i="9"/>
  <c r="AN27" i="9"/>
  <c r="BB27" i="9"/>
  <c r="AV27" i="9"/>
  <c r="BR27" i="9"/>
  <c r="AS27" i="9"/>
  <c r="CP27" i="9"/>
  <c r="BQ27" i="9"/>
  <c r="CG27" i="9"/>
  <c r="G27" i="9"/>
  <c r="CC27" i="9"/>
  <c r="AQ27" i="9"/>
  <c r="AG27" i="9"/>
  <c r="CL27" i="9"/>
  <c r="BD27" i="9"/>
  <c r="AW27" i="9"/>
  <c r="BV27" i="9"/>
  <c r="CD27" i="9"/>
  <c r="BL27" i="9"/>
  <c r="AK27" i="9"/>
  <c r="CK27" i="9"/>
  <c r="CH27" i="9"/>
  <c r="CI27" i="9"/>
  <c r="BT27" i="9"/>
  <c r="BG27" i="9"/>
  <c r="AP27" i="9"/>
  <c r="BF27" i="9"/>
  <c r="CN27" i="9"/>
  <c r="AA27" i="9"/>
  <c r="F27" i="9"/>
  <c r="L27" i="9"/>
  <c r="AR27" i="9"/>
  <c r="CF27" i="9"/>
  <c r="AJ27" i="9"/>
  <c r="BA27" i="9"/>
  <c r="AO27" i="9"/>
  <c r="CJ27" i="9"/>
  <c r="AL27" i="9"/>
  <c r="AH27" i="9"/>
  <c r="S27" i="9"/>
  <c r="V27" i="9"/>
  <c r="O27" i="9"/>
  <c r="Q27" i="9"/>
  <c r="CM27" i="9"/>
  <c r="CR27" i="9"/>
  <c r="BU27" i="9"/>
  <c r="AZ27" i="9"/>
  <c r="T27" i="9"/>
  <c r="CQ27" i="9"/>
  <c r="CA27" i="9"/>
  <c r="H27" i="9"/>
  <c r="Y27" i="9"/>
  <c r="CE27" i="9"/>
  <c r="AD27" i="9"/>
  <c r="BW27" i="9"/>
  <c r="BS27" i="9"/>
  <c r="AU27" i="9"/>
  <c r="BJ27" i="9"/>
  <c r="I27" i="9"/>
  <c r="N27" i="9"/>
  <c r="AY27" i="9"/>
  <c r="AC27" i="9"/>
  <c r="BP27" i="9"/>
  <c r="M27" i="9"/>
  <c r="BZ27" i="9"/>
  <c r="U27" i="9"/>
  <c r="BH27" i="9"/>
  <c r="Z27" i="9"/>
  <c r="BK27" i="9"/>
  <c r="BX27" i="9"/>
  <c r="AM27" i="9"/>
  <c r="AB27" i="9"/>
  <c r="X27" i="9"/>
  <c r="BM27" i="9"/>
  <c r="AX27" i="9"/>
  <c r="R27" i="9"/>
  <c r="AT27" i="9"/>
  <c r="BO27" i="9"/>
  <c r="AF27" i="9"/>
  <c r="BN27" i="9"/>
  <c r="AE27" i="9"/>
  <c r="AI27" i="9"/>
  <c r="P27" i="9"/>
  <c r="BY27" i="9"/>
  <c r="CO27" i="9"/>
  <c r="W27" i="9"/>
  <c r="CB27" i="9"/>
  <c r="BI27" i="9"/>
  <c r="BE27" i="9"/>
  <c r="K27" i="9"/>
  <c r="AE26" i="9"/>
  <c r="U26" i="9"/>
  <c r="BM21" i="9"/>
  <c r="Z23" i="9"/>
  <c r="CP26" i="9"/>
  <c r="BB23" i="9"/>
  <c r="AB26" i="9"/>
  <c r="CA26" i="9"/>
  <c r="BF26" i="9"/>
  <c r="P26" i="9"/>
  <c r="AS26" i="9"/>
  <c r="K23" i="9"/>
  <c r="CO21" i="9"/>
  <c r="CR26" i="9"/>
  <c r="CQ23" i="9"/>
  <c r="J26" i="9"/>
  <c r="CD26" i="9"/>
  <c r="N22" i="9"/>
  <c r="H25" i="9"/>
  <c r="BW26" i="9"/>
  <c r="F23" i="9"/>
  <c r="BZ23" i="9"/>
  <c r="W25" i="9"/>
  <c r="CG21" i="9"/>
  <c r="M23" i="9"/>
  <c r="AW26" i="9"/>
  <c r="CC26" i="9"/>
  <c r="I26" i="9"/>
  <c r="BH26" i="9"/>
  <c r="BM26" i="9"/>
  <c r="CK26" i="9"/>
  <c r="BG23" i="9"/>
  <c r="AZ26" i="9"/>
  <c r="L26" i="9"/>
  <c r="BI26" i="9"/>
  <c r="CB26" i="9"/>
  <c r="T23" i="9"/>
  <c r="AX26" i="9"/>
  <c r="AV26" i="9"/>
  <c r="AR26" i="9"/>
  <c r="CN25" i="9"/>
  <c r="BV26" i="9"/>
  <c r="Z26" i="9"/>
  <c r="AU26" i="9"/>
  <c r="CE26" i="9"/>
  <c r="O26" i="9"/>
  <c r="CM26" i="9"/>
  <c r="M26" i="9"/>
  <c r="W26" i="9"/>
  <c r="AL26" i="9"/>
  <c r="AH26" i="9"/>
  <c r="BQ26" i="9"/>
  <c r="BG26" i="9"/>
  <c r="AV23" i="9"/>
  <c r="BD23" i="9"/>
  <c r="J25" i="9"/>
  <c r="AQ23" i="9"/>
  <c r="BL26" i="9"/>
  <c r="T26" i="9"/>
  <c r="AJ26" i="9"/>
  <c r="F25" i="9"/>
  <c r="CQ26" i="9"/>
  <c r="AG26" i="9"/>
  <c r="Y26" i="9"/>
  <c r="AA26" i="9"/>
  <c r="AY26" i="9"/>
  <c r="CG26" i="9"/>
  <c r="CF26" i="9"/>
  <c r="H26" i="9"/>
  <c r="CO26" i="9"/>
  <c r="S26" i="9"/>
  <c r="BA26" i="9"/>
  <c r="AQ26" i="9"/>
  <c r="AC26" i="9"/>
  <c r="CB23" i="9"/>
  <c r="F26" i="9"/>
  <c r="R26" i="9"/>
  <c r="BE26" i="9"/>
  <c r="E21" i="9"/>
  <c r="CL26" i="9"/>
  <c r="AP26" i="9"/>
  <c r="X26" i="9"/>
  <c r="BD26" i="9"/>
  <c r="AK26" i="9"/>
  <c r="CN26" i="9"/>
  <c r="BK26" i="9"/>
  <c r="K25" i="9"/>
  <c r="BT26" i="9"/>
  <c r="Q26" i="9"/>
  <c r="BC26" i="9"/>
  <c r="BR26" i="9"/>
  <c r="BJ26" i="9"/>
  <c r="AT26" i="9"/>
  <c r="BX26" i="9"/>
  <c r="BS23" i="9"/>
  <c r="AP23" i="9"/>
  <c r="BN22" i="9"/>
  <c r="AM21" i="9"/>
  <c r="BF22" i="9"/>
  <c r="AF26" i="9"/>
  <c r="BZ26" i="9"/>
  <c r="AI26" i="9"/>
  <c r="BO26" i="9"/>
  <c r="BP26" i="9"/>
  <c r="N26" i="9"/>
  <c r="BY26" i="9"/>
  <c r="AM26" i="9"/>
  <c r="CJ26" i="9"/>
  <c r="CI26" i="9"/>
  <c r="BS26" i="9"/>
  <c r="CH26" i="9"/>
  <c r="AO26" i="9"/>
  <c r="AD26" i="9"/>
  <c r="BN26" i="9"/>
  <c r="K26" i="9"/>
  <c r="BB26" i="9"/>
  <c r="BU26" i="9"/>
  <c r="V26" i="9"/>
  <c r="AN26" i="9"/>
  <c r="G26" i="9"/>
  <c r="BX23" i="9"/>
  <c r="AK22" i="9"/>
  <c r="AJ23" i="9"/>
  <c r="AU23" i="9"/>
  <c r="CD23" i="9"/>
  <c r="AJ21" i="9"/>
  <c r="AE22" i="9"/>
  <c r="X25" i="9"/>
  <c r="BJ23" i="9"/>
  <c r="N23" i="9"/>
  <c r="Y23" i="9"/>
  <c r="BW25" i="9"/>
  <c r="CP23" i="9"/>
  <c r="BE23" i="9"/>
  <c r="CF22" i="9"/>
  <c r="P23" i="9"/>
  <c r="AM23" i="9"/>
  <c r="BQ23" i="9"/>
  <c r="AY23" i="9"/>
  <c r="AT23" i="9"/>
  <c r="CO23" i="9"/>
  <c r="AH23" i="9"/>
  <c r="BU23" i="9"/>
  <c r="AE23" i="9"/>
  <c r="AA23" i="9"/>
  <c r="G23" i="9"/>
  <c r="BA21" i="9"/>
  <c r="BG21" i="9"/>
  <c r="AH22" i="9"/>
  <c r="BT23" i="9"/>
  <c r="CF23" i="9"/>
  <c r="BV25" i="9"/>
  <c r="S23" i="9"/>
  <c r="O23" i="9"/>
  <c r="AS23" i="9"/>
  <c r="W21" i="9"/>
  <c r="BK22" i="9"/>
  <c r="BA25" i="9"/>
  <c r="AK25" i="9"/>
  <c r="CL23" i="9"/>
  <c r="CC23" i="9"/>
  <c r="AH21" i="9"/>
  <c r="I25" i="9"/>
  <c r="CH25" i="9"/>
  <c r="G25" i="9"/>
  <c r="CI25" i="9"/>
  <c r="CA23" i="9"/>
  <c r="BK23" i="9"/>
  <c r="BY23" i="9"/>
  <c r="I23" i="9"/>
  <c r="W23" i="9"/>
  <c r="L23" i="9"/>
  <c r="BH23" i="9"/>
  <c r="R23" i="9"/>
  <c r="BP23" i="9"/>
  <c r="BL23" i="9"/>
  <c r="AR23" i="9"/>
  <c r="AS21" i="9"/>
  <c r="AX23" i="9"/>
  <c r="AZ23" i="9"/>
  <c r="CK23" i="9"/>
  <c r="AA22" i="9"/>
  <c r="AG23" i="9"/>
  <c r="BV23" i="9"/>
  <c r="AR22" i="9"/>
  <c r="BA23" i="9"/>
  <c r="BO23" i="9"/>
  <c r="CQ21" i="9"/>
  <c r="T25" i="9"/>
  <c r="N25" i="9"/>
  <c r="AA25" i="9"/>
  <c r="AI23" i="9"/>
  <c r="AD23" i="9"/>
  <c r="AL23" i="9"/>
  <c r="BN23" i="9"/>
  <c r="Q23" i="9"/>
  <c r="BR23" i="9"/>
  <c r="CH23" i="9"/>
  <c r="BC23" i="9"/>
  <c r="CJ23" i="9"/>
  <c r="U23" i="9"/>
  <c r="CJ22" i="9"/>
  <c r="BM23" i="9"/>
  <c r="AW23" i="9"/>
  <c r="CM23" i="9"/>
  <c r="AK23" i="9"/>
  <c r="AF21" i="9"/>
  <c r="AD25" i="9"/>
  <c r="CE23" i="9"/>
  <c r="AO23" i="9"/>
  <c r="AB23" i="9"/>
  <c r="P21" i="9"/>
  <c r="AF23" i="9"/>
  <c r="V23" i="9"/>
  <c r="X23" i="9"/>
  <c r="CG23" i="9"/>
  <c r="L25" i="9"/>
  <c r="H23" i="9"/>
  <c r="CI23" i="9"/>
  <c r="J23" i="9"/>
  <c r="BI23" i="9"/>
  <c r="BW23" i="9"/>
  <c r="CR23" i="9"/>
  <c r="AC23" i="9"/>
  <c r="CN23" i="9"/>
  <c r="AN23" i="9"/>
  <c r="BF23" i="9"/>
  <c r="O22" i="9"/>
  <c r="BY22" i="9"/>
  <c r="BF25" i="9"/>
  <c r="BE25" i="9"/>
  <c r="BH25" i="9"/>
  <c r="BI21" i="9"/>
  <c r="L21" i="9"/>
  <c r="AW21" i="9"/>
  <c r="N21" i="9"/>
  <c r="AT21" i="9"/>
  <c r="BT25" i="9"/>
  <c r="V25" i="9"/>
  <c r="AW25" i="9"/>
  <c r="BZ25" i="9"/>
  <c r="BX25" i="9"/>
  <c r="S25" i="9"/>
  <c r="Z25" i="9"/>
  <c r="Q25" i="9"/>
  <c r="CE25" i="9"/>
  <c r="CL25" i="9"/>
  <c r="BC21" i="9"/>
  <c r="BH21" i="9"/>
  <c r="AB21" i="9"/>
  <c r="M21" i="9"/>
  <c r="AL21" i="9"/>
  <c r="AV21" i="9"/>
  <c r="CE21" i="9"/>
  <c r="U21" i="9"/>
  <c r="BK21" i="9"/>
  <c r="BD21" i="9"/>
  <c r="AP21" i="9"/>
  <c r="K22" i="9"/>
  <c r="S22" i="9"/>
  <c r="AG22" i="9"/>
  <c r="BU22" i="9"/>
  <c r="BA22" i="9"/>
  <c r="CR22" i="9"/>
  <c r="BM22" i="9"/>
  <c r="G22" i="9"/>
  <c r="J22" i="9"/>
  <c r="AN22" i="9"/>
  <c r="BG22" i="9"/>
  <c r="AL25" i="9"/>
  <c r="CA25" i="9"/>
  <c r="BQ25" i="9"/>
  <c r="AF25" i="9"/>
  <c r="BI25" i="9"/>
  <c r="BG25" i="9"/>
  <c r="AR25" i="9"/>
  <c r="BD25" i="9"/>
  <c r="AU25" i="9"/>
  <c r="BB25" i="9"/>
  <c r="AC25" i="9"/>
  <c r="AU21" i="9"/>
  <c r="BP21" i="9"/>
  <c r="BY21" i="9"/>
  <c r="V21" i="9"/>
  <c r="BL21" i="9"/>
  <c r="BO21" i="9"/>
  <c r="AZ21" i="9"/>
  <c r="AI21" i="9"/>
  <c r="O21" i="9"/>
  <c r="BB21" i="9"/>
  <c r="CR21" i="9"/>
  <c r="CM22" i="9"/>
  <c r="CG22" i="9"/>
  <c r="AJ22" i="9"/>
  <c r="AX22" i="9"/>
  <c r="BO22" i="9"/>
  <c r="AZ22" i="9"/>
  <c r="BE22" i="9"/>
  <c r="X22" i="9"/>
  <c r="AQ22" i="9"/>
  <c r="AP22" i="9"/>
  <c r="BT22" i="9"/>
  <c r="CN22" i="9"/>
  <c r="BP25" i="9"/>
  <c r="AS25" i="9"/>
  <c r="AY25" i="9"/>
  <c r="AO25" i="9"/>
  <c r="AB25" i="9"/>
  <c r="AP25" i="9"/>
  <c r="CC25" i="9"/>
  <c r="CP25" i="9"/>
  <c r="CF25" i="9"/>
  <c r="CM25" i="9"/>
  <c r="BN25" i="9"/>
  <c r="AN21" i="9"/>
  <c r="AY21" i="9"/>
  <c r="G21" i="9"/>
  <c r="X21" i="9"/>
  <c r="J21" i="9"/>
  <c r="T21" i="9"/>
  <c r="CI21" i="9"/>
  <c r="BE21" i="9"/>
  <c r="BZ21" i="9"/>
  <c r="BV21" i="9"/>
  <c r="BN21" i="9"/>
  <c r="I22" i="9"/>
  <c r="AF22" i="9"/>
  <c r="R22" i="9"/>
  <c r="BI22" i="9"/>
  <c r="T22" i="9"/>
  <c r="E22" i="9"/>
  <c r="Z22" i="9"/>
  <c r="BD22" i="9"/>
  <c r="BW22" i="9"/>
  <c r="BV22" i="9"/>
  <c r="Y22" i="9"/>
  <c r="L22" i="9"/>
  <c r="BL25" i="9"/>
  <c r="AG25" i="9"/>
  <c r="CJ21" i="9"/>
  <c r="Q21" i="9"/>
  <c r="CO22" i="9"/>
  <c r="CP22" i="9"/>
  <c r="Q22" i="9"/>
  <c r="BQ22" i="9"/>
  <c r="W22" i="9"/>
  <c r="AT22" i="9"/>
  <c r="AE25" i="9"/>
  <c r="BC25" i="9"/>
  <c r="Y25" i="9"/>
  <c r="BM25" i="9"/>
  <c r="AZ25" i="9"/>
  <c r="CQ25" i="9"/>
  <c r="M25" i="9"/>
  <c r="BK25" i="9"/>
  <c r="BR25" i="9"/>
  <c r="CK21" i="9"/>
  <c r="AX21" i="9"/>
  <c r="BW21" i="9"/>
  <c r="AK21" i="9"/>
  <c r="Y21" i="9"/>
  <c r="CP21" i="9"/>
  <c r="AG21" i="9"/>
  <c r="F21" i="9"/>
  <c r="BU21" i="9"/>
  <c r="BX21" i="9"/>
  <c r="AE21" i="9"/>
  <c r="BR21" i="9"/>
  <c r="CA22" i="9"/>
  <c r="CD22" i="9"/>
  <c r="AL22" i="9"/>
  <c r="CB22" i="9"/>
  <c r="V22" i="9"/>
  <c r="AU22" i="9"/>
  <c r="CC22" i="9"/>
  <c r="AD22" i="9"/>
  <c r="BH22" i="9"/>
  <c r="BC22" i="9"/>
  <c r="BZ22" i="9"/>
  <c r="CK25" i="9"/>
  <c r="CG25" i="9"/>
  <c r="BO25" i="9"/>
  <c r="CB21" i="9"/>
  <c r="CD21" i="9"/>
  <c r="BS21" i="9"/>
  <c r="CJ25" i="9"/>
  <c r="AM25" i="9"/>
  <c r="U25" i="9"/>
  <c r="AV25" i="9"/>
  <c r="AI25" i="9"/>
  <c r="AN25" i="9"/>
  <c r="AJ25" i="9"/>
  <c r="AQ25" i="9"/>
  <c r="AX25" i="9"/>
  <c r="P25" i="9"/>
  <c r="S21" i="9"/>
  <c r="AA21" i="9"/>
  <c r="AQ21" i="9"/>
  <c r="I21" i="9"/>
  <c r="BJ21" i="9"/>
  <c r="AR21" i="9"/>
  <c r="CN21" i="9"/>
  <c r="CA21" i="9"/>
  <c r="CF21" i="9"/>
  <c r="CM21" i="9"/>
  <c r="H21" i="9"/>
  <c r="CL21" i="9"/>
  <c r="CE22" i="9"/>
  <c r="AO22" i="9"/>
  <c r="AY22" i="9"/>
  <c r="AS22" i="9"/>
  <c r="CH22" i="9"/>
  <c r="CK22" i="9"/>
  <c r="AM22" i="9"/>
  <c r="BJ22" i="9"/>
  <c r="CQ22" i="9"/>
  <c r="CI22" i="9"/>
  <c r="AW22" i="9"/>
  <c r="CO25" i="9"/>
  <c r="BQ21" i="9"/>
  <c r="Z21" i="9"/>
  <c r="BR22" i="9"/>
  <c r="AV22" i="9"/>
  <c r="P22" i="9"/>
  <c r="CL22" i="9"/>
  <c r="AB22" i="9"/>
  <c r="BX22" i="9"/>
  <c r="AH25" i="9"/>
  <c r="O25" i="9"/>
  <c r="BJ25" i="9"/>
  <c r="CD25" i="9"/>
  <c r="CR25" i="9"/>
  <c r="R25" i="9"/>
  <c r="BY25" i="9"/>
  <c r="BU25" i="9"/>
  <c r="CB25" i="9"/>
  <c r="BS25" i="9"/>
  <c r="AT25" i="9"/>
  <c r="AD21" i="9"/>
  <c r="CC21" i="9"/>
  <c r="CH21" i="9"/>
  <c r="BF21" i="9"/>
  <c r="K21" i="9"/>
  <c r="BT21" i="9"/>
  <c r="R21" i="9"/>
  <c r="AC21" i="9"/>
  <c r="AO21" i="9"/>
  <c r="AC22" i="9"/>
  <c r="F22" i="9"/>
  <c r="BP22" i="9"/>
  <c r="BB22" i="9"/>
  <c r="AI22" i="9"/>
  <c r="BL22" i="9"/>
  <c r="BS22" i="9"/>
  <c r="M22" i="9"/>
  <c r="U22" i="9"/>
  <c r="H22" i="9"/>
  <c r="E78" i="17" a="1"/>
  <c r="T78" i="17" s="1"/>
  <c r="E50" i="15" a="1"/>
  <c r="AE50" i="15" s="1"/>
  <c r="E79" i="11" a="1"/>
  <c r="S79" i="11" s="1"/>
  <c r="E52" i="16" a="1"/>
  <c r="AD52" i="16" s="1"/>
  <c r="E81" i="12" a="1"/>
  <c r="AK81" i="12" s="1"/>
  <c r="E51" i="11" a="1"/>
  <c r="F51" i="11" s="1"/>
  <c r="E56" i="16" a="1"/>
  <c r="X56" i="16" s="1"/>
  <c r="E55" i="15" a="1"/>
  <c r="Z55" i="15" s="1"/>
  <c r="E54" i="16" a="1"/>
  <c r="E54" i="16" s="1"/>
  <c r="E55" i="12" a="1"/>
  <c r="N55" i="12" s="1"/>
  <c r="E52" i="12" a="1"/>
  <c r="E53" i="13" a="1"/>
  <c r="E162" i="15"/>
  <c r="O162" i="15"/>
  <c r="J162" i="15"/>
  <c r="G162" i="15"/>
  <c r="AE162" i="15"/>
  <c r="AB162" i="15"/>
  <c r="Z162" i="15"/>
  <c r="Q162" i="15"/>
  <c r="AC162" i="15"/>
  <c r="V162" i="15"/>
  <c r="U162" i="15"/>
  <c r="X162" i="15"/>
  <c r="L162" i="15"/>
  <c r="Y162" i="15"/>
  <c r="K162" i="15"/>
  <c r="F162" i="15"/>
  <c r="T162" i="15"/>
  <c r="M162" i="15"/>
  <c r="S162" i="15"/>
  <c r="AD162" i="15"/>
  <c r="AI162" i="15"/>
  <c r="N162" i="15"/>
  <c r="AJ162" i="15"/>
  <c r="AK162" i="15"/>
  <c r="AF162" i="15"/>
  <c r="P162" i="15"/>
  <c r="AH162" i="15"/>
  <c r="R162" i="15"/>
  <c r="H162" i="15"/>
  <c r="AG162" i="15"/>
  <c r="AA162" i="15"/>
  <c r="I162" i="15"/>
  <c r="W162" i="15"/>
  <c r="P68" i="14"/>
  <c r="W68" i="14"/>
  <c r="AC68" i="14"/>
  <c r="J68" i="14"/>
  <c r="T68" i="14"/>
  <c r="E68" i="14"/>
  <c r="G68" i="14"/>
  <c r="Z68" i="14"/>
  <c r="X68" i="14"/>
  <c r="I68" i="14"/>
  <c r="S68" i="14"/>
  <c r="AD68" i="14"/>
  <c r="AJ68" i="14"/>
  <c r="U68" i="14"/>
  <c r="F68" i="14"/>
  <c r="H68" i="14"/>
  <c r="O68" i="14"/>
  <c r="AG68" i="14"/>
  <c r="R68" i="14"/>
  <c r="Y68" i="14"/>
  <c r="L68" i="14"/>
  <c r="AK68" i="14"/>
  <c r="K68" i="14"/>
  <c r="N68" i="14"/>
  <c r="AE68" i="14"/>
  <c r="V68" i="14"/>
  <c r="AF68" i="14"/>
  <c r="M68" i="14"/>
  <c r="AH68" i="14"/>
  <c r="Q68" i="14"/>
  <c r="AI68" i="14"/>
  <c r="AB68" i="14"/>
  <c r="AA68" i="14"/>
  <c r="P143" i="11"/>
  <c r="F143" i="11"/>
  <c r="J143" i="11"/>
  <c r="Z143" i="11"/>
  <c r="O143" i="11"/>
  <c r="M143" i="11"/>
  <c r="U143" i="11"/>
  <c r="N143" i="11"/>
  <c r="S143" i="11"/>
  <c r="K143" i="11"/>
  <c r="Q143" i="11"/>
  <c r="AB143" i="11"/>
  <c r="E143" i="11"/>
  <c r="L143" i="11"/>
  <c r="AI143" i="11"/>
  <c r="V143" i="11"/>
  <c r="AG143" i="11"/>
  <c r="H143" i="11"/>
  <c r="X143" i="11"/>
  <c r="AD143" i="11"/>
  <c r="AC143" i="11"/>
  <c r="Y143" i="11"/>
  <c r="AE143" i="11"/>
  <c r="W143" i="11"/>
  <c r="AH143" i="11"/>
  <c r="R143" i="11"/>
  <c r="I143" i="11"/>
  <c r="T143" i="11"/>
  <c r="AA143" i="11"/>
  <c r="G143" i="11"/>
  <c r="AF143" i="11"/>
  <c r="AK143" i="11"/>
  <c r="AJ143" i="11"/>
  <c r="H98" i="13"/>
  <c r="S98" i="13"/>
  <c r="O98" i="13"/>
  <c r="AC98" i="13"/>
  <c r="Y98" i="13"/>
  <c r="AJ98" i="13"/>
  <c r="X98" i="13"/>
  <c r="Z98" i="13"/>
  <c r="R98" i="13"/>
  <c r="K98" i="13"/>
  <c r="M98" i="13"/>
  <c r="AB98" i="13"/>
  <c r="AK98" i="13"/>
  <c r="AG98" i="13"/>
  <c r="P98" i="13"/>
  <c r="G98" i="13"/>
  <c r="F98" i="13"/>
  <c r="AH98" i="13"/>
  <c r="AE98" i="13"/>
  <c r="Q98" i="13"/>
  <c r="AF98" i="13"/>
  <c r="E98" i="13"/>
  <c r="N98" i="13"/>
  <c r="T98" i="13"/>
  <c r="AD98" i="13"/>
  <c r="AI98" i="13"/>
  <c r="AA98" i="13"/>
  <c r="V98" i="13"/>
  <c r="I98" i="13"/>
  <c r="L98" i="13"/>
  <c r="J98" i="13"/>
  <c r="U98" i="13"/>
  <c r="W98" i="13"/>
  <c r="E162" i="17"/>
  <c r="AJ162" i="17"/>
  <c r="N162" i="17"/>
  <c r="P162" i="17"/>
  <c r="AF162" i="17"/>
  <c r="Z162" i="17"/>
  <c r="H162" i="17"/>
  <c r="AB162" i="17"/>
  <c r="L162" i="17"/>
  <c r="W162" i="17"/>
  <c r="Y162" i="17"/>
  <c r="AH162" i="17"/>
  <c r="R162" i="17"/>
  <c r="X162" i="17"/>
  <c r="AC162" i="17"/>
  <c r="AG162" i="17"/>
  <c r="K162" i="17"/>
  <c r="T162" i="17"/>
  <c r="V162" i="17"/>
  <c r="F162" i="17"/>
  <c r="U162" i="17"/>
  <c r="I162" i="17"/>
  <c r="J162" i="17"/>
  <c r="G162" i="17"/>
  <c r="Q162" i="17"/>
  <c r="AE162" i="17"/>
  <c r="AK162" i="17"/>
  <c r="AD162" i="17"/>
  <c r="AI162" i="17"/>
  <c r="S162" i="17"/>
  <c r="M162" i="17"/>
  <c r="AA162" i="17"/>
  <c r="O162" i="17"/>
  <c r="E137" i="16"/>
  <c r="V137" i="16"/>
  <c r="U137" i="16"/>
  <c r="Q137" i="16"/>
  <c r="W137" i="16"/>
  <c r="H137" i="16"/>
  <c r="AH137" i="16"/>
  <c r="L137" i="16"/>
  <c r="J137" i="16"/>
  <c r="F137" i="16"/>
  <c r="P137" i="16"/>
  <c r="AB137" i="16"/>
  <c r="O137" i="16"/>
  <c r="X137" i="16"/>
  <c r="AA137" i="16"/>
  <c r="T137" i="16"/>
  <c r="AE137" i="16"/>
  <c r="AF137" i="16"/>
  <c r="AG137" i="16"/>
  <c r="N137" i="16"/>
  <c r="R137" i="16"/>
  <c r="AC137" i="16"/>
  <c r="AK137" i="16"/>
  <c r="Z137" i="16"/>
  <c r="M137" i="16"/>
  <c r="AD137" i="16"/>
  <c r="K137" i="16"/>
  <c r="AI137" i="16"/>
  <c r="Y137" i="16"/>
  <c r="AJ137" i="16"/>
  <c r="S137" i="16"/>
  <c r="I137" i="16"/>
  <c r="G137" i="16"/>
  <c r="L125" i="13"/>
  <c r="Z125" i="13"/>
  <c r="AD125" i="13"/>
  <c r="AC125" i="13"/>
  <c r="J125" i="13"/>
  <c r="W125" i="13"/>
  <c r="AH125" i="13"/>
  <c r="AA125" i="13"/>
  <c r="I125" i="13"/>
  <c r="AJ125" i="13"/>
  <c r="F125" i="13"/>
  <c r="U125" i="13"/>
  <c r="AK125" i="13"/>
  <c r="N125" i="13"/>
  <c r="Y125" i="13"/>
  <c r="S125" i="13"/>
  <c r="AI125" i="13"/>
  <c r="V125" i="13"/>
  <c r="AE125" i="13"/>
  <c r="H125" i="13"/>
  <c r="X125" i="13"/>
  <c r="AF125" i="13"/>
  <c r="T125" i="13"/>
  <c r="K125" i="13"/>
  <c r="AB125" i="13"/>
  <c r="P125" i="13"/>
  <c r="E125" i="13"/>
  <c r="Q125" i="13"/>
  <c r="M125" i="13"/>
  <c r="G125" i="13"/>
  <c r="O125" i="13"/>
  <c r="AG125" i="13"/>
  <c r="R125" i="13"/>
  <c r="E55" i="13" a="1"/>
  <c r="H113" i="14"/>
  <c r="S113" i="14"/>
  <c r="AG113" i="14"/>
  <c r="AB113" i="14"/>
  <c r="T113" i="14"/>
  <c r="F113" i="14"/>
  <c r="U113" i="14"/>
  <c r="Z113" i="14"/>
  <c r="Y113" i="14"/>
  <c r="AE113" i="14"/>
  <c r="I113" i="14"/>
  <c r="O113" i="14"/>
  <c r="G113" i="14"/>
  <c r="AK113" i="14"/>
  <c r="AA113" i="14"/>
  <c r="P113" i="14"/>
  <c r="W113" i="14"/>
  <c r="AH113" i="14"/>
  <c r="AJ113" i="14"/>
  <c r="E113" i="14"/>
  <c r="AI113" i="14"/>
  <c r="X113" i="14"/>
  <c r="R113" i="14"/>
  <c r="AC113" i="14"/>
  <c r="K113" i="14"/>
  <c r="N113" i="14"/>
  <c r="L113" i="14"/>
  <c r="M113" i="14"/>
  <c r="Q113" i="14"/>
  <c r="J113" i="14"/>
  <c r="AF113" i="14"/>
  <c r="V113" i="14"/>
  <c r="AD113" i="14"/>
  <c r="E51" i="13" a="1"/>
  <c r="AD96" i="15"/>
  <c r="AC96" i="15"/>
  <c r="Y96" i="15"/>
  <c r="AK96" i="15"/>
  <c r="H96" i="15"/>
  <c r="AA96" i="15"/>
  <c r="G96" i="15"/>
  <c r="AH96" i="15"/>
  <c r="O96" i="15"/>
  <c r="Z96" i="15"/>
  <c r="I96" i="15"/>
  <c r="X96" i="15"/>
  <c r="K96" i="15"/>
  <c r="AB96" i="15"/>
  <c r="J96" i="15"/>
  <c r="L96" i="15"/>
  <c r="AE96" i="15"/>
  <c r="Q96" i="15"/>
  <c r="P96" i="15"/>
  <c r="R96" i="15"/>
  <c r="N96" i="15"/>
  <c r="V96" i="15"/>
  <c r="E96" i="15"/>
  <c r="AJ96" i="15"/>
  <c r="U96" i="15"/>
  <c r="T96" i="15"/>
  <c r="W96" i="15"/>
  <c r="F96" i="15"/>
  <c r="AF96" i="15"/>
  <c r="AI96" i="15"/>
  <c r="AG96" i="15"/>
  <c r="S96" i="15"/>
  <c r="M96" i="15"/>
  <c r="H119" i="13"/>
  <c r="AE119" i="13"/>
  <c r="W119" i="13"/>
  <c r="X119" i="13"/>
  <c r="T119" i="13"/>
  <c r="Y119" i="13"/>
  <c r="AB119" i="13"/>
  <c r="I119" i="13"/>
  <c r="S119" i="13"/>
  <c r="AA119" i="13"/>
  <c r="Q119" i="13"/>
  <c r="R119" i="13"/>
  <c r="AD119" i="13"/>
  <c r="F119" i="13"/>
  <c r="AK119" i="13"/>
  <c r="G119" i="13"/>
  <c r="AH119" i="13"/>
  <c r="V119" i="13"/>
  <c r="Z119" i="13"/>
  <c r="O119" i="13"/>
  <c r="K119" i="13"/>
  <c r="J119" i="13"/>
  <c r="AI119" i="13"/>
  <c r="U119" i="13"/>
  <c r="E119" i="13"/>
  <c r="AF119" i="13"/>
  <c r="L119" i="13"/>
  <c r="M119" i="13"/>
  <c r="N119" i="13"/>
  <c r="AG119" i="13"/>
  <c r="P119" i="13"/>
  <c r="AJ119" i="13"/>
  <c r="AC119" i="13"/>
  <c r="E83" i="11" a="1"/>
  <c r="AB97" i="14"/>
  <c r="J97" i="14"/>
  <c r="W97" i="14"/>
  <c r="F97" i="14"/>
  <c r="T97" i="14"/>
  <c r="AK97" i="14"/>
  <c r="AA97" i="14"/>
  <c r="Z97" i="14"/>
  <c r="X97" i="14"/>
  <c r="R97" i="14"/>
  <c r="AE97" i="14"/>
  <c r="AH97" i="14"/>
  <c r="I97" i="14"/>
  <c r="G97" i="14"/>
  <c r="Q97" i="14"/>
  <c r="L97" i="14"/>
  <c r="U97" i="14"/>
  <c r="O97" i="14"/>
  <c r="AG97" i="14"/>
  <c r="M97" i="14"/>
  <c r="Y97" i="14"/>
  <c r="AC97" i="14"/>
  <c r="N97" i="14"/>
  <c r="H97" i="14"/>
  <c r="K97" i="14"/>
  <c r="P97" i="14"/>
  <c r="S97" i="14"/>
  <c r="AD97" i="14"/>
  <c r="AI97" i="14"/>
  <c r="AF97" i="14"/>
  <c r="AJ97" i="14"/>
  <c r="V97" i="14"/>
  <c r="E97" i="14"/>
  <c r="E83" i="17" a="1"/>
  <c r="X107" i="17"/>
  <c r="P107" i="17"/>
  <c r="H107" i="17"/>
  <c r="AF107" i="17"/>
  <c r="AK107" i="17"/>
  <c r="AG107" i="17"/>
  <c r="N107" i="17"/>
  <c r="Q107" i="17"/>
  <c r="Y107" i="17"/>
  <c r="F107" i="17"/>
  <c r="T107" i="17"/>
  <c r="G107" i="17"/>
  <c r="AI107" i="17"/>
  <c r="AA107" i="17"/>
  <c r="E107" i="17"/>
  <c r="M107" i="17"/>
  <c r="AH107" i="17"/>
  <c r="I107" i="17"/>
  <c r="V107" i="17"/>
  <c r="L107" i="17"/>
  <c r="W107" i="17"/>
  <c r="O107" i="17"/>
  <c r="AD107" i="17"/>
  <c r="U107" i="17"/>
  <c r="R107" i="17"/>
  <c r="J107" i="17"/>
  <c r="K107" i="17"/>
  <c r="AJ107" i="17"/>
  <c r="Z107" i="17"/>
  <c r="S107" i="17"/>
  <c r="AC107" i="17"/>
  <c r="AB107" i="17"/>
  <c r="AE107" i="17"/>
  <c r="H71" i="14"/>
  <c r="Q71" i="14"/>
  <c r="J71" i="14"/>
  <c r="F71" i="14"/>
  <c r="R71" i="14"/>
  <c r="AE71" i="14"/>
  <c r="AD71" i="14"/>
  <c r="M71" i="14"/>
  <c r="AB71" i="14"/>
  <c r="X71" i="14"/>
  <c r="AG71" i="14"/>
  <c r="AJ71" i="14"/>
  <c r="AF71" i="14"/>
  <c r="L71" i="14"/>
  <c r="AA71" i="14"/>
  <c r="G71" i="14"/>
  <c r="AH71" i="14"/>
  <c r="Z71" i="14"/>
  <c r="Y71" i="14"/>
  <c r="U71" i="14"/>
  <c r="K71" i="14"/>
  <c r="AK71" i="14"/>
  <c r="AC71" i="14"/>
  <c r="E71" i="14"/>
  <c r="V71" i="14"/>
  <c r="O71" i="14"/>
  <c r="I71" i="14"/>
  <c r="N71" i="14"/>
  <c r="AI71" i="14"/>
  <c r="S71" i="14"/>
  <c r="T71" i="14"/>
  <c r="P71" i="14"/>
  <c r="W71" i="14"/>
  <c r="P174" i="11"/>
  <c r="AA174" i="11"/>
  <c r="AC174" i="11"/>
  <c r="I174" i="11"/>
  <c r="E174" i="11"/>
  <c r="S174" i="11"/>
  <c r="AD174" i="11"/>
  <c r="G174" i="11"/>
  <c r="Y174" i="11"/>
  <c r="N174" i="11"/>
  <c r="F174" i="11"/>
  <c r="O174" i="11"/>
  <c r="AG174" i="11"/>
  <c r="AB174" i="11"/>
  <c r="K174" i="11"/>
  <c r="R174" i="11"/>
  <c r="AE174" i="11"/>
  <c r="M174" i="11"/>
  <c r="Q174" i="11"/>
  <c r="V174" i="11"/>
  <c r="X174" i="11"/>
  <c r="U174" i="11"/>
  <c r="AH174" i="11"/>
  <c r="AJ174" i="11"/>
  <c r="H174" i="11"/>
  <c r="T174" i="11"/>
  <c r="AK174" i="11"/>
  <c r="AI174" i="11"/>
  <c r="AF174" i="11"/>
  <c r="Z174" i="11"/>
  <c r="L174" i="11"/>
  <c r="J174" i="11"/>
  <c r="W174" i="11"/>
  <c r="H73" i="17"/>
  <c r="O73" i="17"/>
  <c r="AG73" i="17"/>
  <c r="Z73" i="17"/>
  <c r="AI73" i="17"/>
  <c r="AB73" i="17"/>
  <c r="U73" i="17"/>
  <c r="N73" i="17"/>
  <c r="W73" i="17"/>
  <c r="L73" i="17"/>
  <c r="M73" i="17"/>
  <c r="R73" i="17"/>
  <c r="P73" i="17"/>
  <c r="Q73" i="17"/>
  <c r="V73" i="17"/>
  <c r="AJ73" i="17"/>
  <c r="K73" i="17"/>
  <c r="S73" i="17"/>
  <c r="E73" i="17"/>
  <c r="F73" i="17"/>
  <c r="AA73" i="17"/>
  <c r="J73" i="17"/>
  <c r="Y73" i="17"/>
  <c r="AK73" i="17"/>
  <c r="G73" i="17"/>
  <c r="AD73" i="17"/>
  <c r="AH73" i="17"/>
  <c r="X73" i="17"/>
  <c r="I73" i="17"/>
  <c r="AF73" i="17"/>
  <c r="AC73" i="17"/>
  <c r="T73" i="17"/>
  <c r="AE73" i="17"/>
  <c r="AF100" i="15"/>
  <c r="AC100" i="15"/>
  <c r="Z100" i="15"/>
  <c r="AA100" i="15"/>
  <c r="AB100" i="15"/>
  <c r="AG100" i="15"/>
  <c r="AH100" i="15"/>
  <c r="T100" i="15"/>
  <c r="Y100" i="15"/>
  <c r="G100" i="15"/>
  <c r="X100" i="15"/>
  <c r="Q100" i="15"/>
  <c r="AD100" i="15"/>
  <c r="H100" i="15"/>
  <c r="U100" i="15"/>
  <c r="K100" i="15"/>
  <c r="AJ100" i="15"/>
  <c r="J100" i="15"/>
  <c r="W100" i="15"/>
  <c r="I100" i="15"/>
  <c r="R100" i="15"/>
  <c r="AI100" i="15"/>
  <c r="E100" i="15"/>
  <c r="AE100" i="15"/>
  <c r="M100" i="15"/>
  <c r="N100" i="15"/>
  <c r="V100" i="15"/>
  <c r="F100" i="15"/>
  <c r="O100" i="15"/>
  <c r="L100" i="15"/>
  <c r="P100" i="15"/>
  <c r="S100" i="15"/>
  <c r="AK100" i="15"/>
  <c r="T69" i="14"/>
  <c r="Q69" i="14"/>
  <c r="N69" i="14"/>
  <c r="O69" i="14"/>
  <c r="E69" i="14"/>
  <c r="F69" i="14"/>
  <c r="K69" i="14"/>
  <c r="H69" i="14"/>
  <c r="I69" i="14"/>
  <c r="J69" i="14"/>
  <c r="S69" i="14"/>
  <c r="X69" i="14"/>
  <c r="Y69" i="14"/>
  <c r="Z69" i="14"/>
  <c r="AE69" i="14"/>
  <c r="AF69" i="14"/>
  <c r="AG69" i="14"/>
  <c r="AH69" i="14"/>
  <c r="AC69" i="14"/>
  <c r="AI69" i="14"/>
  <c r="AK69" i="14"/>
  <c r="AB69" i="14"/>
  <c r="AD69" i="14"/>
  <c r="AJ69" i="14"/>
  <c r="G69" i="14"/>
  <c r="P69" i="14"/>
  <c r="M69" i="14"/>
  <c r="W69" i="14"/>
  <c r="AA69" i="14"/>
  <c r="L69" i="14"/>
  <c r="U69" i="14"/>
  <c r="R69" i="14"/>
  <c r="V69" i="14"/>
  <c r="E55" i="14" a="1"/>
  <c r="E79" i="12" a="1"/>
  <c r="E125" i="12"/>
  <c r="AG125" i="12"/>
  <c r="O125" i="12"/>
  <c r="G125" i="12"/>
  <c r="AE125" i="12"/>
  <c r="AA125" i="12"/>
  <c r="T125" i="12"/>
  <c r="L125" i="12"/>
  <c r="AJ125" i="12"/>
  <c r="Y125" i="12"/>
  <c r="F125" i="12"/>
  <c r="V125" i="12"/>
  <c r="I125" i="12"/>
  <c r="W125" i="12"/>
  <c r="J125" i="12"/>
  <c r="Z125" i="12"/>
  <c r="M125" i="12"/>
  <c r="X125" i="12"/>
  <c r="H125" i="12"/>
  <c r="N125" i="12"/>
  <c r="Q125" i="12"/>
  <c r="AC125" i="12"/>
  <c r="AD125" i="12"/>
  <c r="AB125" i="12"/>
  <c r="AH125" i="12"/>
  <c r="K125" i="12"/>
  <c r="U125" i="12"/>
  <c r="AI125" i="12"/>
  <c r="R125" i="12"/>
  <c r="AF125" i="12"/>
  <c r="S125" i="12"/>
  <c r="P125" i="12"/>
  <c r="AK125" i="12"/>
  <c r="E150" i="16"/>
  <c r="Z150" i="16"/>
  <c r="AH150" i="16"/>
  <c r="K150" i="16"/>
  <c r="J150" i="16"/>
  <c r="AA150" i="16"/>
  <c r="AI150" i="16"/>
  <c r="AB150" i="16"/>
  <c r="AE150" i="16"/>
  <c r="AD150" i="16"/>
  <c r="I150" i="16"/>
  <c r="P150" i="16"/>
  <c r="AJ150" i="16"/>
  <c r="AG150" i="16"/>
  <c r="G150" i="16"/>
  <c r="L150" i="16"/>
  <c r="R150" i="16"/>
  <c r="H150" i="16"/>
  <c r="F150" i="16"/>
  <c r="X150" i="16"/>
  <c r="AK150" i="16"/>
  <c r="U150" i="16"/>
  <c r="W150" i="16"/>
  <c r="Q150" i="16"/>
  <c r="T150" i="16"/>
  <c r="AC150" i="16"/>
  <c r="S150" i="16"/>
  <c r="O150" i="16"/>
  <c r="Y150" i="16"/>
  <c r="AF150" i="16"/>
  <c r="V150" i="16"/>
  <c r="N150" i="16"/>
  <c r="M150" i="16"/>
  <c r="AB95" i="12"/>
  <c r="Y95" i="12"/>
  <c r="V95" i="12"/>
  <c r="W95" i="12"/>
  <c r="AF95" i="12"/>
  <c r="AC95" i="12"/>
  <c r="Z95" i="12"/>
  <c r="AA95" i="12"/>
  <c r="L95" i="12"/>
  <c r="I95" i="12"/>
  <c r="F95" i="12"/>
  <c r="G95" i="12"/>
  <c r="P95" i="12"/>
  <c r="M95" i="12"/>
  <c r="J95" i="12"/>
  <c r="K95" i="12"/>
  <c r="E95" i="12"/>
  <c r="AH95" i="12"/>
  <c r="Q95" i="12"/>
  <c r="O95" i="12"/>
  <c r="T95" i="12"/>
  <c r="N95" i="12"/>
  <c r="X95" i="12"/>
  <c r="R95" i="12"/>
  <c r="AD95" i="12"/>
  <c r="S95" i="12"/>
  <c r="AE95" i="12"/>
  <c r="U95" i="12"/>
  <c r="AK95" i="12"/>
  <c r="AI95" i="12"/>
  <c r="H95" i="12"/>
  <c r="AJ95" i="12"/>
  <c r="AG95" i="12"/>
  <c r="X68" i="13"/>
  <c r="U68" i="13"/>
  <c r="R68" i="13"/>
  <c r="S68" i="13"/>
  <c r="AJ68" i="13"/>
  <c r="AG68" i="13"/>
  <c r="AD68" i="13"/>
  <c r="AE68" i="13"/>
  <c r="L68" i="13"/>
  <c r="I68" i="13"/>
  <c r="F68" i="13"/>
  <c r="G68" i="13"/>
  <c r="Q68" i="13"/>
  <c r="AH68" i="13"/>
  <c r="H68" i="13"/>
  <c r="Y68" i="13"/>
  <c r="K68" i="13"/>
  <c r="AB68" i="13"/>
  <c r="J68" i="13"/>
  <c r="AA68" i="13"/>
  <c r="AF68" i="13"/>
  <c r="N68" i="13"/>
  <c r="AI68" i="13"/>
  <c r="AK68" i="13"/>
  <c r="V68" i="13"/>
  <c r="E68" i="13"/>
  <c r="M68" i="13"/>
  <c r="AC68" i="13"/>
  <c r="Z68" i="13"/>
  <c r="O68" i="13"/>
  <c r="T68" i="13"/>
  <c r="W68" i="13"/>
  <c r="P68" i="13"/>
  <c r="E174" i="15"/>
  <c r="Z174" i="15"/>
  <c r="M174" i="15"/>
  <c r="AK174" i="15"/>
  <c r="O174" i="15"/>
  <c r="F174" i="15"/>
  <c r="AC174" i="15"/>
  <c r="J174" i="15"/>
  <c r="P174" i="15"/>
  <c r="AA174" i="15"/>
  <c r="R174" i="15"/>
  <c r="Y174" i="15"/>
  <c r="N174" i="15"/>
  <c r="I174" i="15"/>
  <c r="AE174" i="15"/>
  <c r="S174" i="15"/>
  <c r="G174" i="15"/>
  <c r="AG174" i="15"/>
  <c r="AD174" i="15"/>
  <c r="AF174" i="15"/>
  <c r="U174" i="15"/>
  <c r="T174" i="15"/>
  <c r="AI174" i="15"/>
  <c r="W174" i="15"/>
  <c r="L174" i="15"/>
  <c r="K174" i="15"/>
  <c r="AJ174" i="15"/>
  <c r="X174" i="15"/>
  <c r="AB174" i="15"/>
  <c r="V174" i="15"/>
  <c r="Q174" i="15"/>
  <c r="H174" i="15"/>
  <c r="AH174" i="15"/>
  <c r="E162" i="13"/>
  <c r="AK162" i="13"/>
  <c r="R162" i="13"/>
  <c r="J162" i="13"/>
  <c r="X162" i="13"/>
  <c r="W162" i="13"/>
  <c r="M162" i="13"/>
  <c r="G162" i="13"/>
  <c r="AA162" i="13"/>
  <c r="Q162" i="13"/>
  <c r="AC162" i="13"/>
  <c r="S162" i="13"/>
  <c r="F162" i="13"/>
  <c r="AJ162" i="13"/>
  <c r="AB162" i="13"/>
  <c r="N162" i="13"/>
  <c r="L162" i="13"/>
  <c r="AH162" i="13"/>
  <c r="O162" i="13"/>
  <c r="AD162" i="13"/>
  <c r="T162" i="13"/>
  <c r="AF162" i="13"/>
  <c r="AG162" i="13"/>
  <c r="H162" i="13"/>
  <c r="Z162" i="13"/>
  <c r="I162" i="13"/>
  <c r="K162" i="13"/>
  <c r="P162" i="13"/>
  <c r="AE162" i="13"/>
  <c r="V162" i="13"/>
  <c r="AI162" i="13"/>
  <c r="Y162" i="13"/>
  <c r="U162" i="13"/>
  <c r="E107" i="11"/>
  <c r="Y107" i="11"/>
  <c r="J107" i="11"/>
  <c r="M107" i="11"/>
  <c r="I107" i="11"/>
  <c r="AG107" i="11"/>
  <c r="AK107" i="11"/>
  <c r="V107" i="11"/>
  <c r="AC107" i="11"/>
  <c r="F107" i="11"/>
  <c r="Z107" i="11"/>
  <c r="G107" i="11"/>
  <c r="AE107" i="11"/>
  <c r="N107" i="11"/>
  <c r="R107" i="11"/>
  <c r="K107" i="11"/>
  <c r="AI107" i="11"/>
  <c r="AB107" i="11"/>
  <c r="AH107" i="11"/>
  <c r="O107" i="11"/>
  <c r="L107" i="11"/>
  <c r="S107" i="11"/>
  <c r="AJ107" i="11"/>
  <c r="P107" i="11"/>
  <c r="AF107" i="11"/>
  <c r="W107" i="11"/>
  <c r="T107" i="11"/>
  <c r="AA107" i="11"/>
  <c r="H107" i="11"/>
  <c r="X107" i="11"/>
  <c r="Q107" i="11"/>
  <c r="U107" i="11"/>
  <c r="AD107" i="11"/>
  <c r="Z168" i="15"/>
  <c r="U168" i="15"/>
  <c r="AK168" i="15"/>
  <c r="O168" i="15"/>
  <c r="E168" i="15"/>
  <c r="AH168" i="15"/>
  <c r="S168" i="15"/>
  <c r="T168" i="15"/>
  <c r="AF168" i="15"/>
  <c r="P168" i="15"/>
  <c r="AC168" i="15"/>
  <c r="Q168" i="15"/>
  <c r="H168" i="15"/>
  <c r="V168" i="15"/>
  <c r="R168" i="15"/>
  <c r="AG168" i="15"/>
  <c r="AA168" i="15"/>
  <c r="X168" i="15"/>
  <c r="K168" i="15"/>
  <c r="L168" i="15"/>
  <c r="AE168" i="15"/>
  <c r="AJ168" i="15"/>
  <c r="G168" i="15"/>
  <c r="N168" i="15"/>
  <c r="AB168" i="15"/>
  <c r="Y168" i="15"/>
  <c r="I168" i="15"/>
  <c r="W168" i="15"/>
  <c r="J168" i="15"/>
  <c r="F168" i="15"/>
  <c r="M168" i="15"/>
  <c r="AD168" i="15"/>
  <c r="AI168" i="15"/>
  <c r="E81" i="13" a="1"/>
  <c r="E162" i="11"/>
  <c r="W162" i="11"/>
  <c r="Y162" i="11"/>
  <c r="S162" i="11"/>
  <c r="AI162" i="11"/>
  <c r="AG162" i="11"/>
  <c r="Z162" i="11"/>
  <c r="AJ162" i="11"/>
  <c r="T162" i="11"/>
  <c r="P162" i="11"/>
  <c r="M162" i="11"/>
  <c r="AC162" i="11"/>
  <c r="O162" i="11"/>
  <c r="I162" i="11"/>
  <c r="K162" i="11"/>
  <c r="AA162" i="11"/>
  <c r="R162" i="11"/>
  <c r="G162" i="11"/>
  <c r="V162" i="11"/>
  <c r="J162" i="11"/>
  <c r="AD162" i="11"/>
  <c r="N162" i="11"/>
  <c r="X162" i="11"/>
  <c r="U162" i="11"/>
  <c r="AF162" i="11"/>
  <c r="AE162" i="11"/>
  <c r="AH162" i="11"/>
  <c r="H162" i="11"/>
  <c r="AK162" i="11"/>
  <c r="Q162" i="11"/>
  <c r="F162" i="11"/>
  <c r="AB162" i="11"/>
  <c r="L162" i="11"/>
  <c r="E119" i="11"/>
  <c r="AG119" i="11"/>
  <c r="Z119" i="11"/>
  <c r="P119" i="11"/>
  <c r="K119" i="11"/>
  <c r="V119" i="11"/>
  <c r="X119" i="11"/>
  <c r="AA119" i="11"/>
  <c r="W119" i="11"/>
  <c r="N119" i="11"/>
  <c r="I119" i="11"/>
  <c r="F119" i="11"/>
  <c r="AD119" i="11"/>
  <c r="T119" i="11"/>
  <c r="AC119" i="11"/>
  <c r="J119" i="11"/>
  <c r="AH119" i="11"/>
  <c r="O119" i="11"/>
  <c r="AI119" i="11"/>
  <c r="M119" i="11"/>
  <c r="L119" i="11"/>
  <c r="S119" i="11"/>
  <c r="AJ119" i="11"/>
  <c r="R119" i="11"/>
  <c r="AF119" i="11"/>
  <c r="G119" i="11"/>
  <c r="AK119" i="11"/>
  <c r="Y119" i="11"/>
  <c r="H119" i="11"/>
  <c r="AB119" i="11"/>
  <c r="U119" i="11"/>
  <c r="AE119" i="11"/>
  <c r="Q119" i="11"/>
  <c r="E80" i="11" a="1"/>
  <c r="E180" i="16"/>
  <c r="AC180" i="16"/>
  <c r="N180" i="16"/>
  <c r="AD180" i="16"/>
  <c r="Q180" i="16"/>
  <c r="Y180" i="16"/>
  <c r="J180" i="16"/>
  <c r="AH180" i="16"/>
  <c r="AE180" i="16"/>
  <c r="AK180" i="16"/>
  <c r="V180" i="16"/>
  <c r="U180" i="16"/>
  <c r="AG180" i="16"/>
  <c r="P180" i="16"/>
  <c r="AJ180" i="16"/>
  <c r="X180" i="16"/>
  <c r="L180" i="16"/>
  <c r="W180" i="16"/>
  <c r="Z180" i="16"/>
  <c r="AB180" i="16"/>
  <c r="G180" i="16"/>
  <c r="R180" i="16"/>
  <c r="I180" i="16"/>
  <c r="T180" i="16"/>
  <c r="AI180" i="16"/>
  <c r="O180" i="16"/>
  <c r="S180" i="16"/>
  <c r="M180" i="16"/>
  <c r="AF180" i="16"/>
  <c r="H180" i="16"/>
  <c r="AA180" i="16"/>
  <c r="F180" i="16"/>
  <c r="K180" i="16"/>
  <c r="E119" i="14"/>
  <c r="H119" i="14"/>
  <c r="S119" i="14"/>
  <c r="AI119" i="14"/>
  <c r="R119" i="14"/>
  <c r="Z119" i="14"/>
  <c r="AJ119" i="14"/>
  <c r="L119" i="14"/>
  <c r="F119" i="14"/>
  <c r="AC119" i="14"/>
  <c r="J119" i="14"/>
  <c r="W119" i="14"/>
  <c r="K119" i="14"/>
  <c r="AD119" i="14"/>
  <c r="O119" i="14"/>
  <c r="AE119" i="14"/>
  <c r="V119" i="14"/>
  <c r="AF119" i="14"/>
  <c r="AH119" i="14"/>
  <c r="AA119" i="14"/>
  <c r="M119" i="14"/>
  <c r="I119" i="14"/>
  <c r="N119" i="14"/>
  <c r="G119" i="14"/>
  <c r="P119" i="14"/>
  <c r="U119" i="14"/>
  <c r="Q119" i="14"/>
  <c r="Y119" i="14"/>
  <c r="X119" i="14"/>
  <c r="AB119" i="14"/>
  <c r="T119" i="14"/>
  <c r="AG119" i="14"/>
  <c r="AK119" i="14"/>
  <c r="E137" i="11"/>
  <c r="Y137" i="11"/>
  <c r="W137" i="11"/>
  <c r="F137" i="11"/>
  <c r="I137" i="11"/>
  <c r="AD137" i="11"/>
  <c r="AC137" i="11"/>
  <c r="Q137" i="11"/>
  <c r="G137" i="11"/>
  <c r="V137" i="11"/>
  <c r="AG137" i="11"/>
  <c r="U137" i="11"/>
  <c r="K137" i="11"/>
  <c r="AE137" i="11"/>
  <c r="Z137" i="11"/>
  <c r="S137" i="11"/>
  <c r="R137" i="11"/>
  <c r="AJ137" i="11"/>
  <c r="J137" i="11"/>
  <c r="AK137" i="11"/>
  <c r="T137" i="11"/>
  <c r="AI137" i="11"/>
  <c r="H137" i="11"/>
  <c r="L137" i="11"/>
  <c r="P137" i="11"/>
  <c r="AA137" i="11"/>
  <c r="AF137" i="11"/>
  <c r="AH137" i="11"/>
  <c r="AB137" i="11"/>
  <c r="M137" i="11"/>
  <c r="X137" i="11"/>
  <c r="O137" i="11"/>
  <c r="N137" i="11"/>
  <c r="E53" i="11" a="1"/>
  <c r="E51" i="14" a="1"/>
  <c r="H69" i="12"/>
  <c r="E69" i="12"/>
  <c r="AK69" i="12"/>
  <c r="AH69" i="12"/>
  <c r="AI69" i="12"/>
  <c r="L69" i="12"/>
  <c r="I69" i="12"/>
  <c r="F69" i="12"/>
  <c r="G69" i="12"/>
  <c r="X69" i="12"/>
  <c r="U69" i="12"/>
  <c r="R69" i="12"/>
  <c r="S69" i="12"/>
  <c r="AB69" i="12"/>
  <c r="Y69" i="12"/>
  <c r="V69" i="12"/>
  <c r="W69" i="12"/>
  <c r="T69" i="12"/>
  <c r="N69" i="12"/>
  <c r="AF69" i="12"/>
  <c r="Z69" i="12"/>
  <c r="AC69" i="12"/>
  <c r="AA69" i="12"/>
  <c r="AG69" i="12"/>
  <c r="AE69" i="12"/>
  <c r="P69" i="12"/>
  <c r="AJ69" i="12"/>
  <c r="M69" i="12"/>
  <c r="AD69" i="12"/>
  <c r="O69" i="12"/>
  <c r="Q69" i="12"/>
  <c r="J69" i="12"/>
  <c r="K69" i="12"/>
  <c r="E174" i="14"/>
  <c r="K174" i="14"/>
  <c r="N174" i="14"/>
  <c r="AI174" i="14"/>
  <c r="R174" i="14"/>
  <c r="W174" i="14"/>
  <c r="AC174" i="14"/>
  <c r="J174" i="14"/>
  <c r="Y174" i="14"/>
  <c r="AG174" i="14"/>
  <c r="AA174" i="14"/>
  <c r="Q174" i="14"/>
  <c r="H174" i="14"/>
  <c r="M174" i="14"/>
  <c r="T174" i="14"/>
  <c r="AF174" i="14"/>
  <c r="U174" i="14"/>
  <c r="AB174" i="14"/>
  <c r="I174" i="14"/>
  <c r="S174" i="14"/>
  <c r="V174" i="14"/>
  <c r="F174" i="14"/>
  <c r="L174" i="14"/>
  <c r="AJ174" i="14"/>
  <c r="G174" i="14"/>
  <c r="AE174" i="14"/>
  <c r="AH174" i="14"/>
  <c r="O174" i="14"/>
  <c r="X174" i="14"/>
  <c r="Z174" i="14"/>
  <c r="P174" i="14"/>
  <c r="AD174" i="14"/>
  <c r="AK174" i="14"/>
  <c r="E55" i="17" a="1"/>
  <c r="G162" i="12"/>
  <c r="S162" i="12"/>
  <c r="N162" i="12"/>
  <c r="I162" i="12"/>
  <c r="Y162" i="12"/>
  <c r="AC162" i="12"/>
  <c r="X162" i="12"/>
  <c r="R162" i="12"/>
  <c r="AH162" i="12"/>
  <c r="K162" i="12"/>
  <c r="AA162" i="12"/>
  <c r="O162" i="12"/>
  <c r="W162" i="12"/>
  <c r="E162" i="12"/>
  <c r="AI162" i="12"/>
  <c r="AK162" i="12"/>
  <c r="AE162" i="12"/>
  <c r="H162" i="12"/>
  <c r="F162" i="12"/>
  <c r="U162" i="12"/>
  <c r="AF162" i="12"/>
  <c r="T162" i="12"/>
  <c r="P162" i="12"/>
  <c r="Q162" i="12"/>
  <c r="AD162" i="12"/>
  <c r="AB162" i="12"/>
  <c r="J162" i="12"/>
  <c r="M162" i="12"/>
  <c r="AJ162" i="12"/>
  <c r="V162" i="12"/>
  <c r="L162" i="12"/>
  <c r="Z162" i="12"/>
  <c r="AG162" i="12"/>
  <c r="E82" i="17" a="1"/>
  <c r="AJ71" i="16"/>
  <c r="AG71" i="16"/>
  <c r="AD71" i="16"/>
  <c r="AE71" i="16"/>
  <c r="P71" i="16"/>
  <c r="Q71" i="16"/>
  <c r="R71" i="16"/>
  <c r="W71" i="16"/>
  <c r="AF71" i="16"/>
  <c r="AK71" i="16"/>
  <c r="G71" i="16"/>
  <c r="X71" i="16"/>
  <c r="F71" i="16"/>
  <c r="S71" i="16"/>
  <c r="H71" i="16"/>
  <c r="Y71" i="16"/>
  <c r="O71" i="16"/>
  <c r="I71" i="16"/>
  <c r="AH71" i="16"/>
  <c r="L71" i="16"/>
  <c r="N71" i="16"/>
  <c r="T71" i="16"/>
  <c r="V71" i="16"/>
  <c r="M71" i="16"/>
  <c r="AA71" i="16"/>
  <c r="AC71" i="16"/>
  <c r="U71" i="16"/>
  <c r="J71" i="16"/>
  <c r="AI71" i="16"/>
  <c r="AB71" i="16"/>
  <c r="E71" i="16"/>
  <c r="K71" i="16"/>
  <c r="Z71" i="16"/>
  <c r="H98" i="14"/>
  <c r="K98" i="14"/>
  <c r="U98" i="14"/>
  <c r="N98" i="14"/>
  <c r="AE98" i="14"/>
  <c r="P98" i="14"/>
  <c r="AI98" i="14"/>
  <c r="AK98" i="14"/>
  <c r="AH98" i="14"/>
  <c r="T98" i="14"/>
  <c r="E98" i="14"/>
  <c r="G98" i="14"/>
  <c r="O98" i="14"/>
  <c r="AF98" i="14"/>
  <c r="Q98" i="14"/>
  <c r="R98" i="14"/>
  <c r="S98" i="14"/>
  <c r="AC98" i="14"/>
  <c r="Z98" i="14"/>
  <c r="AJ98" i="14"/>
  <c r="V98" i="14"/>
  <c r="AA98" i="14"/>
  <c r="AD98" i="14"/>
  <c r="Y98" i="14"/>
  <c r="L98" i="14"/>
  <c r="AG98" i="14"/>
  <c r="M98" i="14"/>
  <c r="F98" i="14"/>
  <c r="X98" i="14"/>
  <c r="AB98" i="14"/>
  <c r="J98" i="14"/>
  <c r="I98" i="14"/>
  <c r="W98" i="14"/>
  <c r="T98" i="11"/>
  <c r="N98" i="11"/>
  <c r="J98" i="11"/>
  <c r="V98" i="11"/>
  <c r="AH98" i="11"/>
  <c r="AF98" i="11"/>
  <c r="AK98" i="11"/>
  <c r="F98" i="11"/>
  <c r="R98" i="11"/>
  <c r="S98" i="11"/>
  <c r="AB98" i="11"/>
  <c r="AE98" i="11"/>
  <c r="M98" i="11"/>
  <c r="I98" i="11"/>
  <c r="Y98" i="11"/>
  <c r="L98" i="11"/>
  <c r="X98" i="11"/>
  <c r="AJ98" i="11"/>
  <c r="P98" i="11"/>
  <c r="Q98" i="11"/>
  <c r="O98" i="11"/>
  <c r="H98" i="11"/>
  <c r="AD98" i="11"/>
  <c r="AI98" i="11"/>
  <c r="G98" i="11"/>
  <c r="K98" i="11"/>
  <c r="Z98" i="11"/>
  <c r="U98" i="11"/>
  <c r="AA98" i="11"/>
  <c r="AC98" i="11"/>
  <c r="E98" i="11"/>
  <c r="AG98" i="11"/>
  <c r="W98" i="11"/>
  <c r="E53" i="16" a="1"/>
  <c r="E83" i="12" a="1"/>
  <c r="E80" i="14" a="1"/>
  <c r="E56" i="13" a="1"/>
  <c r="L143" i="13"/>
  <c r="Z143" i="13"/>
  <c r="AG143" i="13"/>
  <c r="F143" i="13"/>
  <c r="V143" i="13"/>
  <c r="AE143" i="13"/>
  <c r="AH143" i="13"/>
  <c r="M143" i="13"/>
  <c r="AC143" i="13"/>
  <c r="Q143" i="13"/>
  <c r="J143" i="13"/>
  <c r="U143" i="13"/>
  <c r="AK143" i="13"/>
  <c r="R143" i="13"/>
  <c r="O143" i="13"/>
  <c r="S143" i="13"/>
  <c r="AI143" i="13"/>
  <c r="I143" i="13"/>
  <c r="AD143" i="13"/>
  <c r="X143" i="13"/>
  <c r="T143" i="13"/>
  <c r="AF143" i="13"/>
  <c r="AJ143" i="13"/>
  <c r="W143" i="13"/>
  <c r="AB143" i="13"/>
  <c r="P143" i="13"/>
  <c r="E143" i="13"/>
  <c r="K143" i="13"/>
  <c r="Y143" i="13"/>
  <c r="N143" i="13"/>
  <c r="AA143" i="13"/>
  <c r="H143" i="13"/>
  <c r="G143" i="13"/>
  <c r="AK70" i="11"/>
  <c r="O70" i="11"/>
  <c r="AI70" i="11"/>
  <c r="L70" i="11"/>
  <c r="E70" i="11"/>
  <c r="AG70" i="11"/>
  <c r="G70" i="11"/>
  <c r="X70" i="11"/>
  <c r="I70" i="11"/>
  <c r="AC70" i="11"/>
  <c r="T70" i="11"/>
  <c r="K70" i="11"/>
  <c r="S70" i="11"/>
  <c r="P70" i="11"/>
  <c r="AE70" i="11"/>
  <c r="V70" i="11"/>
  <c r="R70" i="11"/>
  <c r="Q70" i="11"/>
  <c r="AH70" i="11"/>
  <c r="J70" i="11"/>
  <c r="Y70" i="11"/>
  <c r="F70" i="11"/>
  <c r="AD70" i="11"/>
  <c r="U70" i="11"/>
  <c r="N70" i="11"/>
  <c r="AJ70" i="11"/>
  <c r="AF70" i="11"/>
  <c r="AB70" i="11"/>
  <c r="AA70" i="11"/>
  <c r="H70" i="11"/>
  <c r="W70" i="11"/>
  <c r="Z70" i="11"/>
  <c r="M70" i="11"/>
  <c r="H71" i="13"/>
  <c r="G71" i="13"/>
  <c r="F71" i="13"/>
  <c r="AF71" i="13"/>
  <c r="AE71" i="13"/>
  <c r="T71" i="13"/>
  <c r="AK71" i="13"/>
  <c r="AG71" i="13"/>
  <c r="E71" i="13"/>
  <c r="U71" i="13"/>
  <c r="X71" i="13"/>
  <c r="AB71" i="13"/>
  <c r="P71" i="13"/>
  <c r="S71" i="13"/>
  <c r="Y71" i="13"/>
  <c r="AI71" i="13"/>
  <c r="W71" i="13"/>
  <c r="AD71" i="13"/>
  <c r="I71" i="13"/>
  <c r="O71" i="13"/>
  <c r="K71" i="13"/>
  <c r="AA71" i="13"/>
  <c r="V71" i="13"/>
  <c r="AJ71" i="13"/>
  <c r="M71" i="13"/>
  <c r="AC71" i="13"/>
  <c r="AH71" i="13"/>
  <c r="J71" i="13"/>
  <c r="L71" i="13"/>
  <c r="Q71" i="13"/>
  <c r="R71" i="13"/>
  <c r="Z71" i="13"/>
  <c r="N71" i="13"/>
  <c r="L74" i="14"/>
  <c r="R74" i="14"/>
  <c r="X74" i="14"/>
  <c r="AJ74" i="14"/>
  <c r="P74" i="14"/>
  <c r="N74" i="14"/>
  <c r="F74" i="14"/>
  <c r="W74" i="14"/>
  <c r="AI74" i="14"/>
  <c r="AE74" i="14"/>
  <c r="O74" i="14"/>
  <c r="AG74" i="14"/>
  <c r="AF74" i="14"/>
  <c r="AB74" i="14"/>
  <c r="Q74" i="14"/>
  <c r="T74" i="14"/>
  <c r="V74" i="14"/>
  <c r="AD74" i="14"/>
  <c r="E74" i="14"/>
  <c r="S74" i="14"/>
  <c r="Y74" i="14"/>
  <c r="AA74" i="14"/>
  <c r="K74" i="14"/>
  <c r="Z74" i="14"/>
  <c r="I74" i="14"/>
  <c r="AH74" i="14"/>
  <c r="AK74" i="14"/>
  <c r="U74" i="14"/>
  <c r="G74" i="14"/>
  <c r="H74" i="14"/>
  <c r="AC74" i="14"/>
  <c r="J74" i="14"/>
  <c r="M74" i="14"/>
  <c r="E81" i="16" a="1"/>
  <c r="E82" i="14" a="1"/>
  <c r="E77" i="11" a="1"/>
  <c r="E131" i="13"/>
  <c r="G131" i="13"/>
  <c r="AK131" i="13"/>
  <c r="AA131" i="13"/>
  <c r="M131" i="13"/>
  <c r="V131" i="13"/>
  <c r="AB131" i="13"/>
  <c r="AE131" i="13"/>
  <c r="Q131" i="13"/>
  <c r="Z131" i="13"/>
  <c r="S131" i="13"/>
  <c r="L131" i="13"/>
  <c r="AJ131" i="13"/>
  <c r="O131" i="13"/>
  <c r="T131" i="13"/>
  <c r="J131" i="13"/>
  <c r="AH131" i="13"/>
  <c r="K131" i="13"/>
  <c r="AD131" i="13"/>
  <c r="P131" i="13"/>
  <c r="AF131" i="13"/>
  <c r="R131" i="13"/>
  <c r="H131" i="13"/>
  <c r="AC131" i="13"/>
  <c r="I131" i="13"/>
  <c r="X131" i="13"/>
  <c r="W131" i="13"/>
  <c r="AI131" i="13"/>
  <c r="Y131" i="13"/>
  <c r="F131" i="13"/>
  <c r="U131" i="13"/>
  <c r="AG131" i="13"/>
  <c r="N131" i="13"/>
  <c r="AB97" i="16"/>
  <c r="AH97" i="16"/>
  <c r="AG97" i="16"/>
  <c r="AA97" i="16"/>
  <c r="J97" i="16"/>
  <c r="Q97" i="16"/>
  <c r="T97" i="16"/>
  <c r="AD97" i="16"/>
  <c r="AK97" i="16"/>
  <c r="AI97" i="16"/>
  <c r="V97" i="16"/>
  <c r="N97" i="16"/>
  <c r="L97" i="16"/>
  <c r="I97" i="16"/>
  <c r="S97" i="16"/>
  <c r="E97" i="16"/>
  <c r="W97" i="16"/>
  <c r="AF97" i="16"/>
  <c r="G97" i="16"/>
  <c r="AJ97" i="16"/>
  <c r="K97" i="16"/>
  <c r="M97" i="16"/>
  <c r="F97" i="16"/>
  <c r="P97" i="16"/>
  <c r="Y97" i="16"/>
  <c r="U97" i="16"/>
  <c r="AC97" i="16"/>
  <c r="H97" i="16"/>
  <c r="X97" i="16"/>
  <c r="AE97" i="16"/>
  <c r="R97" i="16"/>
  <c r="Z97" i="16"/>
  <c r="O97" i="16"/>
  <c r="T119" i="17"/>
  <c r="AB119" i="17"/>
  <c r="L119" i="17"/>
  <c r="AF119" i="17"/>
  <c r="U119" i="17"/>
  <c r="W119" i="17"/>
  <c r="M119" i="17"/>
  <c r="AC119" i="17"/>
  <c r="Z119" i="17"/>
  <c r="K119" i="17"/>
  <c r="AJ119" i="17"/>
  <c r="J119" i="17"/>
  <c r="AI119" i="17"/>
  <c r="H119" i="17"/>
  <c r="AH119" i="17"/>
  <c r="I119" i="17"/>
  <c r="E119" i="17"/>
  <c r="F119" i="17"/>
  <c r="AK119" i="17"/>
  <c r="AA119" i="17"/>
  <c r="O119" i="17"/>
  <c r="Y119" i="17"/>
  <c r="X119" i="17"/>
  <c r="V119" i="17"/>
  <c r="AG119" i="17"/>
  <c r="P119" i="17"/>
  <c r="S119" i="17"/>
  <c r="AD119" i="17"/>
  <c r="Q119" i="17"/>
  <c r="AE119" i="17"/>
  <c r="R119" i="17"/>
  <c r="G119" i="17"/>
  <c r="N119" i="17"/>
  <c r="P72" i="14"/>
  <c r="M72" i="14"/>
  <c r="J72" i="14"/>
  <c r="K72" i="14"/>
  <c r="AJ72" i="14"/>
  <c r="AK72" i="14"/>
  <c r="G72" i="14"/>
  <c r="E72" i="14"/>
  <c r="F72" i="14"/>
  <c r="O72" i="14"/>
  <c r="T72" i="14"/>
  <c r="U72" i="14"/>
  <c r="V72" i="14"/>
  <c r="AA72" i="14"/>
  <c r="AB72" i="14"/>
  <c r="AC72" i="14"/>
  <c r="AD72" i="14"/>
  <c r="AI72" i="14"/>
  <c r="X72" i="14"/>
  <c r="Z72" i="14"/>
  <c r="AF72" i="14"/>
  <c r="AH72" i="14"/>
  <c r="Y72" i="14"/>
  <c r="AE72" i="14"/>
  <c r="AG72" i="14"/>
  <c r="W72" i="14"/>
  <c r="H72" i="14"/>
  <c r="N72" i="14"/>
  <c r="R72" i="14"/>
  <c r="L72" i="14"/>
  <c r="I72" i="14"/>
  <c r="Q72" i="14"/>
  <c r="S72" i="14"/>
  <c r="H100" i="12"/>
  <c r="T100" i="12"/>
  <c r="P100" i="12"/>
  <c r="L100" i="12"/>
  <c r="X100" i="12"/>
  <c r="AE100" i="12"/>
  <c r="AA100" i="12"/>
  <c r="W100" i="12"/>
  <c r="AI100" i="12"/>
  <c r="Q100" i="12"/>
  <c r="J100" i="12"/>
  <c r="F100" i="12"/>
  <c r="R100" i="12"/>
  <c r="AD100" i="12"/>
  <c r="AC100" i="12"/>
  <c r="Y100" i="12"/>
  <c r="AK100" i="12"/>
  <c r="Z100" i="12"/>
  <c r="AH100" i="12"/>
  <c r="M100" i="12"/>
  <c r="U100" i="12"/>
  <c r="AJ100" i="12"/>
  <c r="I100" i="12"/>
  <c r="N100" i="12"/>
  <c r="AB100" i="12"/>
  <c r="S100" i="12"/>
  <c r="E100" i="12"/>
  <c r="AG100" i="12"/>
  <c r="AF100" i="12"/>
  <c r="V100" i="12"/>
  <c r="O100" i="12"/>
  <c r="K100" i="12"/>
  <c r="G100" i="12"/>
  <c r="E77" i="12" a="1"/>
  <c r="E174" i="16"/>
  <c r="W174" i="16"/>
  <c r="AB174" i="16"/>
  <c r="AD174" i="16"/>
  <c r="Q174" i="16"/>
  <c r="AA174" i="16"/>
  <c r="T174" i="16"/>
  <c r="H174" i="16"/>
  <c r="N174" i="16"/>
  <c r="V174" i="16"/>
  <c r="U174" i="16"/>
  <c r="AC174" i="16"/>
  <c r="G174" i="16"/>
  <c r="AF174" i="16"/>
  <c r="F174" i="16"/>
  <c r="P174" i="16"/>
  <c r="AJ174" i="16"/>
  <c r="Y174" i="16"/>
  <c r="Z174" i="16"/>
  <c r="O174" i="16"/>
  <c r="AH174" i="16"/>
  <c r="AK174" i="16"/>
  <c r="I174" i="16"/>
  <c r="J174" i="16"/>
  <c r="AE174" i="16"/>
  <c r="X174" i="16"/>
  <c r="R174" i="16"/>
  <c r="M174" i="16"/>
  <c r="AI174" i="16"/>
  <c r="AG174" i="16"/>
  <c r="S174" i="16"/>
  <c r="K174" i="16"/>
  <c r="L174" i="16"/>
  <c r="E143" i="14"/>
  <c r="M143" i="14"/>
  <c r="AE143" i="14"/>
  <c r="AC143" i="14"/>
  <c r="AG143" i="14"/>
  <c r="AA143" i="14"/>
  <c r="X143" i="14"/>
  <c r="F143" i="14"/>
  <c r="L143" i="14"/>
  <c r="U143" i="14"/>
  <c r="O143" i="14"/>
  <c r="AK143" i="14"/>
  <c r="J143" i="14"/>
  <c r="W143" i="14"/>
  <c r="H143" i="14"/>
  <c r="G143" i="14"/>
  <c r="K143" i="14"/>
  <c r="Y143" i="14"/>
  <c r="I143" i="14"/>
  <c r="AI143" i="14"/>
  <c r="N143" i="14"/>
  <c r="P143" i="14"/>
  <c r="R143" i="14"/>
  <c r="Q143" i="14"/>
  <c r="AJ143" i="14"/>
  <c r="AH143" i="14"/>
  <c r="S143" i="14"/>
  <c r="AD143" i="14"/>
  <c r="AB143" i="14"/>
  <c r="T143" i="14"/>
  <c r="V143" i="14"/>
  <c r="AF143" i="14"/>
  <c r="Z143" i="14"/>
  <c r="L186" i="11"/>
  <c r="E186" i="11"/>
  <c r="AJ186" i="11"/>
  <c r="P186" i="11"/>
  <c r="AB186" i="11"/>
  <c r="G186" i="11"/>
  <c r="Z186" i="11"/>
  <c r="AC186" i="11"/>
  <c r="J186" i="11"/>
  <c r="AF186" i="11"/>
  <c r="N186" i="11"/>
  <c r="AD186" i="11"/>
  <c r="Y186" i="11"/>
  <c r="K186" i="11"/>
  <c r="U186" i="11"/>
  <c r="AK186" i="11"/>
  <c r="O186" i="11"/>
  <c r="V186" i="11"/>
  <c r="H186" i="11"/>
  <c r="S186" i="11"/>
  <c r="AG186" i="11"/>
  <c r="AI186" i="11"/>
  <c r="M186" i="11"/>
  <c r="AH186" i="11"/>
  <c r="X186" i="11"/>
  <c r="AE186" i="11"/>
  <c r="F186" i="11"/>
  <c r="Q186" i="11"/>
  <c r="T186" i="11"/>
  <c r="W186" i="11"/>
  <c r="R186" i="11"/>
  <c r="AA186" i="11"/>
  <c r="I186" i="11"/>
  <c r="E50" i="12" a="1"/>
  <c r="E50" i="11" a="1"/>
  <c r="X150" i="11"/>
  <c r="U150" i="11"/>
  <c r="AB150" i="11"/>
  <c r="S150" i="11"/>
  <c r="H150" i="11"/>
  <c r="AF150" i="11"/>
  <c r="Z150" i="11"/>
  <c r="M150" i="11"/>
  <c r="Y150" i="11"/>
  <c r="I150" i="11"/>
  <c r="P150" i="11"/>
  <c r="AH150" i="11"/>
  <c r="AK150" i="11"/>
  <c r="AE150" i="11"/>
  <c r="F150" i="11"/>
  <c r="AJ150" i="11"/>
  <c r="W150" i="11"/>
  <c r="Q150" i="11"/>
  <c r="AD150" i="11"/>
  <c r="E150" i="11"/>
  <c r="O150" i="11"/>
  <c r="N150" i="11"/>
  <c r="T150" i="11"/>
  <c r="G150" i="11"/>
  <c r="AA150" i="11"/>
  <c r="AI150" i="11"/>
  <c r="AC150" i="11"/>
  <c r="R150" i="11"/>
  <c r="K150" i="11"/>
  <c r="AG150" i="11"/>
  <c r="L150" i="11"/>
  <c r="V150" i="11"/>
  <c r="J150" i="11"/>
  <c r="E150" i="15"/>
  <c r="AD150" i="15"/>
  <c r="Q150" i="15"/>
  <c r="T150" i="15"/>
  <c r="W150" i="15"/>
  <c r="Y150" i="15"/>
  <c r="AG150" i="15"/>
  <c r="N150" i="15"/>
  <c r="K150" i="15"/>
  <c r="P150" i="15"/>
  <c r="Z150" i="15"/>
  <c r="AB150" i="15"/>
  <c r="J150" i="15"/>
  <c r="L150" i="15"/>
  <c r="I150" i="15"/>
  <c r="F150" i="15"/>
  <c r="S150" i="15"/>
  <c r="O150" i="15"/>
  <c r="G150" i="15"/>
  <c r="AC150" i="15"/>
  <c r="R150" i="15"/>
  <c r="V150" i="15"/>
  <c r="X150" i="15"/>
  <c r="AI150" i="15"/>
  <c r="M150" i="15"/>
  <c r="H150" i="15"/>
  <c r="AJ150" i="15"/>
  <c r="U150" i="15"/>
  <c r="AE150" i="15"/>
  <c r="AF150" i="15"/>
  <c r="AK150" i="15"/>
  <c r="AH150" i="15"/>
  <c r="AA150" i="15"/>
  <c r="E180" i="11"/>
  <c r="Z180" i="11"/>
  <c r="V180" i="11"/>
  <c r="Y180" i="11"/>
  <c r="AC180" i="11"/>
  <c r="I180" i="11"/>
  <c r="N180" i="11"/>
  <c r="W180" i="11"/>
  <c r="F180" i="11"/>
  <c r="J180" i="11"/>
  <c r="G180" i="11"/>
  <c r="AK180" i="11"/>
  <c r="AE180" i="11"/>
  <c r="T180" i="11"/>
  <c r="AD180" i="11"/>
  <c r="AI180" i="11"/>
  <c r="R180" i="11"/>
  <c r="U180" i="11"/>
  <c r="O180" i="11"/>
  <c r="K180" i="11"/>
  <c r="AF180" i="11"/>
  <c r="S180" i="11"/>
  <c r="AJ180" i="11"/>
  <c r="AB180" i="11"/>
  <c r="P180" i="11"/>
  <c r="AA180" i="11"/>
  <c r="X180" i="11"/>
  <c r="AH180" i="11"/>
  <c r="L180" i="11"/>
  <c r="H180" i="11"/>
  <c r="M180" i="11"/>
  <c r="AG180" i="11"/>
  <c r="Q180" i="11"/>
  <c r="P113" i="12"/>
  <c r="Q113" i="12"/>
  <c r="AK113" i="12"/>
  <c r="Y113" i="12"/>
  <c r="AD113" i="12"/>
  <c r="AJ113" i="12"/>
  <c r="AI113" i="12"/>
  <c r="R113" i="12"/>
  <c r="W113" i="12"/>
  <c r="Z113" i="12"/>
  <c r="M113" i="12"/>
  <c r="I113" i="12"/>
  <c r="E113" i="12"/>
  <c r="U113" i="12"/>
  <c r="K113" i="12"/>
  <c r="AC113" i="12"/>
  <c r="F113" i="12"/>
  <c r="AB113" i="12"/>
  <c r="AF113" i="12"/>
  <c r="AG113" i="12"/>
  <c r="J113" i="12"/>
  <c r="S113" i="12"/>
  <c r="AA113" i="12"/>
  <c r="V113" i="12"/>
  <c r="N113" i="12"/>
  <c r="X113" i="12"/>
  <c r="G113" i="12"/>
  <c r="AH113" i="12"/>
  <c r="AE113" i="12"/>
  <c r="H113" i="12"/>
  <c r="L113" i="12"/>
  <c r="O113" i="12"/>
  <c r="T113" i="12"/>
  <c r="E77" i="15" a="1"/>
  <c r="L74" i="15"/>
  <c r="E74" i="15"/>
  <c r="U74" i="15"/>
  <c r="Z74" i="15"/>
  <c r="V74" i="15"/>
  <c r="AK74" i="15"/>
  <c r="T74" i="15"/>
  <c r="W74" i="15"/>
  <c r="AH74" i="15"/>
  <c r="X74" i="15"/>
  <c r="M74" i="15"/>
  <c r="R74" i="15"/>
  <c r="AF74" i="15"/>
  <c r="AI74" i="15"/>
  <c r="J74" i="15"/>
  <c r="AE74" i="15"/>
  <c r="Q74" i="15"/>
  <c r="I74" i="15"/>
  <c r="AG74" i="15"/>
  <c r="AA74" i="15"/>
  <c r="AB74" i="15"/>
  <c r="H74" i="15"/>
  <c r="P74" i="15"/>
  <c r="O74" i="15"/>
  <c r="F74" i="15"/>
  <c r="G74" i="15"/>
  <c r="Y74" i="15"/>
  <c r="S74" i="15"/>
  <c r="N74" i="15"/>
  <c r="K74" i="15"/>
  <c r="AC74" i="15"/>
  <c r="AJ74" i="15"/>
  <c r="AD74" i="15"/>
  <c r="E107" i="14"/>
  <c r="N107" i="14"/>
  <c r="I107" i="14"/>
  <c r="S107" i="14"/>
  <c r="R107" i="14"/>
  <c r="J107" i="14"/>
  <c r="AI107" i="14"/>
  <c r="AB107" i="14"/>
  <c r="K107" i="14"/>
  <c r="AA107" i="14"/>
  <c r="G107" i="14"/>
  <c r="Q107" i="14"/>
  <c r="AH107" i="14"/>
  <c r="AE107" i="14"/>
  <c r="F107" i="14"/>
  <c r="P107" i="14"/>
  <c r="Z107" i="14"/>
  <c r="Y107" i="14"/>
  <c r="AD107" i="14"/>
  <c r="H107" i="14"/>
  <c r="AG107" i="14"/>
  <c r="AK107" i="14"/>
  <c r="U107" i="14"/>
  <c r="V107" i="14"/>
  <c r="AF107" i="14"/>
  <c r="T107" i="14"/>
  <c r="AJ107" i="14"/>
  <c r="W107" i="14"/>
  <c r="X107" i="14"/>
  <c r="O107" i="14"/>
  <c r="AC107" i="14"/>
  <c r="M107" i="14"/>
  <c r="L107" i="14"/>
  <c r="X71" i="11"/>
  <c r="U71" i="11"/>
  <c r="R71" i="11"/>
  <c r="S71" i="11"/>
  <c r="AB71" i="11"/>
  <c r="Y71" i="11"/>
  <c r="V71" i="11"/>
  <c r="W71" i="11"/>
  <c r="H71" i="11"/>
  <c r="E71" i="11"/>
  <c r="AK71" i="11"/>
  <c r="AH71" i="11"/>
  <c r="AI71" i="11"/>
  <c r="L71" i="11"/>
  <c r="I71" i="11"/>
  <c r="F71" i="11"/>
  <c r="G71" i="11"/>
  <c r="AG71" i="11"/>
  <c r="AE71" i="11"/>
  <c r="P71" i="11"/>
  <c r="J71" i="11"/>
  <c r="M71" i="11"/>
  <c r="K71" i="11"/>
  <c r="Q71" i="11"/>
  <c r="O71" i="11"/>
  <c r="AC71" i="11"/>
  <c r="N71" i="11"/>
  <c r="Z71" i="11"/>
  <c r="T71" i="11"/>
  <c r="AJ71" i="11"/>
  <c r="AD71" i="11"/>
  <c r="AF71" i="11"/>
  <c r="AA71" i="11"/>
  <c r="E82" i="16" a="1"/>
  <c r="E77" i="17" a="1"/>
  <c r="E77" i="16" a="1"/>
  <c r="E78" i="14" a="1"/>
  <c r="E156" i="13"/>
  <c r="N156" i="13"/>
  <c r="AK156" i="13"/>
  <c r="Z156" i="13"/>
  <c r="V156" i="13"/>
  <c r="W156" i="13"/>
  <c r="AA156" i="13"/>
  <c r="AD156" i="13"/>
  <c r="AG156" i="13"/>
  <c r="AC156" i="13"/>
  <c r="AH156" i="13"/>
  <c r="S156" i="13"/>
  <c r="AI156" i="13"/>
  <c r="G156" i="13"/>
  <c r="K156" i="13"/>
  <c r="T156" i="13"/>
  <c r="AJ156" i="13"/>
  <c r="Q156" i="13"/>
  <c r="AE156" i="13"/>
  <c r="H156" i="13"/>
  <c r="AF156" i="13"/>
  <c r="L156" i="13"/>
  <c r="P156" i="13"/>
  <c r="M156" i="13"/>
  <c r="J156" i="13"/>
  <c r="X156" i="13"/>
  <c r="Y156" i="13"/>
  <c r="R156" i="13"/>
  <c r="I156" i="13"/>
  <c r="O156" i="13"/>
  <c r="U156" i="13"/>
  <c r="F156" i="13"/>
  <c r="AB156" i="13"/>
  <c r="E51" i="15" a="1"/>
  <c r="L97" i="11"/>
  <c r="S97" i="11"/>
  <c r="Y97" i="11"/>
  <c r="R97" i="11"/>
  <c r="P97" i="11"/>
  <c r="AA97" i="11"/>
  <c r="AC97" i="11"/>
  <c r="V97" i="11"/>
  <c r="AB97" i="11"/>
  <c r="I97" i="11"/>
  <c r="O97" i="11"/>
  <c r="AH97" i="11"/>
  <c r="AF97" i="11"/>
  <c r="M97" i="11"/>
  <c r="F97" i="11"/>
  <c r="G97" i="11"/>
  <c r="X97" i="11"/>
  <c r="AK97" i="11"/>
  <c r="AJ97" i="11"/>
  <c r="J97" i="11"/>
  <c r="Q97" i="11"/>
  <c r="W97" i="11"/>
  <c r="H97" i="11"/>
  <c r="U97" i="11"/>
  <c r="AE97" i="11"/>
  <c r="T97" i="11"/>
  <c r="K97" i="11"/>
  <c r="AI97" i="11"/>
  <c r="N97" i="11"/>
  <c r="E97" i="11"/>
  <c r="Z97" i="11"/>
  <c r="AD97" i="11"/>
  <c r="AG97" i="11"/>
  <c r="E79" i="13" a="1"/>
  <c r="AJ72" i="17"/>
  <c r="AG72" i="17"/>
  <c r="AD72" i="17"/>
  <c r="AE72" i="17"/>
  <c r="X72" i="17"/>
  <c r="U72" i="17"/>
  <c r="R72" i="17"/>
  <c r="S72" i="17"/>
  <c r="H72" i="17"/>
  <c r="M72" i="17"/>
  <c r="V72" i="17"/>
  <c r="AI72" i="17"/>
  <c r="L72" i="17"/>
  <c r="Q72" i="17"/>
  <c r="Z72" i="17"/>
  <c r="AF72" i="17"/>
  <c r="F72" i="17"/>
  <c r="O72" i="17"/>
  <c r="E72" i="17"/>
  <c r="J72" i="17"/>
  <c r="W72" i="17"/>
  <c r="I72" i="17"/>
  <c r="AA72" i="17"/>
  <c r="T72" i="17"/>
  <c r="K72" i="17"/>
  <c r="Y72" i="17"/>
  <c r="G72" i="17"/>
  <c r="AH72" i="17"/>
  <c r="AB72" i="17"/>
  <c r="AK72" i="17"/>
  <c r="AC72" i="17"/>
  <c r="N72" i="17"/>
  <c r="P72" i="17"/>
  <c r="H186" i="13"/>
  <c r="AB186" i="13"/>
  <c r="AE186" i="13"/>
  <c r="L186" i="13"/>
  <c r="AI186" i="13"/>
  <c r="AF186" i="13"/>
  <c r="E186" i="13"/>
  <c r="AC186" i="13"/>
  <c r="Z186" i="13"/>
  <c r="M186" i="13"/>
  <c r="Q186" i="13"/>
  <c r="W186" i="13"/>
  <c r="X186" i="13"/>
  <c r="R186" i="13"/>
  <c r="AJ186" i="13"/>
  <c r="S186" i="13"/>
  <c r="I186" i="13"/>
  <c r="G186" i="13"/>
  <c r="O186" i="13"/>
  <c r="T186" i="13"/>
  <c r="AH186" i="13"/>
  <c r="AG186" i="13"/>
  <c r="J186" i="13"/>
  <c r="K186" i="13"/>
  <c r="U186" i="13"/>
  <c r="P186" i="13"/>
  <c r="F186" i="13"/>
  <c r="V186" i="13"/>
  <c r="AA186" i="13"/>
  <c r="N186" i="13"/>
  <c r="AD186" i="13"/>
  <c r="AK186" i="13"/>
  <c r="Y186" i="13"/>
  <c r="E119" i="12"/>
  <c r="Z119" i="12"/>
  <c r="M119" i="12"/>
  <c r="AK119" i="12"/>
  <c r="O119" i="12"/>
  <c r="H119" i="12"/>
  <c r="N119" i="12"/>
  <c r="AI119" i="12"/>
  <c r="R119" i="12"/>
  <c r="Y119" i="12"/>
  <c r="F119" i="12"/>
  <c r="V119" i="12"/>
  <c r="I119" i="12"/>
  <c r="AE119" i="12"/>
  <c r="K119" i="12"/>
  <c r="AC119" i="12"/>
  <c r="G119" i="12"/>
  <c r="P119" i="12"/>
  <c r="L119" i="12"/>
  <c r="U119" i="12"/>
  <c r="J119" i="12"/>
  <c r="W119" i="12"/>
  <c r="AA119" i="12"/>
  <c r="AH119" i="12"/>
  <c r="AD119" i="12"/>
  <c r="T119" i="12"/>
  <c r="Q119" i="12"/>
  <c r="X119" i="12"/>
  <c r="AJ119" i="12"/>
  <c r="AB119" i="12"/>
  <c r="AF119" i="12"/>
  <c r="AG119" i="12"/>
  <c r="S119" i="12"/>
  <c r="E51" i="16" a="1"/>
  <c r="E54" i="15" a="1"/>
  <c r="E174" i="13"/>
  <c r="O174" i="13"/>
  <c r="T174" i="13"/>
  <c r="K174" i="13"/>
  <c r="AI174" i="13"/>
  <c r="S174" i="13"/>
  <c r="Y174" i="13"/>
  <c r="F174" i="13"/>
  <c r="V174" i="13"/>
  <c r="M174" i="13"/>
  <c r="AC174" i="13"/>
  <c r="W174" i="13"/>
  <c r="X174" i="13"/>
  <c r="G174" i="13"/>
  <c r="AJ174" i="13"/>
  <c r="AA174" i="13"/>
  <c r="AG174" i="13"/>
  <c r="L174" i="13"/>
  <c r="AF174" i="13"/>
  <c r="J174" i="13"/>
  <c r="AH174" i="13"/>
  <c r="I174" i="13"/>
  <c r="H174" i="13"/>
  <c r="R174" i="13"/>
  <c r="P174" i="13"/>
  <c r="N174" i="13"/>
  <c r="Z174" i="13"/>
  <c r="AK174" i="13"/>
  <c r="Q174" i="13"/>
  <c r="AB174" i="13"/>
  <c r="U174" i="13"/>
  <c r="AE174" i="13"/>
  <c r="AD174" i="13"/>
  <c r="L71" i="15"/>
  <c r="H71" i="15"/>
  <c r="I71" i="15"/>
  <c r="F71" i="15"/>
  <c r="G71" i="15"/>
  <c r="AJ71" i="15"/>
  <c r="AK71" i="15"/>
  <c r="K71" i="15"/>
  <c r="E71" i="15"/>
  <c r="N71" i="15"/>
  <c r="W71" i="15"/>
  <c r="X71" i="15"/>
  <c r="AG71" i="15"/>
  <c r="S71" i="15"/>
  <c r="Q71" i="15"/>
  <c r="AD71" i="15"/>
  <c r="U71" i="15"/>
  <c r="AH71" i="15"/>
  <c r="T71" i="15"/>
  <c r="J71" i="15"/>
  <c r="AE71" i="15"/>
  <c r="AF71" i="15"/>
  <c r="V71" i="15"/>
  <c r="R71" i="15"/>
  <c r="Z71" i="15"/>
  <c r="AB71" i="15"/>
  <c r="AI71" i="15"/>
  <c r="M71" i="15"/>
  <c r="P71" i="15"/>
  <c r="Y71" i="15"/>
  <c r="AC71" i="15"/>
  <c r="AA71" i="15"/>
  <c r="O71" i="15"/>
  <c r="E53" i="15" a="1"/>
  <c r="E81" i="14" a="1"/>
  <c r="H72" i="16"/>
  <c r="N72" i="16"/>
  <c r="U72" i="16"/>
  <c r="K72" i="16"/>
  <c r="AH72" i="16"/>
  <c r="AB72" i="16"/>
  <c r="M72" i="16"/>
  <c r="G72" i="16"/>
  <c r="L72" i="16"/>
  <c r="V72" i="16"/>
  <c r="AG72" i="16"/>
  <c r="AA72" i="16"/>
  <c r="X72" i="16"/>
  <c r="Y72" i="16"/>
  <c r="AE72" i="16"/>
  <c r="AJ72" i="16"/>
  <c r="F72" i="16"/>
  <c r="Z72" i="16"/>
  <c r="S72" i="16"/>
  <c r="I72" i="16"/>
  <c r="J72" i="16"/>
  <c r="Q72" i="16"/>
  <c r="T72" i="16"/>
  <c r="AD72" i="16"/>
  <c r="R72" i="16"/>
  <c r="W72" i="16"/>
  <c r="O72" i="16"/>
  <c r="AI72" i="16"/>
  <c r="AF72" i="16"/>
  <c r="E72" i="16"/>
  <c r="AC72" i="16"/>
  <c r="AK72" i="16"/>
  <c r="P72" i="16"/>
  <c r="H97" i="13"/>
  <c r="T97" i="13"/>
  <c r="P97" i="13"/>
  <c r="L97" i="13"/>
  <c r="X97" i="13"/>
  <c r="Q97" i="13"/>
  <c r="K97" i="13"/>
  <c r="I97" i="13"/>
  <c r="E97" i="13"/>
  <c r="AD97" i="13"/>
  <c r="J97" i="13"/>
  <c r="AB97" i="13"/>
  <c r="AA97" i="13"/>
  <c r="G97" i="13"/>
  <c r="AH97" i="13"/>
  <c r="AE97" i="13"/>
  <c r="Z97" i="13"/>
  <c r="V97" i="13"/>
  <c r="R97" i="13"/>
  <c r="W97" i="13"/>
  <c r="AG97" i="13"/>
  <c r="F97" i="13"/>
  <c r="AC97" i="13"/>
  <c r="AK97" i="13"/>
  <c r="AF97" i="13"/>
  <c r="U97" i="13"/>
  <c r="M97" i="13"/>
  <c r="Y97" i="13"/>
  <c r="AI97" i="13"/>
  <c r="O97" i="13"/>
  <c r="N97" i="13"/>
  <c r="S97" i="13"/>
  <c r="AJ97" i="13"/>
  <c r="E125" i="11"/>
  <c r="AC125" i="11"/>
  <c r="G125" i="11"/>
  <c r="W125" i="11"/>
  <c r="I125" i="11"/>
  <c r="AB125" i="11"/>
  <c r="K125" i="11"/>
  <c r="AA125" i="11"/>
  <c r="M125" i="11"/>
  <c r="Y125" i="11"/>
  <c r="N125" i="11"/>
  <c r="F125" i="11"/>
  <c r="AD125" i="11"/>
  <c r="V125" i="11"/>
  <c r="T125" i="11"/>
  <c r="L125" i="11"/>
  <c r="AJ125" i="11"/>
  <c r="Z125" i="11"/>
  <c r="AI125" i="11"/>
  <c r="AK125" i="11"/>
  <c r="J125" i="11"/>
  <c r="R125" i="11"/>
  <c r="AH125" i="11"/>
  <c r="P125" i="11"/>
  <c r="AF125" i="11"/>
  <c r="AG125" i="11"/>
  <c r="X125" i="11"/>
  <c r="O125" i="11"/>
  <c r="H125" i="11"/>
  <c r="U125" i="11"/>
  <c r="S125" i="11"/>
  <c r="AE125" i="11"/>
  <c r="Q125" i="11"/>
  <c r="E53" i="17" a="1"/>
  <c r="E80" i="15" a="1"/>
  <c r="H74" i="13"/>
  <c r="N74" i="13"/>
  <c r="AF74" i="13"/>
  <c r="AB74" i="13"/>
  <c r="E74" i="13"/>
  <c r="O74" i="13"/>
  <c r="J74" i="13"/>
  <c r="Y74" i="13"/>
  <c r="U74" i="13"/>
  <c r="AJ74" i="13"/>
  <c r="P74" i="13"/>
  <c r="AI74" i="13"/>
  <c r="AA74" i="13"/>
  <c r="G74" i="13"/>
  <c r="AH74" i="13"/>
  <c r="AE74" i="13"/>
  <c r="W74" i="13"/>
  <c r="X74" i="13"/>
  <c r="Q74" i="13"/>
  <c r="V74" i="13"/>
  <c r="K74" i="13"/>
  <c r="L74" i="13"/>
  <c r="Z74" i="13"/>
  <c r="S74" i="13"/>
  <c r="I74" i="13"/>
  <c r="R74" i="13"/>
  <c r="AC74" i="13"/>
  <c r="M74" i="13"/>
  <c r="AG74" i="13"/>
  <c r="AD74" i="13"/>
  <c r="AK74" i="13"/>
  <c r="T74" i="13"/>
  <c r="F74" i="13"/>
  <c r="L98" i="12"/>
  <c r="AE98" i="12"/>
  <c r="N98" i="12"/>
  <c r="AJ98" i="12"/>
  <c r="AB98" i="12"/>
  <c r="Z98" i="12"/>
  <c r="K98" i="12"/>
  <c r="AC98" i="12"/>
  <c r="P98" i="12"/>
  <c r="Q98" i="12"/>
  <c r="M98" i="12"/>
  <c r="S98" i="12"/>
  <c r="V98" i="12"/>
  <c r="H98" i="12"/>
  <c r="X98" i="12"/>
  <c r="AD98" i="12"/>
  <c r="F98" i="12"/>
  <c r="AG98" i="12"/>
  <c r="AA98" i="12"/>
  <c r="O98" i="12"/>
  <c r="J98" i="12"/>
  <c r="Y98" i="12"/>
  <c r="AF98" i="12"/>
  <c r="U98" i="12"/>
  <c r="I98" i="12"/>
  <c r="AK98" i="12"/>
  <c r="AH98" i="12"/>
  <c r="T98" i="12"/>
  <c r="AI98" i="12"/>
  <c r="R98" i="12"/>
  <c r="W98" i="12"/>
  <c r="G98" i="12"/>
  <c r="E98" i="12"/>
  <c r="E55" i="16" a="1"/>
  <c r="E168" i="12"/>
  <c r="M168" i="12"/>
  <c r="K168" i="12"/>
  <c r="U168" i="12"/>
  <c r="AE168" i="12"/>
  <c r="Q168" i="12"/>
  <c r="O168" i="12"/>
  <c r="S168" i="12"/>
  <c r="R168" i="12"/>
  <c r="F168" i="12"/>
  <c r="J168" i="12"/>
  <c r="G168" i="12"/>
  <c r="I168" i="12"/>
  <c r="Y168" i="12"/>
  <c r="N168" i="12"/>
  <c r="Z168" i="12"/>
  <c r="AC168" i="12"/>
  <c r="AF168" i="12"/>
  <c r="AB168" i="12"/>
  <c r="AH168" i="12"/>
  <c r="AA168" i="12"/>
  <c r="V168" i="12"/>
  <c r="W168" i="12"/>
  <c r="T168" i="12"/>
  <c r="AD168" i="12"/>
  <c r="H168" i="12"/>
  <c r="AG168" i="12"/>
  <c r="AJ168" i="12"/>
  <c r="X168" i="12"/>
  <c r="L168" i="12"/>
  <c r="P168" i="12"/>
  <c r="AK168" i="12"/>
  <c r="AI168" i="12"/>
  <c r="E150" i="14"/>
  <c r="U150" i="14"/>
  <c r="AD150" i="14"/>
  <c r="AI150" i="14"/>
  <c r="R150" i="14"/>
  <c r="AC150" i="14"/>
  <c r="Z150" i="14"/>
  <c r="AJ150" i="14"/>
  <c r="N150" i="14"/>
  <c r="Q150" i="14"/>
  <c r="AG150" i="14"/>
  <c r="G150" i="14"/>
  <c r="J150" i="14"/>
  <c r="X150" i="14"/>
  <c r="AF150" i="14"/>
  <c r="V150" i="14"/>
  <c r="AB150" i="14"/>
  <c r="I150" i="14"/>
  <c r="S150" i="14"/>
  <c r="H150" i="14"/>
  <c r="W150" i="14"/>
  <c r="F150" i="14"/>
  <c r="L150" i="14"/>
  <c r="T150" i="14"/>
  <c r="M150" i="14"/>
  <c r="AK150" i="14"/>
  <c r="K150" i="14"/>
  <c r="AH150" i="14"/>
  <c r="P150" i="14"/>
  <c r="O150" i="14"/>
  <c r="AE150" i="14"/>
  <c r="AA150" i="14"/>
  <c r="Y150" i="14"/>
  <c r="T95" i="16"/>
  <c r="Q95" i="16"/>
  <c r="N95" i="16"/>
  <c r="O95" i="16"/>
  <c r="L95" i="16"/>
  <c r="M95" i="16"/>
  <c r="R95" i="16"/>
  <c r="W95" i="16"/>
  <c r="E95" i="16"/>
  <c r="J95" i="16"/>
  <c r="AA95" i="16"/>
  <c r="I95" i="16"/>
  <c r="Z95" i="16"/>
  <c r="X95" i="16"/>
  <c r="AK95" i="16"/>
  <c r="AE95" i="16"/>
  <c r="AB95" i="16"/>
  <c r="V95" i="16"/>
  <c r="AF95" i="16"/>
  <c r="AD95" i="16"/>
  <c r="Y95" i="16"/>
  <c r="K95" i="16"/>
  <c r="H95" i="16"/>
  <c r="AG95" i="16"/>
  <c r="AI95" i="16"/>
  <c r="AC95" i="16"/>
  <c r="F95" i="16"/>
  <c r="S95" i="16"/>
  <c r="P95" i="16"/>
  <c r="G95" i="16"/>
  <c r="AJ95" i="16"/>
  <c r="U95" i="16"/>
  <c r="AH95" i="16"/>
  <c r="H73" i="13"/>
  <c r="N73" i="13"/>
  <c r="AF73" i="13"/>
  <c r="AB73" i="13"/>
  <c r="E73" i="13"/>
  <c r="T73" i="13"/>
  <c r="W73" i="13"/>
  <c r="S73" i="13"/>
  <c r="AG73" i="13"/>
  <c r="Z73" i="13"/>
  <c r="F73" i="13"/>
  <c r="AK73" i="13"/>
  <c r="AD73" i="13"/>
  <c r="AC73" i="13"/>
  <c r="I73" i="13"/>
  <c r="X73" i="13"/>
  <c r="M73" i="13"/>
  <c r="R73" i="13"/>
  <c r="AE73" i="13"/>
  <c r="P73" i="13"/>
  <c r="U73" i="13"/>
  <c r="Q73" i="13"/>
  <c r="Y73" i="13"/>
  <c r="AA73" i="13"/>
  <c r="L73" i="13"/>
  <c r="V73" i="13"/>
  <c r="AI73" i="13"/>
  <c r="K73" i="13"/>
  <c r="J73" i="13"/>
  <c r="G73" i="13"/>
  <c r="AH73" i="13"/>
  <c r="AJ73" i="13"/>
  <c r="O73" i="13"/>
  <c r="H74" i="11"/>
  <c r="W74" i="11"/>
  <c r="AE74" i="11"/>
  <c r="P74" i="11"/>
  <c r="X74" i="11"/>
  <c r="Y74" i="11"/>
  <c r="O74" i="11"/>
  <c r="AA74" i="11"/>
  <c r="AI74" i="11"/>
  <c r="F74" i="11"/>
  <c r="AG74" i="11"/>
  <c r="J74" i="11"/>
  <c r="R74" i="11"/>
  <c r="L74" i="11"/>
  <c r="Q74" i="11"/>
  <c r="AC74" i="11"/>
  <c r="AK74" i="11"/>
  <c r="N74" i="11"/>
  <c r="AH74" i="11"/>
  <c r="V74" i="11"/>
  <c r="AJ74" i="11"/>
  <c r="U74" i="11"/>
  <c r="M74" i="11"/>
  <c r="AF74" i="11"/>
  <c r="S74" i="11"/>
  <c r="E74" i="11"/>
  <c r="AB74" i="11"/>
  <c r="T74" i="11"/>
  <c r="I74" i="11"/>
  <c r="G74" i="11"/>
  <c r="Z74" i="11"/>
  <c r="AD74" i="11"/>
  <c r="K74" i="11"/>
  <c r="E143" i="15"/>
  <c r="V143" i="15"/>
  <c r="Z143" i="15"/>
  <c r="O143" i="15"/>
  <c r="AE143" i="15"/>
  <c r="AA143" i="15"/>
  <c r="AH143" i="15"/>
  <c r="S143" i="15"/>
  <c r="AF143" i="15"/>
  <c r="AD143" i="15"/>
  <c r="H143" i="15"/>
  <c r="M143" i="15"/>
  <c r="AC143" i="15"/>
  <c r="R143" i="15"/>
  <c r="AK143" i="15"/>
  <c r="T143" i="15"/>
  <c r="AG143" i="15"/>
  <c r="L143" i="15"/>
  <c r="Q143" i="15"/>
  <c r="G143" i="15"/>
  <c r="J143" i="15"/>
  <c r="AJ143" i="15"/>
  <c r="W143" i="15"/>
  <c r="U143" i="15"/>
  <c r="K143" i="15"/>
  <c r="AI143" i="15"/>
  <c r="F143" i="15"/>
  <c r="N143" i="15"/>
  <c r="X143" i="15"/>
  <c r="P143" i="15"/>
  <c r="Y143" i="15"/>
  <c r="I143" i="15"/>
  <c r="AB143" i="15"/>
  <c r="AJ99" i="12"/>
  <c r="AG99" i="12"/>
  <c r="AD99" i="12"/>
  <c r="AE99" i="12"/>
  <c r="H99" i="12"/>
  <c r="E99" i="12"/>
  <c r="AK99" i="12"/>
  <c r="AH99" i="12"/>
  <c r="AI99" i="12"/>
  <c r="T99" i="12"/>
  <c r="Q99" i="12"/>
  <c r="N99" i="12"/>
  <c r="O99" i="12"/>
  <c r="X99" i="12"/>
  <c r="U99" i="12"/>
  <c r="R99" i="12"/>
  <c r="S99" i="12"/>
  <c r="M99" i="12"/>
  <c r="K99" i="12"/>
  <c r="Y99" i="12"/>
  <c r="W99" i="12"/>
  <c r="AB99" i="12"/>
  <c r="V99" i="12"/>
  <c r="AF99" i="12"/>
  <c r="Z99" i="12"/>
  <c r="G99" i="12"/>
  <c r="AA99" i="12"/>
  <c r="L99" i="12"/>
  <c r="AC99" i="12"/>
  <c r="P99" i="12"/>
  <c r="J99" i="12"/>
  <c r="I99" i="12"/>
  <c r="F99" i="12"/>
  <c r="T69" i="11"/>
  <c r="AH69" i="11"/>
  <c r="I69" i="11"/>
  <c r="N69" i="11"/>
  <c r="W69" i="11"/>
  <c r="M69" i="11"/>
  <c r="P69" i="11"/>
  <c r="AG69" i="11"/>
  <c r="F69" i="11"/>
  <c r="AF69" i="11"/>
  <c r="Y69" i="11"/>
  <c r="V69" i="11"/>
  <c r="X69" i="11"/>
  <c r="S69" i="11"/>
  <c r="E69" i="11"/>
  <c r="AK69" i="11"/>
  <c r="AE69" i="11"/>
  <c r="J69" i="11"/>
  <c r="AJ69" i="11"/>
  <c r="Z69" i="11"/>
  <c r="G69" i="11"/>
  <c r="L69" i="11"/>
  <c r="AB69" i="11"/>
  <c r="O69" i="11"/>
  <c r="U69" i="11"/>
  <c r="H69" i="11"/>
  <c r="AD69" i="11"/>
  <c r="AA69" i="11"/>
  <c r="Q69" i="11"/>
  <c r="AC69" i="11"/>
  <c r="K69" i="11"/>
  <c r="R69" i="11"/>
  <c r="AI69" i="11"/>
  <c r="E50" i="17" a="1"/>
  <c r="E180" i="15"/>
  <c r="G180" i="15"/>
  <c r="K180" i="15"/>
  <c r="F180" i="15"/>
  <c r="AD180" i="15"/>
  <c r="Z180" i="15"/>
  <c r="S180" i="15"/>
  <c r="J180" i="15"/>
  <c r="AF180" i="15"/>
  <c r="AC180" i="15"/>
  <c r="AE180" i="15"/>
  <c r="AJ180" i="15"/>
  <c r="AK180" i="15"/>
  <c r="L180" i="15"/>
  <c r="AB180" i="15"/>
  <c r="H180" i="15"/>
  <c r="V180" i="15"/>
  <c r="P180" i="15"/>
  <c r="Q180" i="15"/>
  <c r="N180" i="15"/>
  <c r="AA180" i="15"/>
  <c r="AH180" i="15"/>
  <c r="O180" i="15"/>
  <c r="U180" i="15"/>
  <c r="R180" i="15"/>
  <c r="W180" i="15"/>
  <c r="AI180" i="15"/>
  <c r="T180" i="15"/>
  <c r="I180" i="15"/>
  <c r="Y180" i="15"/>
  <c r="AG180" i="15"/>
  <c r="M180" i="15"/>
  <c r="X180" i="15"/>
  <c r="AF96" i="12"/>
  <c r="AC96" i="12"/>
  <c r="Z96" i="12"/>
  <c r="AA96" i="12"/>
  <c r="AJ96" i="12"/>
  <c r="AG96" i="12"/>
  <c r="AD96" i="12"/>
  <c r="AE96" i="12"/>
  <c r="P96" i="12"/>
  <c r="M96" i="12"/>
  <c r="J96" i="12"/>
  <c r="K96" i="12"/>
  <c r="T96" i="12"/>
  <c r="Q96" i="12"/>
  <c r="N96" i="12"/>
  <c r="O96" i="12"/>
  <c r="I96" i="12"/>
  <c r="G96" i="12"/>
  <c r="U96" i="12"/>
  <c r="S96" i="12"/>
  <c r="X96" i="12"/>
  <c r="R96" i="12"/>
  <c r="AB96" i="12"/>
  <c r="V96" i="12"/>
  <c r="AH96" i="12"/>
  <c r="W96" i="12"/>
  <c r="H96" i="12"/>
  <c r="AI96" i="12"/>
  <c r="Y96" i="12"/>
  <c r="L96" i="12"/>
  <c r="AK96" i="12"/>
  <c r="F96" i="12"/>
  <c r="E96" i="12"/>
  <c r="E53" i="14" a="1"/>
  <c r="AJ99" i="15"/>
  <c r="M99" i="15"/>
  <c r="I99" i="15"/>
  <c r="U99" i="15"/>
  <c r="H99" i="15"/>
  <c r="AE99" i="15"/>
  <c r="K99" i="15"/>
  <c r="V99" i="15"/>
  <c r="R99" i="15"/>
  <c r="O99" i="15"/>
  <c r="AC99" i="15"/>
  <c r="L99" i="15"/>
  <c r="Q99" i="15"/>
  <c r="P99" i="15"/>
  <c r="AH99" i="15"/>
  <c r="AD99" i="15"/>
  <c r="W99" i="15"/>
  <c r="AK99" i="15"/>
  <c r="AA99" i="15"/>
  <c r="Y99" i="15"/>
  <c r="J99" i="15"/>
  <c r="AI99" i="15"/>
  <c r="AB99" i="15"/>
  <c r="AG99" i="15"/>
  <c r="S99" i="15"/>
  <c r="Z99" i="15"/>
  <c r="AF99" i="15"/>
  <c r="X99" i="15"/>
  <c r="G99" i="15"/>
  <c r="F99" i="15"/>
  <c r="E99" i="15"/>
  <c r="N99" i="15"/>
  <c r="T99" i="15"/>
  <c r="H101" i="17"/>
  <c r="E101" i="17"/>
  <c r="AK101" i="17"/>
  <c r="AH101" i="17"/>
  <c r="AI101" i="17"/>
  <c r="AJ101" i="17"/>
  <c r="F101" i="17"/>
  <c r="K101" i="17"/>
  <c r="I101" i="17"/>
  <c r="J101" i="17"/>
  <c r="O101" i="17"/>
  <c r="X101" i="17"/>
  <c r="Y101" i="17"/>
  <c r="Z101" i="17"/>
  <c r="AE101" i="17"/>
  <c r="AB101" i="17"/>
  <c r="AC101" i="17"/>
  <c r="AD101" i="17"/>
  <c r="AG101" i="17"/>
  <c r="M101" i="17"/>
  <c r="W101" i="17"/>
  <c r="U101" i="17"/>
  <c r="N101" i="17"/>
  <c r="L101" i="17"/>
  <c r="S101" i="17"/>
  <c r="P101" i="17"/>
  <c r="AA101" i="17"/>
  <c r="Q101" i="17"/>
  <c r="V101" i="17"/>
  <c r="R101" i="17"/>
  <c r="G101" i="17"/>
  <c r="T101" i="17"/>
  <c r="AF101" i="17"/>
  <c r="E168" i="17"/>
  <c r="W168" i="17"/>
  <c r="X168" i="17"/>
  <c r="P168" i="17"/>
  <c r="AF168" i="17"/>
  <c r="Z168" i="17"/>
  <c r="F168" i="17"/>
  <c r="M168" i="17"/>
  <c r="K168" i="17"/>
  <c r="J168" i="17"/>
  <c r="Q168" i="17"/>
  <c r="L168" i="17"/>
  <c r="AC168" i="17"/>
  <c r="T168" i="17"/>
  <c r="AI168" i="17"/>
  <c r="Y168" i="17"/>
  <c r="N168" i="17"/>
  <c r="G168" i="17"/>
  <c r="U168" i="17"/>
  <c r="AG168" i="17"/>
  <c r="AE168" i="17"/>
  <c r="AB168" i="17"/>
  <c r="R168" i="17"/>
  <c r="V168" i="17"/>
  <c r="I168" i="17"/>
  <c r="H168" i="17"/>
  <c r="AJ168" i="17"/>
  <c r="AA168" i="17"/>
  <c r="AK168" i="17"/>
  <c r="O168" i="17"/>
  <c r="S168" i="17"/>
  <c r="AD168" i="17"/>
  <c r="AH168" i="17"/>
  <c r="L95" i="13"/>
  <c r="U95" i="13"/>
  <c r="AK95" i="13"/>
  <c r="M95" i="13"/>
  <c r="I95" i="13"/>
  <c r="T95" i="13"/>
  <c r="J95" i="13"/>
  <c r="Y95" i="13"/>
  <c r="AE95" i="13"/>
  <c r="AI95" i="13"/>
  <c r="AC95" i="13"/>
  <c r="AB95" i="13"/>
  <c r="AJ95" i="13"/>
  <c r="X95" i="13"/>
  <c r="H95" i="13"/>
  <c r="W95" i="13"/>
  <c r="O95" i="13"/>
  <c r="AA95" i="13"/>
  <c r="G95" i="13"/>
  <c r="AG95" i="13"/>
  <c r="R95" i="13"/>
  <c r="P95" i="13"/>
  <c r="N95" i="13"/>
  <c r="V95" i="13"/>
  <c r="K95" i="13"/>
  <c r="Z95" i="13"/>
  <c r="AF95" i="13"/>
  <c r="F95" i="13"/>
  <c r="Q95" i="13"/>
  <c r="E95" i="13"/>
  <c r="S95" i="13"/>
  <c r="AH95" i="13"/>
  <c r="AD95" i="13"/>
  <c r="E80" i="13" a="1"/>
  <c r="E80" i="16" a="1"/>
  <c r="E56" i="14" a="1"/>
  <c r="H68" i="16"/>
  <c r="N68" i="16"/>
  <c r="AF68" i="16"/>
  <c r="AB68" i="16"/>
  <c r="E68" i="16"/>
  <c r="Q68" i="16"/>
  <c r="AC68" i="16"/>
  <c r="I68" i="16"/>
  <c r="X68" i="16"/>
  <c r="AA68" i="16"/>
  <c r="G68" i="16"/>
  <c r="AH68" i="16"/>
  <c r="K68" i="16"/>
  <c r="Y68" i="16"/>
  <c r="AG68" i="16"/>
  <c r="W68" i="16"/>
  <c r="U68" i="16"/>
  <c r="T68" i="16"/>
  <c r="AI68" i="16"/>
  <c r="J68" i="16"/>
  <c r="AK68" i="16"/>
  <c r="M68" i="16"/>
  <c r="O68" i="16"/>
  <c r="F68" i="16"/>
  <c r="AJ68" i="16"/>
  <c r="S68" i="16"/>
  <c r="AD68" i="16"/>
  <c r="Z68" i="16"/>
  <c r="L68" i="16"/>
  <c r="R68" i="16"/>
  <c r="AE68" i="16"/>
  <c r="P68" i="16"/>
  <c r="V68" i="16"/>
  <c r="E131" i="12"/>
  <c r="Z131" i="12"/>
  <c r="U131" i="12"/>
  <c r="AK131" i="12"/>
  <c r="O131" i="12"/>
  <c r="H131" i="12"/>
  <c r="S131" i="12"/>
  <c r="AI131" i="12"/>
  <c r="R131" i="12"/>
  <c r="Y131" i="12"/>
  <c r="F131" i="12"/>
  <c r="V131" i="12"/>
  <c r="I131" i="12"/>
  <c r="W131" i="12"/>
  <c r="M131" i="12"/>
  <c r="AC131" i="12"/>
  <c r="G131" i="12"/>
  <c r="P131" i="12"/>
  <c r="L131" i="12"/>
  <c r="K131" i="12"/>
  <c r="J131" i="12"/>
  <c r="AE131" i="12"/>
  <c r="AA131" i="12"/>
  <c r="AH131" i="12"/>
  <c r="AD131" i="12"/>
  <c r="T131" i="12"/>
  <c r="Q131" i="12"/>
  <c r="X131" i="12"/>
  <c r="N131" i="12"/>
  <c r="AB131" i="12"/>
  <c r="AF131" i="12"/>
  <c r="AG131" i="12"/>
  <c r="AJ131" i="12"/>
  <c r="E113" i="16"/>
  <c r="AJ113" i="16"/>
  <c r="Q113" i="16"/>
  <c r="AG113" i="16"/>
  <c r="AA113" i="16"/>
  <c r="AH113" i="16"/>
  <c r="T113" i="16"/>
  <c r="L113" i="16"/>
  <c r="Z113" i="16"/>
  <c r="AK113" i="16"/>
  <c r="H113" i="16"/>
  <c r="O113" i="16"/>
  <c r="AF113" i="16"/>
  <c r="V113" i="16"/>
  <c r="I113" i="16"/>
  <c r="X113" i="16"/>
  <c r="AC113" i="16"/>
  <c r="U113" i="16"/>
  <c r="N113" i="16"/>
  <c r="J113" i="16"/>
  <c r="M113" i="16"/>
  <c r="P113" i="16"/>
  <c r="F113" i="16"/>
  <c r="AE113" i="16"/>
  <c r="G113" i="16"/>
  <c r="AD113" i="16"/>
  <c r="K113" i="16"/>
  <c r="AI113" i="16"/>
  <c r="Y113" i="16"/>
  <c r="R113" i="16"/>
  <c r="W113" i="16"/>
  <c r="S113" i="16"/>
  <c r="AB113" i="16"/>
  <c r="H95" i="15"/>
  <c r="Z95" i="15"/>
  <c r="Y95" i="15"/>
  <c r="U95" i="15"/>
  <c r="AG95" i="15"/>
  <c r="M95" i="15"/>
  <c r="I95" i="15"/>
  <c r="AB95" i="15"/>
  <c r="X95" i="15"/>
  <c r="G95" i="15"/>
  <c r="AK95" i="15"/>
  <c r="K95" i="15"/>
  <c r="O95" i="15"/>
  <c r="AF95" i="15"/>
  <c r="S95" i="15"/>
  <c r="AC95" i="15"/>
  <c r="P95" i="15"/>
  <c r="AD95" i="15"/>
  <c r="T95" i="15"/>
  <c r="R95" i="15"/>
  <c r="V95" i="15"/>
  <c r="L95" i="15"/>
  <c r="E95" i="15"/>
  <c r="AE95" i="15"/>
  <c r="AI95" i="15"/>
  <c r="AA95" i="15"/>
  <c r="F95" i="15"/>
  <c r="Q95" i="15"/>
  <c r="W95" i="15"/>
  <c r="AH95" i="15"/>
  <c r="N95" i="15"/>
  <c r="J95" i="15"/>
  <c r="AJ95" i="15"/>
  <c r="AB99" i="11"/>
  <c r="AH99" i="11"/>
  <c r="O99" i="11"/>
  <c r="K99" i="11"/>
  <c r="G99" i="11"/>
  <c r="R99" i="11"/>
  <c r="AD99" i="11"/>
  <c r="Z99" i="11"/>
  <c r="V99" i="11"/>
  <c r="E99" i="11"/>
  <c r="Q99" i="11"/>
  <c r="M99" i="11"/>
  <c r="I99" i="11"/>
  <c r="L99" i="11"/>
  <c r="X99" i="11"/>
  <c r="AJ99" i="11"/>
  <c r="AF99" i="11"/>
  <c r="U99" i="11"/>
  <c r="AC99" i="11"/>
  <c r="H99" i="11"/>
  <c r="P99" i="11"/>
  <c r="AI99" i="11"/>
  <c r="T99" i="11"/>
  <c r="S99" i="11"/>
  <c r="AA99" i="11"/>
  <c r="AK99" i="11"/>
  <c r="AE99" i="11"/>
  <c r="N99" i="11"/>
  <c r="W99" i="11"/>
  <c r="Y99" i="11"/>
  <c r="AG99" i="11"/>
  <c r="J99" i="11"/>
  <c r="F99" i="11"/>
  <c r="E79" i="16" a="1"/>
  <c r="H99" i="17"/>
  <c r="V99" i="17"/>
  <c r="R99" i="17"/>
  <c r="Z99" i="17"/>
  <c r="N99" i="17"/>
  <c r="G99" i="17"/>
  <c r="AK99" i="17"/>
  <c r="AC99" i="17"/>
  <c r="K99" i="17"/>
  <c r="F99" i="17"/>
  <c r="U99" i="17"/>
  <c r="M99" i="17"/>
  <c r="X99" i="17"/>
  <c r="P99" i="17"/>
  <c r="AE99" i="17"/>
  <c r="AD99" i="17"/>
  <c r="AJ99" i="17"/>
  <c r="W99" i="17"/>
  <c r="O99" i="17"/>
  <c r="AA99" i="17"/>
  <c r="J99" i="17"/>
  <c r="Y99" i="17"/>
  <c r="AI99" i="17"/>
  <c r="AF99" i="17"/>
  <c r="AG99" i="17"/>
  <c r="Q99" i="17"/>
  <c r="T99" i="17"/>
  <c r="S99" i="17"/>
  <c r="AH99" i="17"/>
  <c r="AB99" i="17"/>
  <c r="E99" i="17"/>
  <c r="L99" i="17"/>
  <c r="I99" i="17"/>
  <c r="AJ68" i="12"/>
  <c r="AG68" i="12"/>
  <c r="AD68" i="12"/>
  <c r="AE68" i="12"/>
  <c r="H68" i="12"/>
  <c r="E68" i="12"/>
  <c r="AK68" i="12"/>
  <c r="AH68" i="12"/>
  <c r="AI68" i="12"/>
  <c r="T68" i="12"/>
  <c r="Q68" i="12"/>
  <c r="N68" i="12"/>
  <c r="O68" i="12"/>
  <c r="X68" i="12"/>
  <c r="U68" i="12"/>
  <c r="R68" i="12"/>
  <c r="S68" i="12"/>
  <c r="P68" i="12"/>
  <c r="J68" i="12"/>
  <c r="AB68" i="12"/>
  <c r="V68" i="12"/>
  <c r="Y68" i="12"/>
  <c r="W68" i="12"/>
  <c r="AC68" i="12"/>
  <c r="AA68" i="12"/>
  <c r="L68" i="12"/>
  <c r="AF68" i="12"/>
  <c r="I68" i="12"/>
  <c r="Z68" i="12"/>
  <c r="M68" i="12"/>
  <c r="K68" i="12"/>
  <c r="F68" i="12"/>
  <c r="G68" i="12"/>
  <c r="H100" i="17"/>
  <c r="K100" i="17"/>
  <c r="G100" i="17"/>
  <c r="AI100" i="17"/>
  <c r="AE100" i="17"/>
  <c r="O100" i="17"/>
  <c r="M100" i="17"/>
  <c r="AB100" i="17"/>
  <c r="E100" i="17"/>
  <c r="AD100" i="17"/>
  <c r="Q100" i="17"/>
  <c r="AF100" i="17"/>
  <c r="L100" i="17"/>
  <c r="X100" i="17"/>
  <c r="Z100" i="17"/>
  <c r="F100" i="17"/>
  <c r="R100" i="17"/>
  <c r="AG100" i="17"/>
  <c r="J100" i="17"/>
  <c r="Y100" i="17"/>
  <c r="AK100" i="17"/>
  <c r="AJ100" i="17"/>
  <c r="I100" i="17"/>
  <c r="V100" i="17"/>
  <c r="N100" i="17"/>
  <c r="S100" i="17"/>
  <c r="AC100" i="17"/>
  <c r="U100" i="17"/>
  <c r="P100" i="17"/>
  <c r="W100" i="17"/>
  <c r="AH100" i="17"/>
  <c r="T100" i="17"/>
  <c r="AA100" i="17"/>
  <c r="E77" i="13" a="1"/>
  <c r="L125" i="17"/>
  <c r="AF125" i="17"/>
  <c r="X125" i="17"/>
  <c r="AJ125" i="17"/>
  <c r="T125" i="17"/>
  <c r="G125" i="17"/>
  <c r="P125" i="17"/>
  <c r="N125" i="17"/>
  <c r="AK125" i="17"/>
  <c r="R125" i="17"/>
  <c r="I125" i="17"/>
  <c r="U125" i="17"/>
  <c r="AI125" i="17"/>
  <c r="W125" i="17"/>
  <c r="F125" i="17"/>
  <c r="AC125" i="17"/>
  <c r="J125" i="17"/>
  <c r="AA125" i="17"/>
  <c r="Z125" i="17"/>
  <c r="K125" i="17"/>
  <c r="O125" i="17"/>
  <c r="AG125" i="17"/>
  <c r="AH125" i="17"/>
  <c r="Y125" i="17"/>
  <c r="S125" i="17"/>
  <c r="H125" i="17"/>
  <c r="V125" i="17"/>
  <c r="AB125" i="17"/>
  <c r="AD125" i="17"/>
  <c r="AE125" i="17"/>
  <c r="Q125" i="17"/>
  <c r="E125" i="17"/>
  <c r="M125" i="17"/>
  <c r="T73" i="15"/>
  <c r="M73" i="15"/>
  <c r="R73" i="15"/>
  <c r="S73" i="15"/>
  <c r="P73" i="15"/>
  <c r="Q73" i="15"/>
  <c r="Z73" i="15"/>
  <c r="AE73" i="15"/>
  <c r="H73" i="15"/>
  <c r="I73" i="15"/>
  <c r="AD73" i="15"/>
  <c r="J73" i="15"/>
  <c r="X73" i="15"/>
  <c r="AC73" i="15"/>
  <c r="O73" i="15"/>
  <c r="L73" i="15"/>
  <c r="AG73" i="15"/>
  <c r="AA73" i="15"/>
  <c r="Y73" i="15"/>
  <c r="AI73" i="15"/>
  <c r="AK73" i="15"/>
  <c r="AJ73" i="15"/>
  <c r="AH73" i="15"/>
  <c r="E73" i="15"/>
  <c r="K73" i="15"/>
  <c r="G73" i="15"/>
  <c r="W73" i="15"/>
  <c r="N73" i="15"/>
  <c r="U73" i="15"/>
  <c r="AF73" i="15"/>
  <c r="F73" i="15"/>
  <c r="AB73" i="15"/>
  <c r="V73" i="15"/>
  <c r="T96" i="13"/>
  <c r="Q96" i="13"/>
  <c r="N96" i="13"/>
  <c r="O96" i="13"/>
  <c r="X96" i="13"/>
  <c r="Y96" i="13"/>
  <c r="Z96" i="13"/>
  <c r="AE96" i="13"/>
  <c r="AB96" i="13"/>
  <c r="AC96" i="13"/>
  <c r="AD96" i="13"/>
  <c r="AI96" i="13"/>
  <c r="E96" i="13"/>
  <c r="F96" i="13"/>
  <c r="K96" i="13"/>
  <c r="H96" i="13"/>
  <c r="I96" i="13"/>
  <c r="J96" i="13"/>
  <c r="S96" i="13"/>
  <c r="AK96" i="13"/>
  <c r="L96" i="13"/>
  <c r="R96" i="13"/>
  <c r="M96" i="13"/>
  <c r="W96" i="13"/>
  <c r="U96" i="13"/>
  <c r="AA96" i="13"/>
  <c r="AG96" i="13"/>
  <c r="V96" i="13"/>
  <c r="AH96" i="13"/>
  <c r="P96" i="13"/>
  <c r="G96" i="13"/>
  <c r="AF96" i="13"/>
  <c r="AJ96" i="13"/>
  <c r="E56" i="17" a="1"/>
  <c r="L69" i="13"/>
  <c r="AK69" i="13"/>
  <c r="N69" i="13"/>
  <c r="J69" i="13"/>
  <c r="F69" i="13"/>
  <c r="X69" i="13"/>
  <c r="AJ69" i="13"/>
  <c r="AF69" i="13"/>
  <c r="AB69" i="13"/>
  <c r="S69" i="13"/>
  <c r="AE69" i="13"/>
  <c r="AA69" i="13"/>
  <c r="W69" i="13"/>
  <c r="AI69" i="13"/>
  <c r="AG69" i="13"/>
  <c r="K69" i="13"/>
  <c r="I69" i="13"/>
  <c r="AH69" i="13"/>
  <c r="Q69" i="13"/>
  <c r="Z69" i="13"/>
  <c r="E69" i="13"/>
  <c r="P69" i="13"/>
  <c r="H69" i="13"/>
  <c r="G69" i="13"/>
  <c r="U69" i="13"/>
  <c r="M69" i="13"/>
  <c r="O69" i="13"/>
  <c r="V69" i="13"/>
  <c r="R69" i="13"/>
  <c r="AD69" i="13"/>
  <c r="T69" i="13"/>
  <c r="Y69" i="13"/>
  <c r="AC69" i="13"/>
  <c r="E125" i="15"/>
  <c r="F125" i="15"/>
  <c r="K125" i="15"/>
  <c r="U125" i="15"/>
  <c r="J125" i="15"/>
  <c r="G125" i="15"/>
  <c r="W125" i="15"/>
  <c r="Q125" i="15"/>
  <c r="AA125" i="15"/>
  <c r="AC125" i="15"/>
  <c r="AB125" i="15"/>
  <c r="AF125" i="15"/>
  <c r="M125" i="15"/>
  <c r="P125" i="15"/>
  <c r="AE125" i="15"/>
  <c r="S125" i="15"/>
  <c r="AG125" i="15"/>
  <c r="AI125" i="15"/>
  <c r="V125" i="15"/>
  <c r="AD125" i="15"/>
  <c r="Y125" i="15"/>
  <c r="R125" i="15"/>
  <c r="AJ125" i="15"/>
  <c r="O125" i="15"/>
  <c r="AK125" i="15"/>
  <c r="H125" i="15"/>
  <c r="L125" i="15"/>
  <c r="N125" i="15"/>
  <c r="X125" i="15"/>
  <c r="T125" i="15"/>
  <c r="I125" i="15"/>
  <c r="Z125" i="15"/>
  <c r="AH125" i="15"/>
  <c r="K156" i="16"/>
  <c r="AA156" i="16"/>
  <c r="J156" i="16"/>
  <c r="W156" i="16"/>
  <c r="M156" i="16"/>
  <c r="AC156" i="16"/>
  <c r="Q156" i="16"/>
  <c r="AG156" i="16"/>
  <c r="P156" i="16"/>
  <c r="N156" i="16"/>
  <c r="T156" i="16"/>
  <c r="E156" i="16"/>
  <c r="U156" i="16"/>
  <c r="O156" i="16"/>
  <c r="H156" i="16"/>
  <c r="S156" i="16"/>
  <c r="L156" i="16"/>
  <c r="AE156" i="16"/>
  <c r="AI156" i="16"/>
  <c r="AH156" i="16"/>
  <c r="I156" i="16"/>
  <c r="F156" i="16"/>
  <c r="X156" i="16"/>
  <c r="AD156" i="16"/>
  <c r="Y156" i="16"/>
  <c r="V156" i="16"/>
  <c r="AK156" i="16"/>
  <c r="AF156" i="16"/>
  <c r="Z156" i="16"/>
  <c r="R156" i="16"/>
  <c r="AJ156" i="16"/>
  <c r="AB156" i="16"/>
  <c r="G156" i="16"/>
  <c r="H69" i="15"/>
  <c r="Z69" i="15"/>
  <c r="O69" i="15"/>
  <c r="L69" i="15"/>
  <c r="X69" i="15"/>
  <c r="AC69" i="15"/>
  <c r="T69" i="15"/>
  <c r="AI69" i="15"/>
  <c r="AD69" i="15"/>
  <c r="W69" i="15"/>
  <c r="AH69" i="15"/>
  <c r="AJ69" i="15"/>
  <c r="I69" i="15"/>
  <c r="AF69" i="15"/>
  <c r="R69" i="15"/>
  <c r="AG69" i="15"/>
  <c r="AK69" i="15"/>
  <c r="K69" i="15"/>
  <c r="F69" i="15"/>
  <c r="AE69" i="15"/>
  <c r="M69" i="15"/>
  <c r="AB69" i="15"/>
  <c r="J69" i="15"/>
  <c r="P69" i="15"/>
  <c r="Y69" i="15"/>
  <c r="AA69" i="15"/>
  <c r="S69" i="15"/>
  <c r="N69" i="15"/>
  <c r="U69" i="15"/>
  <c r="Q69" i="15"/>
  <c r="E69" i="15"/>
  <c r="G69" i="15"/>
  <c r="V69" i="15"/>
  <c r="E168" i="13"/>
  <c r="Z168" i="13"/>
  <c r="AH168" i="13"/>
  <c r="T168" i="13"/>
  <c r="X168" i="13"/>
  <c r="AE168" i="13"/>
  <c r="AJ168" i="13"/>
  <c r="AK168" i="13"/>
  <c r="R168" i="13"/>
  <c r="AB168" i="13"/>
  <c r="W168" i="13"/>
  <c r="AI168" i="13"/>
  <c r="AF168" i="13"/>
  <c r="H168" i="13"/>
  <c r="V168" i="13"/>
  <c r="G168" i="13"/>
  <c r="F168" i="13"/>
  <c r="AC168" i="13"/>
  <c r="J168" i="13"/>
  <c r="S168" i="13"/>
  <c r="I168" i="13"/>
  <c r="K168" i="13"/>
  <c r="Q168" i="13"/>
  <c r="Y168" i="13"/>
  <c r="AA168" i="13"/>
  <c r="N168" i="13"/>
  <c r="AD168" i="13"/>
  <c r="M168" i="13"/>
  <c r="U168" i="13"/>
  <c r="AG168" i="13"/>
  <c r="O168" i="13"/>
  <c r="P168" i="13"/>
  <c r="L168" i="13"/>
  <c r="L100" i="11"/>
  <c r="W100" i="11"/>
  <c r="Y100" i="11"/>
  <c r="R100" i="11"/>
  <c r="P100" i="11"/>
  <c r="AE100" i="11"/>
  <c r="AC100" i="11"/>
  <c r="V100" i="11"/>
  <c r="AB100" i="11"/>
  <c r="I100" i="11"/>
  <c r="O100" i="11"/>
  <c r="AH100" i="11"/>
  <c r="AF100" i="11"/>
  <c r="M100" i="11"/>
  <c r="F100" i="11"/>
  <c r="G100" i="11"/>
  <c r="X100" i="11"/>
  <c r="AK100" i="11"/>
  <c r="AJ100" i="11"/>
  <c r="J100" i="11"/>
  <c r="Q100" i="11"/>
  <c r="S100" i="11"/>
  <c r="H100" i="11"/>
  <c r="U100" i="11"/>
  <c r="AA100" i="11"/>
  <c r="T100" i="11"/>
  <c r="K100" i="11"/>
  <c r="AI100" i="11"/>
  <c r="N100" i="11"/>
  <c r="E100" i="11"/>
  <c r="AD100" i="11"/>
  <c r="AG100" i="11"/>
  <c r="Z100" i="11"/>
  <c r="E79" i="14" a="1"/>
  <c r="E82" i="13" a="1"/>
  <c r="X137" i="14"/>
  <c r="P137" i="14"/>
  <c r="AE137" i="14"/>
  <c r="L137" i="14"/>
  <c r="AJ137" i="14"/>
  <c r="I137" i="14"/>
  <c r="AI137" i="14"/>
  <c r="AG137" i="14"/>
  <c r="O137" i="14"/>
  <c r="F137" i="14"/>
  <c r="M137" i="14"/>
  <c r="R137" i="14"/>
  <c r="J137" i="14"/>
  <c r="AC137" i="14"/>
  <c r="AD137" i="14"/>
  <c r="E137" i="14"/>
  <c r="Z137" i="14"/>
  <c r="W137" i="14"/>
  <c r="H137" i="14"/>
  <c r="AA137" i="14"/>
  <c r="G137" i="14"/>
  <c r="K137" i="14"/>
  <c r="S137" i="14"/>
  <c r="U137" i="14"/>
  <c r="Y137" i="14"/>
  <c r="N137" i="14"/>
  <c r="T137" i="14"/>
  <c r="Q137" i="14"/>
  <c r="AB137" i="14"/>
  <c r="AF137" i="14"/>
  <c r="AK137" i="14"/>
  <c r="V137" i="14"/>
  <c r="AH137" i="14"/>
  <c r="H74" i="16"/>
  <c r="AE74" i="16"/>
  <c r="O74" i="16"/>
  <c r="G74" i="16"/>
  <c r="U74" i="16"/>
  <c r="AJ74" i="16"/>
  <c r="M74" i="16"/>
  <c r="W74" i="16"/>
  <c r="X74" i="16"/>
  <c r="AA74" i="16"/>
  <c r="Q74" i="16"/>
  <c r="I74" i="16"/>
  <c r="AH74" i="16"/>
  <c r="AF74" i="16"/>
  <c r="AG74" i="16"/>
  <c r="P74" i="16"/>
  <c r="AB74" i="16"/>
  <c r="T74" i="16"/>
  <c r="F74" i="16"/>
  <c r="E74" i="16"/>
  <c r="AD74" i="16"/>
  <c r="AK74" i="16"/>
  <c r="Z74" i="16"/>
  <c r="V74" i="16"/>
  <c r="J74" i="16"/>
  <c r="S74" i="16"/>
  <c r="AI74" i="16"/>
  <c r="AC74" i="16"/>
  <c r="R74" i="16"/>
  <c r="L74" i="16"/>
  <c r="N74" i="16"/>
  <c r="K74" i="16"/>
  <c r="Y74" i="16"/>
  <c r="T73" i="16"/>
  <c r="R73" i="16"/>
  <c r="Z73" i="16"/>
  <c r="P73" i="16"/>
  <c r="L73" i="16"/>
  <c r="AC73" i="16"/>
  <c r="V73" i="16"/>
  <c r="N73" i="16"/>
  <c r="AH73" i="16"/>
  <c r="J73" i="16"/>
  <c r="AB73" i="16"/>
  <c r="AK73" i="16"/>
  <c r="AA73" i="16"/>
  <c r="U73" i="16"/>
  <c r="AE73" i="16"/>
  <c r="S73" i="16"/>
  <c r="O73" i="16"/>
  <c r="AD73" i="16"/>
  <c r="H73" i="16"/>
  <c r="AG73" i="16"/>
  <c r="K73" i="16"/>
  <c r="Q73" i="16"/>
  <c r="AF73" i="16"/>
  <c r="G73" i="16"/>
  <c r="AI73" i="16"/>
  <c r="Y73" i="16"/>
  <c r="X73" i="16"/>
  <c r="F73" i="16"/>
  <c r="E73" i="16"/>
  <c r="I73" i="16"/>
  <c r="M73" i="16"/>
  <c r="W73" i="16"/>
  <c r="AJ73" i="16"/>
  <c r="AJ74" i="17"/>
  <c r="O74" i="17"/>
  <c r="P74" i="17"/>
  <c r="V74" i="17"/>
  <c r="G74" i="17"/>
  <c r="Y74" i="17"/>
  <c r="U74" i="17"/>
  <c r="I74" i="17"/>
  <c r="AF74" i="17"/>
  <c r="T74" i="17"/>
  <c r="AG74" i="17"/>
  <c r="N74" i="17"/>
  <c r="AK74" i="17"/>
  <c r="AH74" i="17"/>
  <c r="H74" i="17"/>
  <c r="AE74" i="17"/>
  <c r="E74" i="17"/>
  <c r="L74" i="17"/>
  <c r="AB74" i="17"/>
  <c r="W74" i="17"/>
  <c r="M74" i="17"/>
  <c r="K74" i="17"/>
  <c r="Q74" i="17"/>
  <c r="J74" i="17"/>
  <c r="S74" i="17"/>
  <c r="AA74" i="17"/>
  <c r="X74" i="17"/>
  <c r="AI74" i="17"/>
  <c r="AD74" i="17"/>
  <c r="F74" i="17"/>
  <c r="AC74" i="17"/>
  <c r="R74" i="17"/>
  <c r="Z74" i="17"/>
  <c r="E186" i="14"/>
  <c r="V186" i="14"/>
  <c r="AD186" i="14"/>
  <c r="AI186" i="14"/>
  <c r="R186" i="14"/>
  <c r="AC186" i="14"/>
  <c r="Z186" i="14"/>
  <c r="K186" i="14"/>
  <c r="Y186" i="14"/>
  <c r="N186" i="14"/>
  <c r="Q186" i="14"/>
  <c r="AG186" i="14"/>
  <c r="AJ186" i="14"/>
  <c r="J186" i="14"/>
  <c r="AF186" i="14"/>
  <c r="P186" i="14"/>
  <c r="U186" i="14"/>
  <c r="AB186" i="14"/>
  <c r="I186" i="14"/>
  <c r="F186" i="14"/>
  <c r="L186" i="14"/>
  <c r="T186" i="14"/>
  <c r="M186" i="14"/>
  <c r="S186" i="14"/>
  <c r="W186" i="14"/>
  <c r="H186" i="14"/>
  <c r="AA186" i="14"/>
  <c r="O186" i="14"/>
  <c r="AK186" i="14"/>
  <c r="G186" i="14"/>
  <c r="AH186" i="14"/>
  <c r="X186" i="14"/>
  <c r="AE186" i="14"/>
  <c r="AJ156" i="12"/>
  <c r="Q156" i="12"/>
  <c r="G156" i="12"/>
  <c r="AE156" i="12"/>
  <c r="N156" i="12"/>
  <c r="AF156" i="12"/>
  <c r="O156" i="12"/>
  <c r="R156" i="12"/>
  <c r="Z156" i="12"/>
  <c r="I156" i="12"/>
  <c r="V156" i="12"/>
  <c r="M156" i="12"/>
  <c r="E156" i="12"/>
  <c r="AK156" i="12"/>
  <c r="AD156" i="12"/>
  <c r="Y156" i="12"/>
  <c r="J156" i="12"/>
  <c r="U156" i="12"/>
  <c r="P156" i="12"/>
  <c r="S156" i="12"/>
  <c r="F156" i="12"/>
  <c r="AA156" i="12"/>
  <c r="W156" i="12"/>
  <c r="H156" i="12"/>
  <c r="AG156" i="12"/>
  <c r="T156" i="12"/>
  <c r="AC156" i="12"/>
  <c r="AH156" i="12"/>
  <c r="AB156" i="12"/>
  <c r="L156" i="12"/>
  <c r="X156" i="12"/>
  <c r="K156" i="12"/>
  <c r="AI156" i="12"/>
  <c r="E174" i="12"/>
  <c r="Q174" i="12"/>
  <c r="G174" i="12"/>
  <c r="AK174" i="12"/>
  <c r="J174" i="12"/>
  <c r="T174" i="12"/>
  <c r="O174" i="12"/>
  <c r="AI174" i="12"/>
  <c r="R174" i="12"/>
  <c r="I174" i="12"/>
  <c r="Y174" i="12"/>
  <c r="F174" i="12"/>
  <c r="K174" i="12"/>
  <c r="Z174" i="12"/>
  <c r="AG174" i="12"/>
  <c r="AC174" i="12"/>
  <c r="V174" i="12"/>
  <c r="AB174" i="12"/>
  <c r="L174" i="12"/>
  <c r="U174" i="12"/>
  <c r="AA174" i="12"/>
  <c r="W174" i="12"/>
  <c r="N174" i="12"/>
  <c r="S174" i="12"/>
  <c r="M174" i="12"/>
  <c r="H174" i="12"/>
  <c r="AD174" i="12"/>
  <c r="AJ174" i="12"/>
  <c r="X174" i="12"/>
  <c r="AF174" i="12"/>
  <c r="AH174" i="12"/>
  <c r="P174" i="12"/>
  <c r="AE174" i="12"/>
  <c r="E54" i="17" a="1"/>
  <c r="E80" i="12" a="1"/>
  <c r="E50" i="13" a="1"/>
  <c r="E107" i="15"/>
  <c r="N107" i="15"/>
  <c r="AB107" i="15"/>
  <c r="T107" i="15"/>
  <c r="G107" i="15"/>
  <c r="O107" i="15"/>
  <c r="AI107" i="15"/>
  <c r="W107" i="15"/>
  <c r="AF107" i="15"/>
  <c r="AJ107" i="15"/>
  <c r="AD107" i="15"/>
  <c r="AA107" i="15"/>
  <c r="X107" i="15"/>
  <c r="F107" i="15"/>
  <c r="S107" i="15"/>
  <c r="M107" i="15"/>
  <c r="AH107" i="15"/>
  <c r="V107" i="15"/>
  <c r="AE107" i="15"/>
  <c r="J107" i="15"/>
  <c r="K107" i="15"/>
  <c r="AC107" i="15"/>
  <c r="U107" i="15"/>
  <c r="Z107" i="15"/>
  <c r="AG107" i="15"/>
  <c r="AK107" i="15"/>
  <c r="L107" i="15"/>
  <c r="P107" i="15"/>
  <c r="Q107" i="15"/>
  <c r="R107" i="15"/>
  <c r="H107" i="15"/>
  <c r="I107" i="15"/>
  <c r="Y107" i="15"/>
  <c r="E56" i="12" a="1"/>
  <c r="H73" i="14"/>
  <c r="N73" i="14"/>
  <c r="J73" i="14"/>
  <c r="AB73" i="14"/>
  <c r="S73" i="14"/>
  <c r="AG73" i="14"/>
  <c r="M73" i="14"/>
  <c r="AK73" i="14"/>
  <c r="O73" i="14"/>
  <c r="AF73" i="14"/>
  <c r="P73" i="14"/>
  <c r="U73" i="14"/>
  <c r="AD73" i="14"/>
  <c r="F73" i="14"/>
  <c r="Q73" i="14"/>
  <c r="T73" i="14"/>
  <c r="AE73" i="14"/>
  <c r="I73" i="14"/>
  <c r="AH73" i="14"/>
  <c r="AA73" i="14"/>
  <c r="AI73" i="14"/>
  <c r="K73" i="14"/>
  <c r="G73" i="14"/>
  <c r="R73" i="14"/>
  <c r="Z73" i="14"/>
  <c r="AC73" i="14"/>
  <c r="Y73" i="14"/>
  <c r="L73" i="14"/>
  <c r="X73" i="14"/>
  <c r="AJ73" i="14"/>
  <c r="E73" i="14"/>
  <c r="V73" i="14"/>
  <c r="W73" i="14"/>
  <c r="E113" i="13"/>
  <c r="AK113" i="13"/>
  <c r="K113" i="13"/>
  <c r="AA113" i="13"/>
  <c r="M113" i="13"/>
  <c r="V113" i="13"/>
  <c r="O113" i="13"/>
  <c r="AE113" i="13"/>
  <c r="Q113" i="13"/>
  <c r="AB113" i="13"/>
  <c r="T113" i="13"/>
  <c r="L113" i="13"/>
  <c r="AJ113" i="13"/>
  <c r="AG113" i="13"/>
  <c r="R113" i="13"/>
  <c r="J113" i="13"/>
  <c r="AH113" i="13"/>
  <c r="N113" i="13"/>
  <c r="AD113" i="13"/>
  <c r="P113" i="13"/>
  <c r="AF113" i="13"/>
  <c r="Z113" i="13"/>
  <c r="H113" i="13"/>
  <c r="G113" i="13"/>
  <c r="I113" i="13"/>
  <c r="S113" i="13"/>
  <c r="W113" i="13"/>
  <c r="AI113" i="13"/>
  <c r="Y113" i="13"/>
  <c r="AC113" i="13"/>
  <c r="F113" i="13"/>
  <c r="X113" i="13"/>
  <c r="U113" i="13"/>
  <c r="X95" i="11"/>
  <c r="U95" i="11"/>
  <c r="R95" i="11"/>
  <c r="S95" i="11"/>
  <c r="AB95" i="11"/>
  <c r="Y95" i="11"/>
  <c r="V95" i="11"/>
  <c r="W95" i="11"/>
  <c r="H95" i="11"/>
  <c r="E95" i="11"/>
  <c r="AK95" i="11"/>
  <c r="AH95" i="11"/>
  <c r="AI95" i="11"/>
  <c r="L95" i="11"/>
  <c r="I95" i="11"/>
  <c r="F95" i="11"/>
  <c r="G95" i="11"/>
  <c r="AG95" i="11"/>
  <c r="AE95" i="11"/>
  <c r="P95" i="11"/>
  <c r="J95" i="11"/>
  <c r="M95" i="11"/>
  <c r="K95" i="11"/>
  <c r="Q95" i="11"/>
  <c r="O95" i="11"/>
  <c r="AA95" i="11"/>
  <c r="T95" i="11"/>
  <c r="AF95" i="11"/>
  <c r="N95" i="11"/>
  <c r="AJ95" i="11"/>
  <c r="AD95" i="11"/>
  <c r="AC95" i="11"/>
  <c r="Z95" i="11"/>
  <c r="T72" i="13"/>
  <c r="Z72" i="13"/>
  <c r="Y72" i="13"/>
  <c r="S72" i="13"/>
  <c r="AF72" i="13"/>
  <c r="E72" i="13"/>
  <c r="AK72" i="13"/>
  <c r="AE72" i="13"/>
  <c r="H72" i="13"/>
  <c r="F72" i="13"/>
  <c r="M72" i="13"/>
  <c r="G72" i="13"/>
  <c r="J72" i="13"/>
  <c r="X72" i="13"/>
  <c r="Q72" i="13"/>
  <c r="AA72" i="13"/>
  <c r="AB72" i="13"/>
  <c r="U72" i="13"/>
  <c r="AI72" i="13"/>
  <c r="V72" i="13"/>
  <c r="N72" i="13"/>
  <c r="AD72" i="13"/>
  <c r="K72" i="13"/>
  <c r="R72" i="13"/>
  <c r="AH72" i="13"/>
  <c r="L72" i="13"/>
  <c r="O72" i="13"/>
  <c r="P72" i="13"/>
  <c r="W72" i="13"/>
  <c r="AJ72" i="13"/>
  <c r="I72" i="13"/>
  <c r="AC72" i="13"/>
  <c r="AG72" i="13"/>
  <c r="E81" i="17" a="1"/>
  <c r="E56" i="11" a="1"/>
  <c r="E54" i="14" a="1"/>
  <c r="X131" i="11"/>
  <c r="I131" i="11"/>
  <c r="P131" i="11"/>
  <c r="V131" i="11"/>
  <c r="K131" i="11"/>
  <c r="M131" i="11"/>
  <c r="AG131" i="11"/>
  <c r="Z131" i="11"/>
  <c r="AF131" i="11"/>
  <c r="N131" i="11"/>
  <c r="AH131" i="11"/>
  <c r="AC131" i="11"/>
  <c r="AK131" i="11"/>
  <c r="G131" i="11"/>
  <c r="S131" i="11"/>
  <c r="U131" i="11"/>
  <c r="AJ131" i="11"/>
  <c r="Y131" i="11"/>
  <c r="W131" i="11"/>
  <c r="F131" i="11"/>
  <c r="O131" i="11"/>
  <c r="H131" i="11"/>
  <c r="AI131" i="11"/>
  <c r="Q131" i="11"/>
  <c r="AE131" i="11"/>
  <c r="AA131" i="11"/>
  <c r="R131" i="11"/>
  <c r="T131" i="11"/>
  <c r="L131" i="11"/>
  <c r="J131" i="11"/>
  <c r="E131" i="11"/>
  <c r="AD131" i="11"/>
  <c r="AB131" i="11"/>
  <c r="E107" i="16"/>
  <c r="W107" i="16"/>
  <c r="K107" i="16"/>
  <c r="AA107" i="16"/>
  <c r="J107" i="16"/>
  <c r="Y107" i="16"/>
  <c r="M107" i="16"/>
  <c r="AD107" i="16"/>
  <c r="O107" i="16"/>
  <c r="F107" i="16"/>
  <c r="AK107" i="16"/>
  <c r="X107" i="16"/>
  <c r="AH107" i="16"/>
  <c r="AJ107" i="16"/>
  <c r="G107" i="16"/>
  <c r="H107" i="16"/>
  <c r="AC107" i="16"/>
  <c r="T107" i="16"/>
  <c r="L107" i="16"/>
  <c r="N107" i="16"/>
  <c r="I107" i="16"/>
  <c r="AB107" i="16"/>
  <c r="P107" i="16"/>
  <c r="Z107" i="16"/>
  <c r="AI107" i="16"/>
  <c r="AE107" i="16"/>
  <c r="AG107" i="16"/>
  <c r="V107" i="16"/>
  <c r="AF107" i="16"/>
  <c r="S107" i="16"/>
  <c r="Q107" i="16"/>
  <c r="R107" i="16"/>
  <c r="U107" i="16"/>
  <c r="L107" i="12"/>
  <c r="G107" i="12"/>
  <c r="I107" i="12"/>
  <c r="N107" i="12"/>
  <c r="AD107" i="12"/>
  <c r="Q107" i="12"/>
  <c r="J107" i="12"/>
  <c r="U107" i="12"/>
  <c r="AK107" i="12"/>
  <c r="Y107" i="12"/>
  <c r="W107" i="12"/>
  <c r="E107" i="12"/>
  <c r="AB107" i="12"/>
  <c r="H107" i="12"/>
  <c r="AG107" i="12"/>
  <c r="F107" i="12"/>
  <c r="V107" i="12"/>
  <c r="AF107" i="12"/>
  <c r="AJ107" i="12"/>
  <c r="AH107" i="12"/>
  <c r="AC107" i="12"/>
  <c r="Z107" i="12"/>
  <c r="M107" i="12"/>
  <c r="AE107" i="12"/>
  <c r="K107" i="12"/>
  <c r="S107" i="12"/>
  <c r="AA107" i="12"/>
  <c r="AI107" i="12"/>
  <c r="P107" i="12"/>
  <c r="X107" i="12"/>
  <c r="T107" i="12"/>
  <c r="R107" i="12"/>
  <c r="O107" i="12"/>
  <c r="E54" i="12" a="1"/>
  <c r="E82" i="11" a="1"/>
  <c r="AB68" i="17"/>
  <c r="Y68" i="17"/>
  <c r="V68" i="17"/>
  <c r="W68" i="17"/>
  <c r="P68" i="17"/>
  <c r="M68" i="17"/>
  <c r="J68" i="17"/>
  <c r="K68" i="17"/>
  <c r="E68" i="17"/>
  <c r="N68" i="17"/>
  <c r="AA68" i="17"/>
  <c r="I68" i="17"/>
  <c r="R68" i="17"/>
  <c r="AE68" i="17"/>
  <c r="X68" i="17"/>
  <c r="AG68" i="17"/>
  <c r="G68" i="17"/>
  <c r="AF68" i="17"/>
  <c r="AK68" i="17"/>
  <c r="O68" i="17"/>
  <c r="F68" i="17"/>
  <c r="T68" i="17"/>
  <c r="S68" i="17"/>
  <c r="Q68" i="17"/>
  <c r="AH68" i="17"/>
  <c r="L68" i="17"/>
  <c r="AJ68" i="17"/>
  <c r="Z68" i="17"/>
  <c r="AI68" i="17"/>
  <c r="H68" i="17"/>
  <c r="AD68" i="17"/>
  <c r="AC68" i="17"/>
  <c r="U68" i="17"/>
  <c r="E52" i="13" a="1"/>
  <c r="H98" i="17"/>
  <c r="G98" i="17"/>
  <c r="M98" i="17"/>
  <c r="Y98" i="17"/>
  <c r="S98" i="17"/>
  <c r="N98" i="17"/>
  <c r="AG98" i="17"/>
  <c r="AD98" i="17"/>
  <c r="R98" i="17"/>
  <c r="I98" i="17"/>
  <c r="AB98" i="17"/>
  <c r="J98" i="17"/>
  <c r="AK98" i="17"/>
  <c r="AC98" i="17"/>
  <c r="Q98" i="17"/>
  <c r="AE98" i="17"/>
  <c r="P98" i="17"/>
  <c r="Z98" i="17"/>
  <c r="E98" i="17"/>
  <c r="K98" i="17"/>
  <c r="F98" i="17"/>
  <c r="AF98" i="17"/>
  <c r="T98" i="17"/>
  <c r="AJ98" i="17"/>
  <c r="AI98" i="17"/>
  <c r="V98" i="17"/>
  <c r="U98" i="17"/>
  <c r="O98" i="17"/>
  <c r="AA98" i="17"/>
  <c r="AH98" i="17"/>
  <c r="X98" i="17"/>
  <c r="W98" i="17"/>
  <c r="L98" i="17"/>
  <c r="E150" i="12"/>
  <c r="W150" i="12"/>
  <c r="U150" i="12"/>
  <c r="AK150" i="12"/>
  <c r="O150" i="12"/>
  <c r="AH150" i="12"/>
  <c r="S150" i="12"/>
  <c r="AI150" i="12"/>
  <c r="R150" i="12"/>
  <c r="Y150" i="12"/>
  <c r="F150" i="12"/>
  <c r="V150" i="12"/>
  <c r="I150" i="12"/>
  <c r="AG150" i="12"/>
  <c r="M150" i="12"/>
  <c r="AC150" i="12"/>
  <c r="G150" i="12"/>
  <c r="H150" i="12"/>
  <c r="L150" i="12"/>
  <c r="K150" i="12"/>
  <c r="J150" i="12"/>
  <c r="AE150" i="12"/>
  <c r="AA150" i="12"/>
  <c r="P150" i="12"/>
  <c r="AD150" i="12"/>
  <c r="T150" i="12"/>
  <c r="Q150" i="12"/>
  <c r="X150" i="12"/>
  <c r="N150" i="12"/>
  <c r="AF150" i="12"/>
  <c r="AJ150" i="12"/>
  <c r="AB150" i="12"/>
  <c r="Z150" i="12"/>
  <c r="AF69" i="16"/>
  <c r="E69" i="16"/>
  <c r="Q69" i="16"/>
  <c r="Z69" i="16"/>
  <c r="H69" i="16"/>
  <c r="AE69" i="16"/>
  <c r="AB69" i="16"/>
  <c r="J69" i="16"/>
  <c r="I69" i="16"/>
  <c r="R69" i="16"/>
  <c r="AG69" i="16"/>
  <c r="G69" i="16"/>
  <c r="AK69" i="16"/>
  <c r="Y69" i="16"/>
  <c r="F69" i="16"/>
  <c r="X69" i="16"/>
  <c r="N69" i="16"/>
  <c r="P69" i="16"/>
  <c r="U69" i="16"/>
  <c r="AA69" i="16"/>
  <c r="W69" i="16"/>
  <c r="T69" i="16"/>
  <c r="V69" i="16"/>
  <c r="K69" i="16"/>
  <c r="S69" i="16"/>
  <c r="AD69" i="16"/>
  <c r="AI69" i="16"/>
  <c r="AH69" i="16"/>
  <c r="O69" i="16"/>
  <c r="M69" i="16"/>
  <c r="AJ69" i="16"/>
  <c r="L69" i="16"/>
  <c r="AC69" i="16"/>
  <c r="F113" i="11"/>
  <c r="G113" i="11"/>
  <c r="K113" i="11"/>
  <c r="W113" i="11"/>
  <c r="V113" i="11"/>
  <c r="O113" i="11"/>
  <c r="S113" i="11"/>
  <c r="AA113" i="11"/>
  <c r="Z113" i="11"/>
  <c r="J113" i="11"/>
  <c r="N113" i="11"/>
  <c r="M113" i="11"/>
  <c r="AC113" i="11"/>
  <c r="R113" i="11"/>
  <c r="AK113" i="11"/>
  <c r="T113" i="11"/>
  <c r="AJ113" i="11"/>
  <c r="Y113" i="11"/>
  <c r="AI113" i="11"/>
  <c r="E113" i="11"/>
  <c r="Q113" i="11"/>
  <c r="L113" i="11"/>
  <c r="AG113" i="11"/>
  <c r="H113" i="11"/>
  <c r="AF113" i="11"/>
  <c r="U113" i="11"/>
  <c r="I113" i="11"/>
  <c r="AB113" i="11"/>
  <c r="P113" i="11"/>
  <c r="AH113" i="11"/>
  <c r="X113" i="11"/>
  <c r="AE113" i="11"/>
  <c r="AD113" i="11"/>
  <c r="E77" i="14" a="1"/>
  <c r="E156" i="15"/>
  <c r="G156" i="15"/>
  <c r="U156" i="15"/>
  <c r="AK156" i="15"/>
  <c r="Y156" i="15"/>
  <c r="AH156" i="15"/>
  <c r="S156" i="15"/>
  <c r="X156" i="15"/>
  <c r="AF156" i="15"/>
  <c r="AD156" i="15"/>
  <c r="J156" i="15"/>
  <c r="F156" i="15"/>
  <c r="M156" i="15"/>
  <c r="O156" i="15"/>
  <c r="W156" i="15"/>
  <c r="K156" i="15"/>
  <c r="T156" i="15"/>
  <c r="Z156" i="15"/>
  <c r="P156" i="15"/>
  <c r="AG156" i="15"/>
  <c r="H156" i="15"/>
  <c r="AA156" i="15"/>
  <c r="AI156" i="15"/>
  <c r="AE156" i="15"/>
  <c r="L156" i="15"/>
  <c r="AC156" i="15"/>
  <c r="Q156" i="15"/>
  <c r="R156" i="15"/>
  <c r="AB156" i="15"/>
  <c r="I156" i="15"/>
  <c r="N156" i="15"/>
  <c r="AJ156" i="15"/>
  <c r="V156" i="15"/>
  <c r="E125" i="14"/>
  <c r="AA125" i="14"/>
  <c r="T125" i="14"/>
  <c r="L125" i="14"/>
  <c r="AJ125" i="14"/>
  <c r="Y125" i="14"/>
  <c r="J125" i="14"/>
  <c r="AD125" i="14"/>
  <c r="U125" i="14"/>
  <c r="AB125" i="14"/>
  <c r="O125" i="14"/>
  <c r="K125" i="14"/>
  <c r="AF125" i="14"/>
  <c r="AK125" i="14"/>
  <c r="P125" i="14"/>
  <c r="I125" i="14"/>
  <c r="AG125" i="14"/>
  <c r="AH125" i="14"/>
  <c r="X125" i="14"/>
  <c r="G125" i="14"/>
  <c r="R125" i="14"/>
  <c r="Q125" i="14"/>
  <c r="S125" i="14"/>
  <c r="AE125" i="14"/>
  <c r="N125" i="14"/>
  <c r="V125" i="14"/>
  <c r="W125" i="14"/>
  <c r="AI125" i="14"/>
  <c r="AC125" i="14"/>
  <c r="F125" i="14"/>
  <c r="Z125" i="14"/>
  <c r="H125" i="14"/>
  <c r="M125" i="14"/>
  <c r="P73" i="12"/>
  <c r="AB73" i="12"/>
  <c r="X73" i="12"/>
  <c r="I73" i="12"/>
  <c r="AH73" i="12"/>
  <c r="AA73" i="12"/>
  <c r="L73" i="12"/>
  <c r="N73" i="12"/>
  <c r="K73" i="12"/>
  <c r="AI73" i="12"/>
  <c r="AG73" i="12"/>
  <c r="T73" i="12"/>
  <c r="AC73" i="12"/>
  <c r="O73" i="12"/>
  <c r="G73" i="12"/>
  <c r="AE73" i="12"/>
  <c r="AJ73" i="12"/>
  <c r="M73" i="12"/>
  <c r="E73" i="12"/>
  <c r="J73" i="12"/>
  <c r="R73" i="12"/>
  <c r="AD73" i="12"/>
  <c r="AF73" i="12"/>
  <c r="F73" i="12"/>
  <c r="H73" i="12"/>
  <c r="Q73" i="12"/>
  <c r="W73" i="12"/>
  <c r="Y73" i="12"/>
  <c r="U73" i="12"/>
  <c r="AK73" i="12"/>
  <c r="Z73" i="12"/>
  <c r="S73" i="12"/>
  <c r="V73" i="12"/>
  <c r="E83" i="14" a="1"/>
  <c r="AJ101" i="15"/>
  <c r="AG101" i="15"/>
  <c r="AD101" i="15"/>
  <c r="AE101" i="15"/>
  <c r="L101" i="15"/>
  <c r="M101" i="15"/>
  <c r="N101" i="15"/>
  <c r="S101" i="15"/>
  <c r="T101" i="15"/>
  <c r="Y101" i="15"/>
  <c r="AH101" i="15"/>
  <c r="I101" i="15"/>
  <c r="V101" i="15"/>
  <c r="U101" i="15"/>
  <c r="K101" i="15"/>
  <c r="H101" i="15"/>
  <c r="AC101" i="15"/>
  <c r="O101" i="15"/>
  <c r="AB101" i="15"/>
  <c r="J101" i="15"/>
  <c r="AI101" i="15"/>
  <c r="E101" i="15"/>
  <c r="Z101" i="15"/>
  <c r="R101" i="15"/>
  <c r="G101" i="15"/>
  <c r="AF101" i="15"/>
  <c r="Q101" i="15"/>
  <c r="X101" i="15"/>
  <c r="AK101" i="15"/>
  <c r="P101" i="15"/>
  <c r="F101" i="15"/>
  <c r="W101" i="15"/>
  <c r="AA101" i="15"/>
  <c r="E156" i="17"/>
  <c r="P156" i="17"/>
  <c r="AB156" i="17"/>
  <c r="L156" i="17"/>
  <c r="AF156" i="17"/>
  <c r="AG156" i="17"/>
  <c r="V156" i="17"/>
  <c r="G156" i="17"/>
  <c r="F156" i="17"/>
  <c r="AC156" i="17"/>
  <c r="J156" i="17"/>
  <c r="H156" i="17"/>
  <c r="U156" i="17"/>
  <c r="AI156" i="17"/>
  <c r="X156" i="17"/>
  <c r="N156" i="17"/>
  <c r="Q156" i="17"/>
  <c r="S156" i="17"/>
  <c r="R156" i="17"/>
  <c r="AE156" i="17"/>
  <c r="AK156" i="17"/>
  <c r="AA156" i="17"/>
  <c r="Y156" i="17"/>
  <c r="AD156" i="17"/>
  <c r="AH156" i="17"/>
  <c r="O156" i="17"/>
  <c r="K156" i="17"/>
  <c r="M156" i="17"/>
  <c r="AJ156" i="17"/>
  <c r="Z156" i="17"/>
  <c r="W156" i="17"/>
  <c r="T156" i="17"/>
  <c r="I156" i="17"/>
  <c r="H150" i="17"/>
  <c r="AF150" i="17"/>
  <c r="AA150" i="17"/>
  <c r="K150" i="17"/>
  <c r="G150" i="17"/>
  <c r="N150" i="17"/>
  <c r="X150" i="17"/>
  <c r="R150" i="17"/>
  <c r="T150" i="17"/>
  <c r="S150" i="17"/>
  <c r="I150" i="17"/>
  <c r="AB150" i="17"/>
  <c r="AI150" i="17"/>
  <c r="Z150" i="17"/>
  <c r="M150" i="17"/>
  <c r="Q150" i="17"/>
  <c r="AK150" i="17"/>
  <c r="P150" i="17"/>
  <c r="W150" i="17"/>
  <c r="L150" i="17"/>
  <c r="F150" i="17"/>
  <c r="U150" i="17"/>
  <c r="AH150" i="17"/>
  <c r="AE150" i="17"/>
  <c r="Y150" i="17"/>
  <c r="AJ150" i="17"/>
  <c r="O150" i="17"/>
  <c r="AD150" i="17"/>
  <c r="AC150" i="17"/>
  <c r="V150" i="17"/>
  <c r="J150" i="17"/>
  <c r="AG150" i="17"/>
  <c r="E150" i="17"/>
  <c r="H113" i="17"/>
  <c r="W113" i="17"/>
  <c r="AA113" i="17"/>
  <c r="K113" i="17"/>
  <c r="O113" i="17"/>
  <c r="T113" i="17"/>
  <c r="X113" i="17"/>
  <c r="R113" i="17"/>
  <c r="AJ113" i="17"/>
  <c r="J113" i="17"/>
  <c r="I113" i="17"/>
  <c r="G113" i="17"/>
  <c r="AI113" i="17"/>
  <c r="AF113" i="17"/>
  <c r="M113" i="17"/>
  <c r="Q113" i="17"/>
  <c r="Z113" i="17"/>
  <c r="L113" i="17"/>
  <c r="S113" i="17"/>
  <c r="P113" i="17"/>
  <c r="N113" i="17"/>
  <c r="F113" i="17"/>
  <c r="AG113" i="17"/>
  <c r="AE113" i="17"/>
  <c r="V113" i="17"/>
  <c r="AD113" i="17"/>
  <c r="AK113" i="17"/>
  <c r="AH113" i="17"/>
  <c r="U113" i="17"/>
  <c r="AB113" i="17"/>
  <c r="AC113" i="17"/>
  <c r="Y113" i="17"/>
  <c r="E113" i="17"/>
  <c r="E137" i="17"/>
  <c r="H137" i="17"/>
  <c r="AB137" i="17"/>
  <c r="L137" i="17"/>
  <c r="AF137" i="17"/>
  <c r="G137" i="17"/>
  <c r="P137" i="17"/>
  <c r="AK137" i="17"/>
  <c r="R137" i="17"/>
  <c r="X137" i="17"/>
  <c r="J137" i="17"/>
  <c r="AI137" i="17"/>
  <c r="T137" i="17"/>
  <c r="AC137" i="17"/>
  <c r="Z137" i="17"/>
  <c r="K137" i="17"/>
  <c r="F137" i="17"/>
  <c r="Q137" i="17"/>
  <c r="Y137" i="17"/>
  <c r="W137" i="17"/>
  <c r="AA137" i="17"/>
  <c r="AJ137" i="17"/>
  <c r="N137" i="17"/>
  <c r="AE137" i="17"/>
  <c r="AH137" i="17"/>
  <c r="O137" i="17"/>
  <c r="V137" i="17"/>
  <c r="M137" i="17"/>
  <c r="U137" i="17"/>
  <c r="I137" i="17"/>
  <c r="AG137" i="17"/>
  <c r="S137" i="17"/>
  <c r="AD137" i="17"/>
  <c r="E119" i="15"/>
  <c r="V119" i="15"/>
  <c r="U119" i="15"/>
  <c r="AK119" i="15"/>
  <c r="Y119" i="15"/>
  <c r="AH119" i="15"/>
  <c r="S119" i="15"/>
  <c r="T119" i="15"/>
  <c r="AF119" i="15"/>
  <c r="W119" i="15"/>
  <c r="O119" i="15"/>
  <c r="L119" i="15"/>
  <c r="Q119" i="15"/>
  <c r="G119" i="15"/>
  <c r="M119" i="15"/>
  <c r="AJ119" i="15"/>
  <c r="Z119" i="15"/>
  <c r="AD119" i="15"/>
  <c r="I119" i="15"/>
  <c r="R119" i="15"/>
  <c r="AC119" i="15"/>
  <c r="AE119" i="15"/>
  <c r="AG119" i="15"/>
  <c r="AI119" i="15"/>
  <c r="P119" i="15"/>
  <c r="X119" i="15"/>
  <c r="AA119" i="15"/>
  <c r="N119" i="15"/>
  <c r="AB119" i="15"/>
  <c r="J119" i="15"/>
  <c r="F119" i="15"/>
  <c r="H119" i="15"/>
  <c r="K119" i="15"/>
  <c r="H96" i="11"/>
  <c r="R96" i="11"/>
  <c r="K96" i="11"/>
  <c r="G96" i="11"/>
  <c r="S96" i="11"/>
  <c r="AK96" i="11"/>
  <c r="AD96" i="11"/>
  <c r="Z96" i="11"/>
  <c r="Q96" i="11"/>
  <c r="U96" i="11"/>
  <c r="M96" i="11"/>
  <c r="I96" i="11"/>
  <c r="Y96" i="11"/>
  <c r="AH96" i="11"/>
  <c r="AF96" i="11"/>
  <c r="AB96" i="11"/>
  <c r="E96" i="11"/>
  <c r="O96" i="11"/>
  <c r="AC96" i="11"/>
  <c r="AJ96" i="11"/>
  <c r="L96" i="11"/>
  <c r="AE96" i="11"/>
  <c r="P96" i="11"/>
  <c r="X96" i="11"/>
  <c r="W96" i="11"/>
  <c r="T96" i="11"/>
  <c r="AA96" i="11"/>
  <c r="N96" i="11"/>
  <c r="AI96" i="11"/>
  <c r="F96" i="11"/>
  <c r="AG96" i="11"/>
  <c r="J96" i="11"/>
  <c r="V96" i="11"/>
  <c r="E81" i="15" a="1"/>
  <c r="E51" i="12" a="1"/>
  <c r="L100" i="14"/>
  <c r="J100" i="14"/>
  <c r="AD100" i="14"/>
  <c r="T100" i="14"/>
  <c r="W100" i="14"/>
  <c r="AA100" i="14"/>
  <c r="AK100" i="14"/>
  <c r="I100" i="14"/>
  <c r="R100" i="14"/>
  <c r="AH100" i="14"/>
  <c r="Q100" i="14"/>
  <c r="AB100" i="14"/>
  <c r="S100" i="14"/>
  <c r="AG100" i="14"/>
  <c r="E100" i="14"/>
  <c r="G100" i="14"/>
  <c r="U100" i="14"/>
  <c r="O100" i="14"/>
  <c r="F100" i="14"/>
  <c r="AI100" i="14"/>
  <c r="Z100" i="14"/>
  <c r="AJ100" i="14"/>
  <c r="X100" i="14"/>
  <c r="V100" i="14"/>
  <c r="P100" i="14"/>
  <c r="Y100" i="14"/>
  <c r="M100" i="14"/>
  <c r="K100" i="14"/>
  <c r="N100" i="14"/>
  <c r="AE100" i="14"/>
  <c r="AC100" i="14"/>
  <c r="H100" i="14"/>
  <c r="AF100" i="14"/>
  <c r="E78" i="15" a="1"/>
  <c r="H98" i="16"/>
  <c r="AA98" i="16"/>
  <c r="Z98" i="16"/>
  <c r="X98" i="16"/>
  <c r="G98" i="16"/>
  <c r="AB98" i="16"/>
  <c r="AD98" i="16"/>
  <c r="AI98" i="16"/>
  <c r="V98" i="16"/>
  <c r="T98" i="16"/>
  <c r="Q98" i="16"/>
  <c r="AK98" i="16"/>
  <c r="Y98" i="16"/>
  <c r="O98" i="16"/>
  <c r="AE98" i="16"/>
  <c r="AG98" i="16"/>
  <c r="AF98" i="16"/>
  <c r="U98" i="16"/>
  <c r="K98" i="16"/>
  <c r="F98" i="16"/>
  <c r="AJ98" i="16"/>
  <c r="E98" i="16"/>
  <c r="W98" i="16"/>
  <c r="I98" i="16"/>
  <c r="AH98" i="16"/>
  <c r="AC98" i="16"/>
  <c r="J98" i="16"/>
  <c r="P98" i="16"/>
  <c r="S98" i="16"/>
  <c r="R98" i="16"/>
  <c r="M98" i="16"/>
  <c r="L98" i="16"/>
  <c r="N98" i="16"/>
  <c r="E79" i="15" a="1"/>
  <c r="E174" i="17"/>
  <c r="AE174" i="17"/>
  <c r="P174" i="17"/>
  <c r="L174" i="17"/>
  <c r="AF174" i="17"/>
  <c r="S174" i="17"/>
  <c r="AB174" i="17"/>
  <c r="AK174" i="17"/>
  <c r="R174" i="17"/>
  <c r="F174" i="17"/>
  <c r="W174" i="17"/>
  <c r="AI174" i="17"/>
  <c r="X174" i="17"/>
  <c r="AJ174" i="17"/>
  <c r="AC174" i="17"/>
  <c r="J174" i="17"/>
  <c r="H174" i="17"/>
  <c r="AD174" i="17"/>
  <c r="Z174" i="17"/>
  <c r="G174" i="17"/>
  <c r="K174" i="17"/>
  <c r="T174" i="17"/>
  <c r="N174" i="17"/>
  <c r="Q174" i="17"/>
  <c r="M174" i="17"/>
  <c r="O174" i="17"/>
  <c r="AH174" i="17"/>
  <c r="AA174" i="17"/>
  <c r="V174" i="17"/>
  <c r="I174" i="17"/>
  <c r="Y174" i="17"/>
  <c r="U174" i="17"/>
  <c r="AG174" i="17"/>
  <c r="H70" i="15"/>
  <c r="E70" i="15"/>
  <c r="AK70" i="15"/>
  <c r="AH70" i="15"/>
  <c r="AI70" i="15"/>
  <c r="X70" i="15"/>
  <c r="Y70" i="15"/>
  <c r="Z70" i="15"/>
  <c r="AE70" i="15"/>
  <c r="L70" i="15"/>
  <c r="Q70" i="15"/>
  <c r="V70" i="15"/>
  <c r="T70" i="15"/>
  <c r="AG70" i="15"/>
  <c r="O70" i="15"/>
  <c r="P70" i="15"/>
  <c r="F70" i="15"/>
  <c r="W70" i="15"/>
  <c r="AB70" i="15"/>
  <c r="J70" i="15"/>
  <c r="AA70" i="15"/>
  <c r="I70" i="15"/>
  <c r="AD70" i="15"/>
  <c r="U70" i="15"/>
  <c r="K70" i="15"/>
  <c r="G70" i="15"/>
  <c r="S70" i="15"/>
  <c r="M70" i="15"/>
  <c r="AC70" i="15"/>
  <c r="AJ70" i="15"/>
  <c r="N70" i="15"/>
  <c r="AF70" i="15"/>
  <c r="R70" i="15"/>
  <c r="H101" i="12"/>
  <c r="Y101" i="12"/>
  <c r="L101" i="12"/>
  <c r="I101" i="12"/>
  <c r="X101" i="12"/>
  <c r="AJ101" i="12"/>
  <c r="K101" i="12"/>
  <c r="T101" i="12"/>
  <c r="AI101" i="12"/>
  <c r="M101" i="12"/>
  <c r="Z101" i="12"/>
  <c r="AA101" i="12"/>
  <c r="R101" i="12"/>
  <c r="W101" i="12"/>
  <c r="F101" i="12"/>
  <c r="G101" i="12"/>
  <c r="AK101" i="12"/>
  <c r="V101" i="12"/>
  <c r="AB101" i="12"/>
  <c r="AH101" i="12"/>
  <c r="AD101" i="12"/>
  <c r="N101" i="12"/>
  <c r="U101" i="12"/>
  <c r="Q101" i="12"/>
  <c r="AF101" i="12"/>
  <c r="AE101" i="12"/>
  <c r="S101" i="12"/>
  <c r="J101" i="12"/>
  <c r="E101" i="12"/>
  <c r="P101" i="12"/>
  <c r="AC101" i="12"/>
  <c r="O101" i="12"/>
  <c r="AG101" i="12"/>
  <c r="H70" i="12"/>
  <c r="AE70" i="12"/>
  <c r="K70" i="12"/>
  <c r="W70" i="12"/>
  <c r="AI70" i="12"/>
  <c r="AJ70" i="12"/>
  <c r="J70" i="12"/>
  <c r="G70" i="12"/>
  <c r="S70" i="12"/>
  <c r="O70" i="12"/>
  <c r="AA70" i="12"/>
  <c r="Y70" i="12"/>
  <c r="AK70" i="12"/>
  <c r="N70" i="12"/>
  <c r="Z70" i="12"/>
  <c r="I70" i="12"/>
  <c r="U70" i="12"/>
  <c r="AD70" i="12"/>
  <c r="F70" i="12"/>
  <c r="Q70" i="12"/>
  <c r="AB70" i="12"/>
  <c r="AC70" i="12"/>
  <c r="E70" i="12"/>
  <c r="AF70" i="12"/>
  <c r="X70" i="12"/>
  <c r="AG70" i="12"/>
  <c r="T70" i="12"/>
  <c r="M70" i="12"/>
  <c r="L70" i="12"/>
  <c r="P70" i="12"/>
  <c r="AH70" i="12"/>
  <c r="R70" i="12"/>
  <c r="V70" i="12"/>
  <c r="E83" i="16" a="1"/>
  <c r="E78" i="12" a="1"/>
  <c r="E131" i="15"/>
  <c r="AA131" i="15"/>
  <c r="U131" i="15"/>
  <c r="AK131" i="15"/>
  <c r="AE131" i="15"/>
  <c r="AH131" i="15"/>
  <c r="S131" i="15"/>
  <c r="P131" i="15"/>
  <c r="AJ131" i="15"/>
  <c r="G131" i="15"/>
  <c r="AF131" i="15"/>
  <c r="I131" i="15"/>
  <c r="H131" i="15"/>
  <c r="W131" i="15"/>
  <c r="AG131" i="15"/>
  <c r="N131" i="15"/>
  <c r="Z131" i="15"/>
  <c r="R131" i="15"/>
  <c r="J131" i="15"/>
  <c r="AI131" i="15"/>
  <c r="Y131" i="15"/>
  <c r="AD131" i="15"/>
  <c r="M131" i="15"/>
  <c r="V131" i="15"/>
  <c r="AB131" i="15"/>
  <c r="L131" i="15"/>
  <c r="AC131" i="15"/>
  <c r="K131" i="15"/>
  <c r="T131" i="15"/>
  <c r="X131" i="15"/>
  <c r="F131" i="15"/>
  <c r="Q131" i="15"/>
  <c r="O131" i="15"/>
  <c r="L113" i="15"/>
  <c r="G113" i="15"/>
  <c r="I113" i="15"/>
  <c r="N113" i="15"/>
  <c r="AD113" i="15"/>
  <c r="W113" i="15"/>
  <c r="F113" i="15"/>
  <c r="AC113" i="15"/>
  <c r="Z113" i="15"/>
  <c r="P113" i="15"/>
  <c r="S113" i="15"/>
  <c r="H113" i="15"/>
  <c r="X113" i="15"/>
  <c r="AA113" i="15"/>
  <c r="Q113" i="15"/>
  <c r="E113" i="15"/>
  <c r="AK113" i="15"/>
  <c r="AG113" i="15"/>
  <c r="U113" i="15"/>
  <c r="Y113" i="15"/>
  <c r="J113" i="15"/>
  <c r="AB113" i="15"/>
  <c r="AH113" i="15"/>
  <c r="O113" i="15"/>
  <c r="AJ113" i="15"/>
  <c r="AE113" i="15"/>
  <c r="V113" i="15"/>
  <c r="R113" i="15"/>
  <c r="AI113" i="15"/>
  <c r="T113" i="15"/>
  <c r="AF113" i="15"/>
  <c r="M113" i="15"/>
  <c r="K113" i="15"/>
  <c r="H70" i="16"/>
  <c r="AF70" i="16"/>
  <c r="Q70" i="16"/>
  <c r="M70" i="16"/>
  <c r="I70" i="16"/>
  <c r="E70" i="16"/>
  <c r="AD70" i="16"/>
  <c r="N70" i="16"/>
  <c r="P70" i="16"/>
  <c r="AH70" i="16"/>
  <c r="AA70" i="16"/>
  <c r="F70" i="16"/>
  <c r="X70" i="16"/>
  <c r="AG70" i="16"/>
  <c r="L70" i="16"/>
  <c r="AK70" i="16"/>
  <c r="AE70" i="16"/>
  <c r="T70" i="16"/>
  <c r="W70" i="16"/>
  <c r="AI70" i="16"/>
  <c r="S70" i="16"/>
  <c r="O70" i="16"/>
  <c r="G70" i="16"/>
  <c r="R70" i="16"/>
  <c r="J70" i="16"/>
  <c r="AB70" i="16"/>
  <c r="AC70" i="16"/>
  <c r="Z70" i="16"/>
  <c r="AJ70" i="16"/>
  <c r="Y70" i="16"/>
  <c r="U70" i="16"/>
  <c r="K70" i="16"/>
  <c r="V70" i="16"/>
  <c r="L96" i="17"/>
  <c r="I96" i="17"/>
  <c r="F96" i="17"/>
  <c r="G96" i="17"/>
  <c r="X96" i="17"/>
  <c r="Y96" i="17"/>
  <c r="Z96" i="17"/>
  <c r="AE96" i="17"/>
  <c r="AB96" i="17"/>
  <c r="AC96" i="17"/>
  <c r="AD96" i="17"/>
  <c r="AI96" i="17"/>
  <c r="H96" i="17"/>
  <c r="M96" i="17"/>
  <c r="N96" i="17"/>
  <c r="S96" i="17"/>
  <c r="T96" i="17"/>
  <c r="J96" i="17"/>
  <c r="AF96" i="17"/>
  <c r="V96" i="17"/>
  <c r="AK96" i="17"/>
  <c r="P96" i="17"/>
  <c r="K96" i="17"/>
  <c r="AJ96" i="17"/>
  <c r="O96" i="17"/>
  <c r="U96" i="17"/>
  <c r="R96" i="17"/>
  <c r="AG96" i="17"/>
  <c r="AH96" i="17"/>
  <c r="AA96" i="17"/>
  <c r="E96" i="17"/>
  <c r="Q96" i="17"/>
  <c r="W96" i="17"/>
  <c r="H68" i="15"/>
  <c r="AF68" i="15"/>
  <c r="K68" i="15"/>
  <c r="E68" i="15"/>
  <c r="X68" i="15"/>
  <c r="AC68" i="15"/>
  <c r="F68" i="15"/>
  <c r="AD68" i="15"/>
  <c r="AG68" i="15"/>
  <c r="R68" i="15"/>
  <c r="V68" i="15"/>
  <c r="L68" i="15"/>
  <c r="G68" i="15"/>
  <c r="W68" i="15"/>
  <c r="AI68" i="15"/>
  <c r="AE68" i="15"/>
  <c r="AK68" i="15"/>
  <c r="AH68" i="15"/>
  <c r="U68" i="15"/>
  <c r="O68" i="15"/>
  <c r="I68" i="15"/>
  <c r="Q68" i="15"/>
  <c r="AJ68" i="15"/>
  <c r="S68" i="15"/>
  <c r="Y68" i="15"/>
  <c r="AA68" i="15"/>
  <c r="J68" i="15"/>
  <c r="P68" i="15"/>
  <c r="N68" i="15"/>
  <c r="T68" i="15"/>
  <c r="AB68" i="15"/>
  <c r="Z68" i="15"/>
  <c r="M68" i="15"/>
  <c r="AJ100" i="13"/>
  <c r="AC100" i="13"/>
  <c r="V100" i="13"/>
  <c r="AE100" i="13"/>
  <c r="L100" i="13"/>
  <c r="E100" i="13"/>
  <c r="AK100" i="13"/>
  <c r="AD100" i="13"/>
  <c r="K100" i="13"/>
  <c r="F100" i="13"/>
  <c r="S100" i="13"/>
  <c r="I100" i="13"/>
  <c r="J100" i="13"/>
  <c r="AA100" i="13"/>
  <c r="T100" i="13"/>
  <c r="U100" i="13"/>
  <c r="Z100" i="13"/>
  <c r="X100" i="13"/>
  <c r="Y100" i="13"/>
  <c r="AH100" i="13"/>
  <c r="Q100" i="13"/>
  <c r="AG100" i="13"/>
  <c r="AB100" i="13"/>
  <c r="G100" i="13"/>
  <c r="AF100" i="13"/>
  <c r="O100" i="13"/>
  <c r="AI100" i="13"/>
  <c r="H100" i="13"/>
  <c r="W100" i="13"/>
  <c r="R100" i="13"/>
  <c r="P100" i="13"/>
  <c r="M100" i="13"/>
  <c r="N100" i="13"/>
  <c r="E56" i="15" a="1"/>
  <c r="AJ100" i="16"/>
  <c r="AG100" i="16"/>
  <c r="AD100" i="16"/>
  <c r="AE100" i="16"/>
  <c r="L100" i="16"/>
  <c r="M100" i="16"/>
  <c r="N100" i="16"/>
  <c r="S100" i="16"/>
  <c r="AB100" i="16"/>
  <c r="AC100" i="16"/>
  <c r="AH100" i="16"/>
  <c r="T100" i="16"/>
  <c r="AK100" i="16"/>
  <c r="O100" i="16"/>
  <c r="Q100" i="16"/>
  <c r="G100" i="16"/>
  <c r="H100" i="16"/>
  <c r="F100" i="16"/>
  <c r="AI100" i="16"/>
  <c r="J100" i="16"/>
  <c r="P100" i="16"/>
  <c r="R100" i="16"/>
  <c r="E100" i="16"/>
  <c r="K100" i="16"/>
  <c r="U100" i="16"/>
  <c r="AA100" i="16"/>
  <c r="I100" i="16"/>
  <c r="Y100" i="16"/>
  <c r="W100" i="16"/>
  <c r="Z100" i="16"/>
  <c r="X100" i="16"/>
  <c r="AF100" i="16"/>
  <c r="V100" i="16"/>
  <c r="T97" i="15"/>
  <c r="M97" i="15"/>
  <c r="J97" i="15"/>
  <c r="O97" i="15"/>
  <c r="P97" i="15"/>
  <c r="Q97" i="15"/>
  <c r="R97" i="15"/>
  <c r="AA97" i="15"/>
  <c r="E97" i="15"/>
  <c r="N97" i="15"/>
  <c r="AE97" i="15"/>
  <c r="AB97" i="15"/>
  <c r="AG97" i="15"/>
  <c r="S97" i="15"/>
  <c r="AF97" i="15"/>
  <c r="AK97" i="15"/>
  <c r="W97" i="15"/>
  <c r="I97" i="15"/>
  <c r="Z97" i="15"/>
  <c r="L97" i="15"/>
  <c r="Y97" i="15"/>
  <c r="AH97" i="15"/>
  <c r="U97" i="15"/>
  <c r="AC97" i="15"/>
  <c r="H97" i="15"/>
  <c r="AD97" i="15"/>
  <c r="X97" i="15"/>
  <c r="G97" i="15"/>
  <c r="AJ97" i="15"/>
  <c r="AI97" i="15"/>
  <c r="K97" i="15"/>
  <c r="F97" i="15"/>
  <c r="V97" i="15"/>
  <c r="H180" i="17"/>
  <c r="AB180" i="17"/>
  <c r="L180" i="17"/>
  <c r="AF180" i="17"/>
  <c r="E180" i="17"/>
  <c r="Z180" i="17"/>
  <c r="V180" i="17"/>
  <c r="G180" i="17"/>
  <c r="F180" i="17"/>
  <c r="AC180" i="17"/>
  <c r="J180" i="17"/>
  <c r="P180" i="17"/>
  <c r="U180" i="17"/>
  <c r="AI180" i="17"/>
  <c r="X180" i="17"/>
  <c r="M180" i="17"/>
  <c r="T180" i="17"/>
  <c r="AH180" i="17"/>
  <c r="I180" i="17"/>
  <c r="AJ180" i="17"/>
  <c r="S180" i="17"/>
  <c r="AA180" i="17"/>
  <c r="AE180" i="17"/>
  <c r="Q180" i="17"/>
  <c r="K180" i="17"/>
  <c r="R180" i="17"/>
  <c r="W180" i="17"/>
  <c r="N180" i="17"/>
  <c r="O180" i="17"/>
  <c r="AK180" i="17"/>
  <c r="AG180" i="17"/>
  <c r="Y180" i="17"/>
  <c r="AD180" i="17"/>
  <c r="E143" i="17"/>
  <c r="AJ143" i="17"/>
  <c r="AB143" i="17"/>
  <c r="L143" i="17"/>
  <c r="AF143" i="17"/>
  <c r="K143" i="17"/>
  <c r="V143" i="17"/>
  <c r="G143" i="17"/>
  <c r="W143" i="17"/>
  <c r="AC143" i="17"/>
  <c r="J143" i="17"/>
  <c r="U143" i="17"/>
  <c r="M143" i="17"/>
  <c r="AI143" i="17"/>
  <c r="X143" i="17"/>
  <c r="H143" i="17"/>
  <c r="AK143" i="17"/>
  <c r="Y143" i="17"/>
  <c r="S143" i="17"/>
  <c r="N143" i="17"/>
  <c r="AD143" i="17"/>
  <c r="F143" i="17"/>
  <c r="T143" i="17"/>
  <c r="AG143" i="17"/>
  <c r="O143" i="17"/>
  <c r="P143" i="17"/>
  <c r="R143" i="17"/>
  <c r="AH143" i="17"/>
  <c r="AA143" i="17"/>
  <c r="Z143" i="17"/>
  <c r="I143" i="17"/>
  <c r="Q143" i="17"/>
  <c r="AE143" i="17"/>
  <c r="AB72" i="11"/>
  <c r="Y72" i="11"/>
  <c r="V72" i="11"/>
  <c r="W72" i="11"/>
  <c r="AF72" i="11"/>
  <c r="AC72" i="11"/>
  <c r="Z72" i="11"/>
  <c r="AA72" i="11"/>
  <c r="L72" i="11"/>
  <c r="I72" i="11"/>
  <c r="F72" i="11"/>
  <c r="G72" i="11"/>
  <c r="P72" i="11"/>
  <c r="M72" i="11"/>
  <c r="J72" i="11"/>
  <c r="K72" i="11"/>
  <c r="H72" i="11"/>
  <c r="AK72" i="11"/>
  <c r="AI72" i="11"/>
  <c r="T72" i="11"/>
  <c r="N72" i="11"/>
  <c r="Q72" i="11"/>
  <c r="O72" i="11"/>
  <c r="U72" i="11"/>
  <c r="S72" i="11"/>
  <c r="AG72" i="11"/>
  <c r="R72" i="11"/>
  <c r="AD72" i="11"/>
  <c r="X72" i="11"/>
  <c r="AH72" i="11"/>
  <c r="AE72" i="11"/>
  <c r="AJ72" i="11"/>
  <c r="E72" i="11"/>
  <c r="AE101" i="16"/>
  <c r="R101" i="16"/>
  <c r="E101" i="16"/>
  <c r="AF101" i="16"/>
  <c r="AB101" i="16"/>
  <c r="Q101" i="16"/>
  <c r="AH101" i="16"/>
  <c r="M101" i="16"/>
  <c r="U101" i="16"/>
  <c r="K101" i="16"/>
  <c r="V101" i="16"/>
  <c r="AJ101" i="16"/>
  <c r="Z101" i="16"/>
  <c r="I101" i="16"/>
  <c r="P101" i="16"/>
  <c r="AD101" i="16"/>
  <c r="W101" i="16"/>
  <c r="O101" i="16"/>
  <c r="J101" i="16"/>
  <c r="N101" i="16"/>
  <c r="AC101" i="16"/>
  <c r="AG101" i="16"/>
  <c r="AI101" i="16"/>
  <c r="Y101" i="16"/>
  <c r="S101" i="16"/>
  <c r="H101" i="16"/>
  <c r="AK101" i="16"/>
  <c r="AA101" i="16"/>
  <c r="L101" i="16"/>
  <c r="X101" i="16"/>
  <c r="T101" i="16"/>
  <c r="G101" i="16"/>
  <c r="F101" i="16"/>
  <c r="K131" i="14"/>
  <c r="N131" i="14"/>
  <c r="AI131" i="14"/>
  <c r="R131" i="14"/>
  <c r="F131" i="14"/>
  <c r="S131" i="14"/>
  <c r="L131" i="14"/>
  <c r="W131" i="14"/>
  <c r="AC131" i="14"/>
  <c r="J131" i="14"/>
  <c r="Z131" i="14"/>
  <c r="AH131" i="14"/>
  <c r="AD131" i="14"/>
  <c r="O131" i="14"/>
  <c r="AJ131" i="14"/>
  <c r="T131" i="14"/>
  <c r="AG131" i="14"/>
  <c r="I131" i="14"/>
  <c r="Y131" i="14"/>
  <c r="AB131" i="14"/>
  <c r="X131" i="14"/>
  <c r="AE131" i="14"/>
  <c r="V131" i="14"/>
  <c r="AF131" i="14"/>
  <c r="M131" i="14"/>
  <c r="AA131" i="14"/>
  <c r="H131" i="14"/>
  <c r="E131" i="14"/>
  <c r="U131" i="14"/>
  <c r="AK131" i="14"/>
  <c r="Q131" i="14"/>
  <c r="P131" i="14"/>
  <c r="G131" i="14"/>
  <c r="E52" i="17" a="1"/>
  <c r="E83" i="15" a="1"/>
  <c r="E168" i="11"/>
  <c r="Y168" i="11"/>
  <c r="F168" i="11"/>
  <c r="V168" i="11"/>
  <c r="I168" i="11"/>
  <c r="AE168" i="11"/>
  <c r="AC168" i="11"/>
  <c r="J168" i="11"/>
  <c r="W168" i="11"/>
  <c r="K168" i="11"/>
  <c r="U168" i="11"/>
  <c r="AK168" i="11"/>
  <c r="O168" i="11"/>
  <c r="AJ168" i="11"/>
  <c r="S168" i="11"/>
  <c r="AI168" i="11"/>
  <c r="R168" i="11"/>
  <c r="AH168" i="11"/>
  <c r="AD168" i="11"/>
  <c r="AG168" i="11"/>
  <c r="H168" i="11"/>
  <c r="T168" i="11"/>
  <c r="X168" i="11"/>
  <c r="AB168" i="11"/>
  <c r="AF168" i="11"/>
  <c r="M168" i="11"/>
  <c r="P168" i="11"/>
  <c r="AA168" i="11"/>
  <c r="L168" i="11"/>
  <c r="N168" i="11"/>
  <c r="Q168" i="11"/>
  <c r="G168" i="11"/>
  <c r="Z168" i="11"/>
  <c r="H101" i="11"/>
  <c r="AJ101" i="11"/>
  <c r="T101" i="11"/>
  <c r="F101" i="11"/>
  <c r="R101" i="11"/>
  <c r="AA101" i="11"/>
  <c r="K101" i="11"/>
  <c r="Y101" i="11"/>
  <c r="AK101" i="11"/>
  <c r="AF101" i="11"/>
  <c r="P101" i="11"/>
  <c r="L101" i="11"/>
  <c r="X101" i="11"/>
  <c r="AE101" i="11"/>
  <c r="O101" i="11"/>
  <c r="W101" i="11"/>
  <c r="AI101" i="11"/>
  <c r="AC101" i="11"/>
  <c r="AB101" i="11"/>
  <c r="N101" i="11"/>
  <c r="S101" i="11"/>
  <c r="AD101" i="11"/>
  <c r="G101" i="11"/>
  <c r="AG101" i="11"/>
  <c r="V101" i="11"/>
  <c r="Z101" i="11"/>
  <c r="Q101" i="11"/>
  <c r="J101" i="11"/>
  <c r="AH101" i="11"/>
  <c r="M101" i="11"/>
  <c r="U101" i="11"/>
  <c r="E101" i="11"/>
  <c r="I101" i="11"/>
  <c r="E78" i="13" a="1"/>
  <c r="F107" i="13"/>
  <c r="AJ107" i="13"/>
  <c r="N107" i="13"/>
  <c r="AD107" i="13"/>
  <c r="AA107" i="13"/>
  <c r="V107" i="13"/>
  <c r="G107" i="13"/>
  <c r="R107" i="13"/>
  <c r="O107" i="13"/>
  <c r="I107" i="13"/>
  <c r="AG107" i="13"/>
  <c r="Y107" i="13"/>
  <c r="L107" i="13"/>
  <c r="S107" i="13"/>
  <c r="AK107" i="13"/>
  <c r="M107" i="13"/>
  <c r="Q107" i="13"/>
  <c r="AB107" i="13"/>
  <c r="E107" i="13"/>
  <c r="P107" i="13"/>
  <c r="AF107" i="13"/>
  <c r="X107" i="13"/>
  <c r="H107" i="13"/>
  <c r="Z107" i="13"/>
  <c r="W107" i="13"/>
  <c r="AI107" i="13"/>
  <c r="K107" i="13"/>
  <c r="AC107" i="13"/>
  <c r="J107" i="13"/>
  <c r="T107" i="13"/>
  <c r="AH107" i="13"/>
  <c r="AE107" i="13"/>
  <c r="U107" i="13"/>
  <c r="AB119" i="16"/>
  <c r="AI119" i="16"/>
  <c r="AK119" i="16"/>
  <c r="I119" i="16"/>
  <c r="M119" i="16"/>
  <c r="Y119" i="16"/>
  <c r="J119" i="16"/>
  <c r="W119" i="16"/>
  <c r="N119" i="16"/>
  <c r="P119" i="16"/>
  <c r="O119" i="16"/>
  <c r="AJ119" i="16"/>
  <c r="AC119" i="16"/>
  <c r="L119" i="16"/>
  <c r="S119" i="16"/>
  <c r="Q119" i="16"/>
  <c r="AD119" i="16"/>
  <c r="K119" i="16"/>
  <c r="AF119" i="16"/>
  <c r="E119" i="16"/>
  <c r="G119" i="16"/>
  <c r="F119" i="16"/>
  <c r="V119" i="16"/>
  <c r="H119" i="16"/>
  <c r="X119" i="16"/>
  <c r="AH119" i="16"/>
  <c r="AG119" i="16"/>
  <c r="AE119" i="16"/>
  <c r="AA119" i="16"/>
  <c r="T119" i="16"/>
  <c r="R119" i="16"/>
  <c r="U119" i="16"/>
  <c r="Z119" i="16"/>
  <c r="E186" i="12"/>
  <c r="G186" i="12"/>
  <c r="U186" i="12"/>
  <c r="AK186" i="12"/>
  <c r="F186" i="12"/>
  <c r="H186" i="12"/>
  <c r="S186" i="12"/>
  <c r="AI186" i="12"/>
  <c r="R186" i="12"/>
  <c r="M186" i="12"/>
  <c r="AC186" i="12"/>
  <c r="J186" i="12"/>
  <c r="V186" i="12"/>
  <c r="W186" i="12"/>
  <c r="AA186" i="12"/>
  <c r="I186" i="12"/>
  <c r="Z186" i="12"/>
  <c r="P186" i="12"/>
  <c r="L186" i="12"/>
  <c r="Q186" i="12"/>
  <c r="Y186" i="12"/>
  <c r="K186" i="12"/>
  <c r="AG186" i="12"/>
  <c r="AH186" i="12"/>
  <c r="AE186" i="12"/>
  <c r="T186" i="12"/>
  <c r="N186" i="12"/>
  <c r="X186" i="12"/>
  <c r="O186" i="12"/>
  <c r="AF186" i="12"/>
  <c r="AB186" i="12"/>
  <c r="AD186" i="12"/>
  <c r="AJ186" i="12"/>
  <c r="T97" i="17"/>
  <c r="R97" i="17"/>
  <c r="Z97" i="17"/>
  <c r="AB97" i="17"/>
  <c r="AE97" i="17"/>
  <c r="M97" i="17"/>
  <c r="O97" i="17"/>
  <c r="H97" i="17"/>
  <c r="AD97" i="17"/>
  <c r="I97" i="17"/>
  <c r="AC97" i="17"/>
  <c r="AF97" i="17"/>
  <c r="K97" i="17"/>
  <c r="AJ97" i="17"/>
  <c r="P97" i="17"/>
  <c r="S97" i="17"/>
  <c r="V97" i="17"/>
  <c r="AG97" i="17"/>
  <c r="G97" i="17"/>
  <c r="N97" i="17"/>
  <c r="AA97" i="17"/>
  <c r="F97" i="17"/>
  <c r="E97" i="17"/>
  <c r="U97" i="17"/>
  <c r="W97" i="17"/>
  <c r="AK97" i="17"/>
  <c r="AI97" i="17"/>
  <c r="X97" i="17"/>
  <c r="Y97" i="17"/>
  <c r="L97" i="17"/>
  <c r="J97" i="17"/>
  <c r="Q97" i="17"/>
  <c r="AH97" i="17"/>
  <c r="X125" i="16"/>
  <c r="N125" i="16"/>
  <c r="AD125" i="16"/>
  <c r="Q125" i="16"/>
  <c r="AC125" i="16"/>
  <c r="P125" i="16"/>
  <c r="K125" i="16"/>
  <c r="AF125" i="16"/>
  <c r="J125" i="16"/>
  <c r="AH125" i="16"/>
  <c r="AJ125" i="16"/>
  <c r="AA125" i="16"/>
  <c r="S125" i="16"/>
  <c r="H125" i="16"/>
  <c r="AG125" i="16"/>
  <c r="F125" i="16"/>
  <c r="U125" i="16"/>
  <c r="Z125" i="16"/>
  <c r="Y125" i="16"/>
  <c r="G125" i="16"/>
  <c r="AK125" i="16"/>
  <c r="T125" i="16"/>
  <c r="M125" i="16"/>
  <c r="O125" i="16"/>
  <c r="AI125" i="16"/>
  <c r="R125" i="16"/>
  <c r="V125" i="16"/>
  <c r="AE125" i="16"/>
  <c r="E125" i="16"/>
  <c r="W125" i="16"/>
  <c r="AB125" i="16"/>
  <c r="L125" i="16"/>
  <c r="I125" i="16"/>
  <c r="H137" i="13"/>
  <c r="AB137" i="13"/>
  <c r="Z137" i="13"/>
  <c r="AC137" i="13"/>
  <c r="J137" i="13"/>
  <c r="AJ137" i="13"/>
  <c r="U137" i="13"/>
  <c r="V137" i="13"/>
  <c r="Q137" i="13"/>
  <c r="AG137" i="13"/>
  <c r="I137" i="13"/>
  <c r="T137" i="13"/>
  <c r="L137" i="13"/>
  <c r="AI137" i="13"/>
  <c r="AK137" i="13"/>
  <c r="O137" i="13"/>
  <c r="G137" i="13"/>
  <c r="AF137" i="13"/>
  <c r="AH137" i="13"/>
  <c r="W137" i="13"/>
  <c r="K137" i="13"/>
  <c r="N137" i="13"/>
  <c r="S137" i="13"/>
  <c r="AA137" i="13"/>
  <c r="P137" i="13"/>
  <c r="AE137" i="13"/>
  <c r="X137" i="13"/>
  <c r="AD137" i="13"/>
  <c r="M137" i="13"/>
  <c r="E137" i="13"/>
  <c r="R137" i="13"/>
  <c r="Y137" i="13"/>
  <c r="F137" i="13"/>
  <c r="E156" i="11"/>
  <c r="M156" i="11"/>
  <c r="I156" i="11"/>
  <c r="K156" i="11"/>
  <c r="G156" i="11"/>
  <c r="AG156" i="11"/>
  <c r="AK156" i="11"/>
  <c r="W156" i="11"/>
  <c r="AA156" i="11"/>
  <c r="AC156" i="11"/>
  <c r="Y156" i="11"/>
  <c r="T156" i="11"/>
  <c r="V156" i="11"/>
  <c r="AB156" i="11"/>
  <c r="S156" i="11"/>
  <c r="Z156" i="11"/>
  <c r="L156" i="11"/>
  <c r="J156" i="11"/>
  <c r="AI156" i="11"/>
  <c r="O156" i="11"/>
  <c r="F156" i="11"/>
  <c r="AH156" i="11"/>
  <c r="R156" i="11"/>
  <c r="P156" i="11"/>
  <c r="AF156" i="11"/>
  <c r="AJ156" i="11"/>
  <c r="AD156" i="11"/>
  <c r="N156" i="11"/>
  <c r="H156" i="11"/>
  <c r="X156" i="11"/>
  <c r="Q156" i="11"/>
  <c r="U156" i="11"/>
  <c r="AE156" i="11"/>
  <c r="E79" i="17" a="1"/>
  <c r="E82" i="12" a="1"/>
  <c r="H98" i="15"/>
  <c r="O98" i="15"/>
  <c r="M98" i="15"/>
  <c r="L98" i="15"/>
  <c r="E98" i="15"/>
  <c r="F98" i="15"/>
  <c r="T98" i="15"/>
  <c r="AK98" i="15"/>
  <c r="G98" i="15"/>
  <c r="V98" i="15"/>
  <c r="S98" i="15"/>
  <c r="Q98" i="15"/>
  <c r="Z98" i="15"/>
  <c r="AI98" i="15"/>
  <c r="I98" i="15"/>
  <c r="AF98" i="15"/>
  <c r="X98" i="15"/>
  <c r="AB98" i="15"/>
  <c r="AD98" i="15"/>
  <c r="AE98" i="15"/>
  <c r="Y98" i="15"/>
  <c r="P98" i="15"/>
  <c r="R98" i="15"/>
  <c r="AG98" i="15"/>
  <c r="AC98" i="15"/>
  <c r="W98" i="15"/>
  <c r="AH98" i="15"/>
  <c r="N98" i="15"/>
  <c r="U98" i="15"/>
  <c r="AA98" i="15"/>
  <c r="AJ98" i="15"/>
  <c r="J98" i="15"/>
  <c r="K98" i="15"/>
  <c r="T69" i="17"/>
  <c r="J69" i="17"/>
  <c r="Z69" i="17"/>
  <c r="U69" i="17"/>
  <c r="AG69" i="17"/>
  <c r="AB69" i="17"/>
  <c r="I69" i="17"/>
  <c r="AH69" i="17"/>
  <c r="O69" i="17"/>
  <c r="G69" i="17"/>
  <c r="R69" i="17"/>
  <c r="Q69" i="17"/>
  <c r="V69" i="17"/>
  <c r="F69" i="17"/>
  <c r="AK69" i="17"/>
  <c r="AJ69" i="17"/>
  <c r="K69" i="17"/>
  <c r="AF69" i="17"/>
  <c r="AE69" i="17"/>
  <c r="M69" i="17"/>
  <c r="AI69" i="17"/>
  <c r="AD69" i="17"/>
  <c r="P69" i="17"/>
  <c r="N69" i="17"/>
  <c r="AA69" i="17"/>
  <c r="S69" i="17"/>
  <c r="H69" i="17"/>
  <c r="Y69" i="17"/>
  <c r="AC69" i="17"/>
  <c r="X69" i="17"/>
  <c r="E69" i="17"/>
  <c r="W69" i="17"/>
  <c r="L69" i="17"/>
  <c r="E186" i="15"/>
  <c r="F186" i="15"/>
  <c r="M186" i="15"/>
  <c r="AK186" i="15"/>
  <c r="O186" i="15"/>
  <c r="W186" i="15"/>
  <c r="AC186" i="15"/>
  <c r="J186" i="15"/>
  <c r="AG186" i="15"/>
  <c r="AD186" i="15"/>
  <c r="X186" i="15"/>
  <c r="K186" i="15"/>
  <c r="V186" i="15"/>
  <c r="R186" i="15"/>
  <c r="U186" i="15"/>
  <c r="AA186" i="15"/>
  <c r="AF186" i="15"/>
  <c r="Y186" i="15"/>
  <c r="P186" i="15"/>
  <c r="L186" i="15"/>
  <c r="AE186" i="15"/>
  <c r="S186" i="15"/>
  <c r="G186" i="15"/>
  <c r="N186" i="15"/>
  <c r="AB186" i="15"/>
  <c r="Z186" i="15"/>
  <c r="I186" i="15"/>
  <c r="H186" i="15"/>
  <c r="Q186" i="15"/>
  <c r="AJ186" i="15"/>
  <c r="AH186" i="15"/>
  <c r="AI186" i="15"/>
  <c r="T186" i="15"/>
  <c r="Q131" i="17"/>
  <c r="N131" i="17"/>
  <c r="F131" i="17"/>
  <c r="V131" i="17"/>
  <c r="H131" i="17"/>
  <c r="AA131" i="17"/>
  <c r="W131" i="17"/>
  <c r="K131" i="17"/>
  <c r="O131" i="17"/>
  <c r="AE131" i="17"/>
  <c r="S131" i="17"/>
  <c r="AI131" i="17"/>
  <c r="I131" i="17"/>
  <c r="AH131" i="17"/>
  <c r="AC131" i="17"/>
  <c r="X131" i="17"/>
  <c r="AB131" i="17"/>
  <c r="T131" i="17"/>
  <c r="L131" i="17"/>
  <c r="J131" i="17"/>
  <c r="AK131" i="17"/>
  <c r="Z131" i="17"/>
  <c r="Y131" i="17"/>
  <c r="AJ131" i="17"/>
  <c r="M131" i="17"/>
  <c r="P131" i="17"/>
  <c r="R131" i="17"/>
  <c r="AD131" i="17"/>
  <c r="AF131" i="17"/>
  <c r="E131" i="17"/>
  <c r="U131" i="17"/>
  <c r="AG131" i="17"/>
  <c r="G131" i="17"/>
  <c r="E131" i="16"/>
  <c r="M131" i="16"/>
  <c r="AC131" i="16"/>
  <c r="AK131" i="16"/>
  <c r="J131" i="16"/>
  <c r="W131" i="16"/>
  <c r="L131" i="16"/>
  <c r="H131" i="16"/>
  <c r="O131" i="16"/>
  <c r="AE131" i="16"/>
  <c r="U131" i="16"/>
  <c r="AH131" i="16"/>
  <c r="AG131" i="16"/>
  <c r="AJ131" i="16"/>
  <c r="AA131" i="16"/>
  <c r="I131" i="16"/>
  <c r="AI131" i="16"/>
  <c r="Q131" i="16"/>
  <c r="P131" i="16"/>
  <c r="R131" i="16"/>
  <c r="Y131" i="16"/>
  <c r="N131" i="16"/>
  <c r="T131" i="16"/>
  <c r="AD131" i="16"/>
  <c r="K131" i="16"/>
  <c r="F131" i="16"/>
  <c r="AB131" i="16"/>
  <c r="G131" i="16"/>
  <c r="Z131" i="16"/>
  <c r="X131" i="16"/>
  <c r="S131" i="16"/>
  <c r="AF131" i="16"/>
  <c r="V131" i="16"/>
  <c r="L70" i="14"/>
  <c r="S70" i="14"/>
  <c r="AD70" i="14"/>
  <c r="AI70" i="14"/>
  <c r="V70" i="14"/>
  <c r="X70" i="14"/>
  <c r="H70" i="14"/>
  <c r="AE70" i="14"/>
  <c r="G70" i="14"/>
  <c r="K70" i="14"/>
  <c r="Z70" i="14"/>
  <c r="F70" i="14"/>
  <c r="E70" i="14"/>
  <c r="M70" i="14"/>
  <c r="P70" i="14"/>
  <c r="W70" i="14"/>
  <c r="O70" i="14"/>
  <c r="I70" i="14"/>
  <c r="T70" i="14"/>
  <c r="Y70" i="14"/>
  <c r="J70" i="14"/>
  <c r="Q70" i="14"/>
  <c r="AB70" i="14"/>
  <c r="AF70" i="14"/>
  <c r="R70" i="14"/>
  <c r="U70" i="14"/>
  <c r="N70" i="14"/>
  <c r="AJ70" i="14"/>
  <c r="AC70" i="14"/>
  <c r="AA70" i="14"/>
  <c r="AK70" i="14"/>
  <c r="AH70" i="14"/>
  <c r="AG70" i="14"/>
  <c r="H74" i="12"/>
  <c r="N74" i="12"/>
  <c r="M74" i="12"/>
  <c r="S74" i="12"/>
  <c r="W74" i="12"/>
  <c r="AD74" i="12"/>
  <c r="AA74" i="12"/>
  <c r="T74" i="12"/>
  <c r="AH74" i="12"/>
  <c r="AJ74" i="12"/>
  <c r="P74" i="12"/>
  <c r="F74" i="12"/>
  <c r="U74" i="12"/>
  <c r="AE74" i="12"/>
  <c r="Q74" i="12"/>
  <c r="E74" i="12"/>
  <c r="K74" i="12"/>
  <c r="Y74" i="12"/>
  <c r="G74" i="12"/>
  <c r="AF74" i="12"/>
  <c r="X74" i="12"/>
  <c r="AG74" i="12"/>
  <c r="L74" i="12"/>
  <c r="I74" i="12"/>
  <c r="J74" i="12"/>
  <c r="AC74" i="12"/>
  <c r="O74" i="12"/>
  <c r="AI74" i="12"/>
  <c r="AK74" i="12"/>
  <c r="AB74" i="12"/>
  <c r="Z74" i="12"/>
  <c r="R74" i="12"/>
  <c r="V74" i="12"/>
  <c r="T95" i="14"/>
  <c r="Z95" i="14"/>
  <c r="AB95" i="14"/>
  <c r="K95" i="14"/>
  <c r="W95" i="14"/>
  <c r="F95" i="14"/>
  <c r="G95" i="14"/>
  <c r="AK95" i="14"/>
  <c r="AC95" i="14"/>
  <c r="Y95" i="14"/>
  <c r="U95" i="14"/>
  <c r="Q95" i="14"/>
  <c r="AG95" i="14"/>
  <c r="O95" i="14"/>
  <c r="X95" i="14"/>
  <c r="AI95" i="14"/>
  <c r="AH95" i="14"/>
  <c r="AD95" i="14"/>
  <c r="L95" i="14"/>
  <c r="R95" i="14"/>
  <c r="AF95" i="14"/>
  <c r="H95" i="14"/>
  <c r="V95" i="14"/>
  <c r="N95" i="14"/>
  <c r="AA95" i="14"/>
  <c r="E95" i="14"/>
  <c r="M95" i="14"/>
  <c r="AE95" i="14"/>
  <c r="S95" i="14"/>
  <c r="AJ95" i="14"/>
  <c r="J95" i="14"/>
  <c r="P95" i="14"/>
  <c r="I95" i="14"/>
  <c r="X168" i="14"/>
  <c r="K168" i="14"/>
  <c r="H168" i="14"/>
  <c r="AJ168" i="14"/>
  <c r="V168" i="14"/>
  <c r="M168" i="14"/>
  <c r="L168" i="14"/>
  <c r="AH168" i="14"/>
  <c r="Z168" i="14"/>
  <c r="I168" i="14"/>
  <c r="W168" i="14"/>
  <c r="AF168" i="14"/>
  <c r="P168" i="14"/>
  <c r="R168" i="14"/>
  <c r="AC168" i="14"/>
  <c r="F168" i="14"/>
  <c r="AA168" i="14"/>
  <c r="U168" i="14"/>
  <c r="AK168" i="14"/>
  <c r="AE168" i="14"/>
  <c r="Q168" i="14"/>
  <c r="J168" i="14"/>
  <c r="AD168" i="14"/>
  <c r="G168" i="14"/>
  <c r="AG168" i="14"/>
  <c r="AI168" i="14"/>
  <c r="AB168" i="14"/>
  <c r="T168" i="14"/>
  <c r="O168" i="14"/>
  <c r="N168" i="14"/>
  <c r="Y168" i="14"/>
  <c r="S168" i="14"/>
  <c r="E168" i="14"/>
  <c r="E186" i="17"/>
  <c r="X186" i="17"/>
  <c r="P186" i="17"/>
  <c r="H186" i="17"/>
  <c r="AF186" i="17"/>
  <c r="W186" i="17"/>
  <c r="R186" i="17"/>
  <c r="G186" i="17"/>
  <c r="AJ186" i="17"/>
  <c r="AB186" i="17"/>
  <c r="O186" i="17"/>
  <c r="L186" i="17"/>
  <c r="AI186" i="17"/>
  <c r="M186" i="17"/>
  <c r="Q186" i="17"/>
  <c r="AG186" i="17"/>
  <c r="AD186" i="17"/>
  <c r="J186" i="17"/>
  <c r="AA186" i="17"/>
  <c r="K186" i="17"/>
  <c r="Y186" i="17"/>
  <c r="AE186" i="17"/>
  <c r="Z186" i="17"/>
  <c r="I186" i="17"/>
  <c r="N186" i="17"/>
  <c r="U186" i="17"/>
  <c r="S186" i="17"/>
  <c r="F186" i="17"/>
  <c r="V186" i="17"/>
  <c r="AC186" i="17"/>
  <c r="AH186" i="17"/>
  <c r="AK186" i="17"/>
  <c r="T186" i="17"/>
  <c r="E137" i="15"/>
  <c r="F137" i="15"/>
  <c r="M137" i="15"/>
  <c r="AK137" i="15"/>
  <c r="O137" i="15"/>
  <c r="W137" i="15"/>
  <c r="AC137" i="15"/>
  <c r="J137" i="15"/>
  <c r="H137" i="15"/>
  <c r="S137" i="15"/>
  <c r="I137" i="15"/>
  <c r="Y137" i="15"/>
  <c r="P137" i="15"/>
  <c r="L137" i="15"/>
  <c r="Z137" i="15"/>
  <c r="N137" i="15"/>
  <c r="G137" i="15"/>
  <c r="U137" i="15"/>
  <c r="AA137" i="15"/>
  <c r="X137" i="15"/>
  <c r="AG137" i="15"/>
  <c r="AI137" i="15"/>
  <c r="AD137" i="15"/>
  <c r="T137" i="15"/>
  <c r="AJ137" i="15"/>
  <c r="AF137" i="15"/>
  <c r="AH137" i="15"/>
  <c r="R137" i="15"/>
  <c r="AB137" i="15"/>
  <c r="V137" i="15"/>
  <c r="Q137" i="15"/>
  <c r="AE137" i="15"/>
  <c r="K137" i="15"/>
  <c r="N71" i="12"/>
  <c r="AI71" i="12"/>
  <c r="L71" i="12"/>
  <c r="U71" i="12"/>
  <c r="AC71" i="12"/>
  <c r="AH71" i="12"/>
  <c r="K71" i="12"/>
  <c r="E71" i="12"/>
  <c r="M71" i="12"/>
  <c r="R71" i="12"/>
  <c r="AB71" i="12"/>
  <c r="W71" i="12"/>
  <c r="AE71" i="12"/>
  <c r="Q71" i="12"/>
  <c r="AA71" i="12"/>
  <c r="G71" i="12"/>
  <c r="O71" i="12"/>
  <c r="T71" i="12"/>
  <c r="H71" i="12"/>
  <c r="S71" i="12"/>
  <c r="V71" i="12"/>
  <c r="Z71" i="12"/>
  <c r="AD71" i="12"/>
  <c r="AG71" i="12"/>
  <c r="AK71" i="12"/>
  <c r="AJ71" i="12"/>
  <c r="I71" i="12"/>
  <c r="J71" i="12"/>
  <c r="F71" i="12"/>
  <c r="Y71" i="12"/>
  <c r="P71" i="12"/>
  <c r="X71" i="12"/>
  <c r="AF71" i="12"/>
  <c r="L72" i="12"/>
  <c r="I72" i="12"/>
  <c r="F72" i="12"/>
  <c r="G72" i="12"/>
  <c r="P72" i="12"/>
  <c r="M72" i="12"/>
  <c r="J72" i="12"/>
  <c r="K72" i="12"/>
  <c r="AB72" i="12"/>
  <c r="Y72" i="12"/>
  <c r="V72" i="12"/>
  <c r="W72" i="12"/>
  <c r="AF72" i="12"/>
  <c r="AC72" i="12"/>
  <c r="Z72" i="12"/>
  <c r="AA72" i="12"/>
  <c r="X72" i="12"/>
  <c r="R72" i="12"/>
  <c r="AJ72" i="12"/>
  <c r="AD72" i="12"/>
  <c r="AG72" i="12"/>
  <c r="AE72" i="12"/>
  <c r="H72" i="12"/>
  <c r="AK72" i="12"/>
  <c r="AI72" i="12"/>
  <c r="T72" i="12"/>
  <c r="E72" i="12"/>
  <c r="Q72" i="12"/>
  <c r="AH72" i="12"/>
  <c r="S72" i="12"/>
  <c r="U72" i="12"/>
  <c r="N72" i="12"/>
  <c r="O72" i="12"/>
  <c r="E50" i="16" a="1"/>
  <c r="E78" i="11" a="1"/>
  <c r="L99" i="14"/>
  <c r="I99" i="14"/>
  <c r="F99" i="14"/>
  <c r="G99" i="14"/>
  <c r="AJ99" i="14"/>
  <c r="AK99" i="14"/>
  <c r="K99" i="14"/>
  <c r="E99" i="14"/>
  <c r="J99" i="14"/>
  <c r="O99" i="14"/>
  <c r="T99" i="14"/>
  <c r="U99" i="14"/>
  <c r="V99" i="14"/>
  <c r="AA99" i="14"/>
  <c r="AB99" i="14"/>
  <c r="AC99" i="14"/>
  <c r="AD99" i="14"/>
  <c r="AI99" i="14"/>
  <c r="X99" i="14"/>
  <c r="Z99" i="14"/>
  <c r="AF99" i="14"/>
  <c r="AH99" i="14"/>
  <c r="Y99" i="14"/>
  <c r="AE99" i="14"/>
  <c r="AG99" i="14"/>
  <c r="Q99" i="14"/>
  <c r="N99" i="14"/>
  <c r="H99" i="14"/>
  <c r="P99" i="14"/>
  <c r="M99" i="14"/>
  <c r="R99" i="14"/>
  <c r="S99" i="14"/>
  <c r="W99" i="14"/>
  <c r="E78" i="16" a="1"/>
  <c r="L70" i="17"/>
  <c r="H70" i="17"/>
  <c r="O70" i="17"/>
  <c r="T70" i="17"/>
  <c r="K70" i="17"/>
  <c r="AB70" i="17"/>
  <c r="Q70" i="17"/>
  <c r="AC70" i="17"/>
  <c r="G70" i="17"/>
  <c r="AK70" i="17"/>
  <c r="AD70" i="17"/>
  <c r="AA70" i="17"/>
  <c r="M70" i="17"/>
  <c r="Y70" i="17"/>
  <c r="R70" i="17"/>
  <c r="AE70" i="17"/>
  <c r="X70" i="17"/>
  <c r="AJ70" i="17"/>
  <c r="I70" i="17"/>
  <c r="AI70" i="17"/>
  <c r="N70" i="17"/>
  <c r="Z70" i="17"/>
  <c r="J70" i="17"/>
  <c r="V70" i="17"/>
  <c r="S70" i="17"/>
  <c r="AH70" i="17"/>
  <c r="AF70" i="17"/>
  <c r="E70" i="17"/>
  <c r="F70" i="17"/>
  <c r="AG70" i="17"/>
  <c r="P70" i="17"/>
  <c r="U70" i="17"/>
  <c r="W70" i="17"/>
  <c r="E180" i="12"/>
  <c r="Z180" i="12"/>
  <c r="U180" i="12"/>
  <c r="AK180" i="12"/>
  <c r="O180" i="12"/>
  <c r="H180" i="12"/>
  <c r="S180" i="12"/>
  <c r="AI180" i="12"/>
  <c r="R180" i="12"/>
  <c r="Y180" i="12"/>
  <c r="F180" i="12"/>
  <c r="V180" i="12"/>
  <c r="I180" i="12"/>
  <c r="AE180" i="12"/>
  <c r="M180" i="12"/>
  <c r="AC180" i="12"/>
  <c r="G180" i="12"/>
  <c r="P180" i="12"/>
  <c r="L180" i="12"/>
  <c r="K180" i="12"/>
  <c r="J180" i="12"/>
  <c r="W180" i="12"/>
  <c r="AA180" i="12"/>
  <c r="AH180" i="12"/>
  <c r="AD180" i="12"/>
  <c r="T180" i="12"/>
  <c r="Q180" i="12"/>
  <c r="X180" i="12"/>
  <c r="N180" i="12"/>
  <c r="AB180" i="12"/>
  <c r="AF180" i="12"/>
  <c r="AG180" i="12"/>
  <c r="AJ180" i="12"/>
  <c r="AB71" i="17"/>
  <c r="Y71" i="17"/>
  <c r="V71" i="17"/>
  <c r="W71" i="17"/>
  <c r="P71" i="17"/>
  <c r="M71" i="17"/>
  <c r="J71" i="17"/>
  <c r="K71" i="17"/>
  <c r="E71" i="17"/>
  <c r="N71" i="17"/>
  <c r="AA71" i="17"/>
  <c r="I71" i="17"/>
  <c r="R71" i="17"/>
  <c r="AE71" i="17"/>
  <c r="X71" i="17"/>
  <c r="AG71" i="17"/>
  <c r="G71" i="17"/>
  <c r="AF71" i="17"/>
  <c r="AK71" i="17"/>
  <c r="O71" i="17"/>
  <c r="F71" i="17"/>
  <c r="Z71" i="17"/>
  <c r="L71" i="17"/>
  <c r="AH71" i="17"/>
  <c r="S71" i="17"/>
  <c r="AI71" i="17"/>
  <c r="H71" i="17"/>
  <c r="Q71" i="17"/>
  <c r="AC71" i="17"/>
  <c r="U71" i="17"/>
  <c r="AD71" i="17"/>
  <c r="AJ71" i="17"/>
  <c r="T71" i="17"/>
  <c r="AF96" i="14"/>
  <c r="AC96" i="14"/>
  <c r="Z96" i="14"/>
  <c r="AA96" i="14"/>
  <c r="X96" i="14"/>
  <c r="Y96" i="14"/>
  <c r="AD96" i="14"/>
  <c r="AI96" i="14"/>
  <c r="AB96" i="14"/>
  <c r="AG96" i="14"/>
  <c r="AH96" i="14"/>
  <c r="H96" i="14"/>
  <c r="I96" i="14"/>
  <c r="J96" i="14"/>
  <c r="O96" i="14"/>
  <c r="P96" i="14"/>
  <c r="Q96" i="14"/>
  <c r="R96" i="14"/>
  <c r="W96" i="14"/>
  <c r="L96" i="14"/>
  <c r="N96" i="14"/>
  <c r="T96" i="14"/>
  <c r="V96" i="14"/>
  <c r="M96" i="14"/>
  <c r="S96" i="14"/>
  <c r="U96" i="14"/>
  <c r="AE96" i="14"/>
  <c r="K96" i="14"/>
  <c r="AK96" i="14"/>
  <c r="F96" i="14"/>
  <c r="G96" i="14"/>
  <c r="AJ96" i="14"/>
  <c r="E96" i="14"/>
  <c r="E143" i="12"/>
  <c r="W143" i="12"/>
  <c r="U143" i="12"/>
  <c r="AK143" i="12"/>
  <c r="O143" i="12"/>
  <c r="AH143" i="12"/>
  <c r="S143" i="12"/>
  <c r="AI143" i="12"/>
  <c r="R143" i="12"/>
  <c r="Y143" i="12"/>
  <c r="F143" i="12"/>
  <c r="V143" i="12"/>
  <c r="I143" i="12"/>
  <c r="AG143" i="12"/>
  <c r="M143" i="12"/>
  <c r="AC143" i="12"/>
  <c r="G143" i="12"/>
  <c r="H143" i="12"/>
  <c r="L143" i="12"/>
  <c r="K143" i="12"/>
  <c r="J143" i="12"/>
  <c r="AE143" i="12"/>
  <c r="AA143" i="12"/>
  <c r="P143" i="12"/>
  <c r="AD143" i="12"/>
  <c r="T143" i="12"/>
  <c r="Q143" i="12"/>
  <c r="X143" i="12"/>
  <c r="N143" i="12"/>
  <c r="AB143" i="12"/>
  <c r="AF143" i="12"/>
  <c r="Z143" i="12"/>
  <c r="AJ143" i="12"/>
  <c r="P72" i="15"/>
  <c r="I72" i="15"/>
  <c r="K72" i="15"/>
  <c r="AH72" i="15"/>
  <c r="AF72" i="15"/>
  <c r="AC72" i="15"/>
  <c r="Z72" i="15"/>
  <c r="E72" i="15"/>
  <c r="J72" i="15"/>
  <c r="AA72" i="15"/>
  <c r="AB72" i="15"/>
  <c r="AK72" i="15"/>
  <c r="W72" i="15"/>
  <c r="M72" i="15"/>
  <c r="V72" i="15"/>
  <c r="U72" i="15"/>
  <c r="S72" i="15"/>
  <c r="H72" i="15"/>
  <c r="Y72" i="15"/>
  <c r="AE72" i="15"/>
  <c r="X72" i="15"/>
  <c r="N72" i="15"/>
  <c r="O72" i="15"/>
  <c r="AD72" i="15"/>
  <c r="R72" i="15"/>
  <c r="G72" i="15"/>
  <c r="AJ72" i="15"/>
  <c r="Q72" i="15"/>
  <c r="AG72" i="15"/>
  <c r="F72" i="15"/>
  <c r="L72" i="15"/>
  <c r="T72" i="15"/>
  <c r="AI72" i="15"/>
  <c r="L180" i="13"/>
  <c r="Q180" i="13"/>
  <c r="O180" i="13"/>
  <c r="S180" i="13"/>
  <c r="AI180" i="13"/>
  <c r="G180" i="13"/>
  <c r="P180" i="13"/>
  <c r="N180" i="13"/>
  <c r="AK180" i="13"/>
  <c r="R180" i="13"/>
  <c r="I180" i="13"/>
  <c r="U180" i="13"/>
  <c r="T180" i="13"/>
  <c r="AF180" i="13"/>
  <c r="E180" i="13"/>
  <c r="V180" i="13"/>
  <c r="W180" i="13"/>
  <c r="F180" i="13"/>
  <c r="AC180" i="13"/>
  <c r="X180" i="13"/>
  <c r="Y180" i="13"/>
  <c r="M180" i="13"/>
  <c r="AG180" i="13"/>
  <c r="AA180" i="13"/>
  <c r="AH180" i="13"/>
  <c r="AD180" i="13"/>
  <c r="AE180" i="13"/>
  <c r="Z180" i="13"/>
  <c r="K180" i="13"/>
  <c r="AB180" i="13"/>
  <c r="H180" i="13"/>
  <c r="J180" i="13"/>
  <c r="AJ180" i="13"/>
  <c r="E83" i="13" a="1"/>
  <c r="E162" i="16"/>
  <c r="W162" i="16"/>
  <c r="K162" i="16"/>
  <c r="AA162" i="16"/>
  <c r="J162" i="16"/>
  <c r="H162" i="16"/>
  <c r="AJ162" i="16"/>
  <c r="L162" i="16"/>
  <c r="Z162" i="16"/>
  <c r="AB162" i="16"/>
  <c r="G162" i="16"/>
  <c r="AH162" i="16"/>
  <c r="V162" i="16"/>
  <c r="O162" i="16"/>
  <c r="P162" i="16"/>
  <c r="AK162" i="16"/>
  <c r="S162" i="16"/>
  <c r="X162" i="16"/>
  <c r="Y162" i="16"/>
  <c r="AC162" i="16"/>
  <c r="AF162" i="16"/>
  <c r="F162" i="16"/>
  <c r="T162" i="16"/>
  <c r="N162" i="16"/>
  <c r="Q162" i="16"/>
  <c r="M162" i="16"/>
  <c r="U162" i="16"/>
  <c r="I162" i="16"/>
  <c r="R162" i="16"/>
  <c r="AE162" i="16"/>
  <c r="AG162" i="16"/>
  <c r="AD162" i="16"/>
  <c r="AI162" i="16"/>
  <c r="H95" i="17"/>
  <c r="F95" i="17"/>
  <c r="O95" i="17"/>
  <c r="M95" i="17"/>
  <c r="G95" i="17"/>
  <c r="AJ95" i="17"/>
  <c r="S95" i="17"/>
  <c r="U95" i="17"/>
  <c r="N95" i="17"/>
  <c r="W95" i="17"/>
  <c r="Y95" i="17"/>
  <c r="X95" i="17"/>
  <c r="AD95" i="17"/>
  <c r="E95" i="17"/>
  <c r="J95" i="17"/>
  <c r="L95" i="17"/>
  <c r="AH95" i="17"/>
  <c r="AG95" i="17"/>
  <c r="AB95" i="17"/>
  <c r="AI95" i="17"/>
  <c r="T95" i="17"/>
  <c r="I95" i="17"/>
  <c r="Z95" i="17"/>
  <c r="K95" i="17"/>
  <c r="P95" i="17"/>
  <c r="Q95" i="17"/>
  <c r="R95" i="17"/>
  <c r="AK95" i="17"/>
  <c r="AC95" i="17"/>
  <c r="AF95" i="17"/>
  <c r="V95" i="17"/>
  <c r="AA95" i="17"/>
  <c r="AE95" i="17"/>
  <c r="E52" i="15" a="1"/>
  <c r="E52" i="14" a="1"/>
  <c r="E81" i="11" a="1"/>
  <c r="E52" i="11" a="1"/>
  <c r="AF99" i="16"/>
  <c r="AC99" i="16"/>
  <c r="Z99" i="16"/>
  <c r="AA99" i="16"/>
  <c r="X99" i="16"/>
  <c r="Y99" i="16"/>
  <c r="AD99" i="16"/>
  <c r="AI99" i="16"/>
  <c r="H99" i="16"/>
  <c r="I99" i="16"/>
  <c r="J99" i="16"/>
  <c r="O99" i="16"/>
  <c r="AJ99" i="16"/>
  <c r="N99" i="16"/>
  <c r="AE99" i="16"/>
  <c r="AB99" i="16"/>
  <c r="R99" i="16"/>
  <c r="AG99" i="16"/>
  <c r="W99" i="16"/>
  <c r="P99" i="16"/>
  <c r="V99" i="16"/>
  <c r="T99" i="16"/>
  <c r="AH99" i="16"/>
  <c r="Q99" i="16"/>
  <c r="S99" i="16"/>
  <c r="AK99" i="16"/>
  <c r="U99" i="16"/>
  <c r="F99" i="16"/>
  <c r="L99" i="16"/>
  <c r="E99" i="16"/>
  <c r="M99" i="16"/>
  <c r="G99" i="16"/>
  <c r="K99" i="16"/>
  <c r="E51" i="17" a="1"/>
  <c r="L73" i="11"/>
  <c r="K73" i="11"/>
  <c r="AA73" i="11"/>
  <c r="AK73" i="11"/>
  <c r="AG73" i="11"/>
  <c r="Y73" i="11"/>
  <c r="J73" i="11"/>
  <c r="AC73" i="11"/>
  <c r="U73" i="11"/>
  <c r="Q73" i="11"/>
  <c r="I73" i="11"/>
  <c r="AI73" i="11"/>
  <c r="H73" i="11"/>
  <c r="AE73" i="11"/>
  <c r="W73" i="11"/>
  <c r="S73" i="11"/>
  <c r="O73" i="11"/>
  <c r="G73" i="11"/>
  <c r="AF73" i="11"/>
  <c r="AH73" i="11"/>
  <c r="AD73" i="11"/>
  <c r="V73" i="11"/>
  <c r="M73" i="11"/>
  <c r="F73" i="11"/>
  <c r="N73" i="11"/>
  <c r="P73" i="11"/>
  <c r="AJ73" i="11"/>
  <c r="R73" i="11"/>
  <c r="X73" i="11"/>
  <c r="T73" i="11"/>
  <c r="Z73" i="11"/>
  <c r="E73" i="11"/>
  <c r="AB73" i="11"/>
  <c r="E150" i="13"/>
  <c r="Y150" i="13"/>
  <c r="AG150" i="13"/>
  <c r="AC150" i="13"/>
  <c r="G150" i="13"/>
  <c r="Z150" i="13"/>
  <c r="AH150" i="13"/>
  <c r="AA150" i="13"/>
  <c r="J150" i="13"/>
  <c r="K150" i="13"/>
  <c r="N150" i="13"/>
  <c r="AI150" i="13"/>
  <c r="R150" i="13"/>
  <c r="U150" i="13"/>
  <c r="S150" i="13"/>
  <c r="T150" i="13"/>
  <c r="X150" i="13"/>
  <c r="M150" i="13"/>
  <c r="O150" i="13"/>
  <c r="AB150" i="13"/>
  <c r="AF150" i="13"/>
  <c r="AJ150" i="13"/>
  <c r="L150" i="13"/>
  <c r="W150" i="13"/>
  <c r="I150" i="13"/>
  <c r="P150" i="13"/>
  <c r="V150" i="13"/>
  <c r="AD150" i="13"/>
  <c r="H150" i="13"/>
  <c r="F150" i="13"/>
  <c r="AK150" i="13"/>
  <c r="AE150" i="13"/>
  <c r="Q150" i="13"/>
  <c r="L186" i="16"/>
  <c r="W186" i="16"/>
  <c r="R186" i="16"/>
  <c r="AA186" i="16"/>
  <c r="I186" i="16"/>
  <c r="X186" i="16"/>
  <c r="Y186" i="16"/>
  <c r="H186" i="16"/>
  <c r="P186" i="16"/>
  <c r="AC186" i="16"/>
  <c r="AE186" i="16"/>
  <c r="M186" i="16"/>
  <c r="V186" i="16"/>
  <c r="AB186" i="16"/>
  <c r="AF186" i="16"/>
  <c r="J186" i="16"/>
  <c r="AH186" i="16"/>
  <c r="Q186" i="16"/>
  <c r="G186" i="16"/>
  <c r="O186" i="16"/>
  <c r="N186" i="16"/>
  <c r="AG186" i="16"/>
  <c r="T186" i="16"/>
  <c r="AI186" i="16"/>
  <c r="F186" i="16"/>
  <c r="E186" i="16"/>
  <c r="AK186" i="16"/>
  <c r="K186" i="16"/>
  <c r="AJ186" i="16"/>
  <c r="AD186" i="16"/>
  <c r="Z186" i="16"/>
  <c r="U186" i="16"/>
  <c r="S186" i="16"/>
  <c r="E180" i="14"/>
  <c r="P180" i="14"/>
  <c r="S180" i="14"/>
  <c r="AI180" i="14"/>
  <c r="R180" i="14"/>
  <c r="AH180" i="14"/>
  <c r="U180" i="14"/>
  <c r="T180" i="14"/>
  <c r="AF180" i="14"/>
  <c r="W180" i="14"/>
  <c r="AJ180" i="14"/>
  <c r="L180" i="14"/>
  <c r="F180" i="14"/>
  <c r="AC180" i="14"/>
  <c r="J180" i="14"/>
  <c r="AE180" i="14"/>
  <c r="K180" i="14"/>
  <c r="AD180" i="14"/>
  <c r="O180" i="14"/>
  <c r="M180" i="14"/>
  <c r="Q180" i="14"/>
  <c r="N180" i="14"/>
  <c r="X180" i="14"/>
  <c r="AG180" i="14"/>
  <c r="AA180" i="14"/>
  <c r="Y180" i="14"/>
  <c r="AK180" i="14"/>
  <c r="Z180" i="14"/>
  <c r="I180" i="14"/>
  <c r="G180" i="14"/>
  <c r="H180" i="14"/>
  <c r="V180" i="14"/>
  <c r="AB180" i="14"/>
  <c r="H97" i="12"/>
  <c r="T97" i="12"/>
  <c r="AF97" i="12"/>
  <c r="AB97" i="12"/>
  <c r="E97" i="12"/>
  <c r="K97" i="12"/>
  <c r="P97" i="12"/>
  <c r="L97" i="12"/>
  <c r="X97" i="12"/>
  <c r="AD97" i="12"/>
  <c r="Z97" i="12"/>
  <c r="V97" i="12"/>
  <c r="AH97" i="12"/>
  <c r="AJ97" i="12"/>
  <c r="J97" i="12"/>
  <c r="F97" i="12"/>
  <c r="R97" i="12"/>
  <c r="AA97" i="12"/>
  <c r="S97" i="12"/>
  <c r="AC97" i="12"/>
  <c r="AK97" i="12"/>
  <c r="AE97" i="12"/>
  <c r="Y97" i="12"/>
  <c r="N97" i="12"/>
  <c r="I97" i="12"/>
  <c r="AI97" i="12"/>
  <c r="U97" i="12"/>
  <c r="O97" i="12"/>
  <c r="M97" i="12"/>
  <c r="G97" i="12"/>
  <c r="AG97" i="12"/>
  <c r="Q97" i="12"/>
  <c r="W97" i="12"/>
  <c r="E80" i="17" a="1"/>
  <c r="E54" i="13" a="1"/>
  <c r="T68" i="11"/>
  <c r="Q68" i="11"/>
  <c r="N68" i="11"/>
  <c r="O68" i="11"/>
  <c r="X68" i="11"/>
  <c r="U68" i="11"/>
  <c r="R68" i="11"/>
  <c r="S68" i="11"/>
  <c r="AJ68" i="11"/>
  <c r="AG68" i="11"/>
  <c r="AD68" i="11"/>
  <c r="AE68" i="11"/>
  <c r="H68" i="11"/>
  <c r="E68" i="11"/>
  <c r="AK68" i="11"/>
  <c r="AH68" i="11"/>
  <c r="AI68" i="11"/>
  <c r="AC68" i="11"/>
  <c r="AA68" i="11"/>
  <c r="L68" i="11"/>
  <c r="F68" i="11"/>
  <c r="I68" i="11"/>
  <c r="G68" i="11"/>
  <c r="M68" i="11"/>
  <c r="K68" i="11"/>
  <c r="Y68" i="11"/>
  <c r="J68" i="11"/>
  <c r="V68" i="11"/>
  <c r="P68" i="11"/>
  <c r="Z68" i="11"/>
  <c r="W68" i="11"/>
  <c r="AF68" i="11"/>
  <c r="AB68" i="11"/>
  <c r="L101" i="13"/>
  <c r="AE101" i="13"/>
  <c r="U101" i="13"/>
  <c r="AF101" i="13"/>
  <c r="AB101" i="13"/>
  <c r="AD101" i="13"/>
  <c r="H101" i="13"/>
  <c r="AA101" i="13"/>
  <c r="W101" i="13"/>
  <c r="AK101" i="13"/>
  <c r="Z101" i="13"/>
  <c r="Y101" i="13"/>
  <c r="AH101" i="13"/>
  <c r="J101" i="13"/>
  <c r="I101" i="13"/>
  <c r="E101" i="13"/>
  <c r="S101" i="13"/>
  <c r="P101" i="13"/>
  <c r="AI101" i="13"/>
  <c r="R101" i="13"/>
  <c r="G101" i="13"/>
  <c r="Q101" i="13"/>
  <c r="M101" i="13"/>
  <c r="N101" i="13"/>
  <c r="V101" i="13"/>
  <c r="X101" i="13"/>
  <c r="K101" i="13"/>
  <c r="AC101" i="13"/>
  <c r="F101" i="13"/>
  <c r="AJ101" i="13"/>
  <c r="AG101" i="13"/>
  <c r="T101" i="13"/>
  <c r="O101" i="13"/>
  <c r="E50" i="14" a="1"/>
  <c r="E54" i="11" a="1"/>
  <c r="E168" i="16"/>
  <c r="AE168" i="16"/>
  <c r="AH168" i="16"/>
  <c r="AA168" i="16"/>
  <c r="J168" i="16"/>
  <c r="Y168" i="16"/>
  <c r="AG168" i="16"/>
  <c r="AD168" i="16"/>
  <c r="O168" i="16"/>
  <c r="K168" i="16"/>
  <c r="AB168" i="16"/>
  <c r="G168" i="16"/>
  <c r="M168" i="16"/>
  <c r="L168" i="16"/>
  <c r="P168" i="16"/>
  <c r="I168" i="16"/>
  <c r="Z168" i="16"/>
  <c r="V168" i="16"/>
  <c r="AF168" i="16"/>
  <c r="H168" i="16"/>
  <c r="AC168" i="16"/>
  <c r="AJ168" i="16"/>
  <c r="T168" i="16"/>
  <c r="N168" i="16"/>
  <c r="R168" i="16"/>
  <c r="W168" i="16"/>
  <c r="S168" i="16"/>
  <c r="Q168" i="16"/>
  <c r="X168" i="16"/>
  <c r="AI168" i="16"/>
  <c r="F168" i="16"/>
  <c r="U168" i="16"/>
  <c r="AK168" i="16"/>
  <c r="E137" i="12"/>
  <c r="Z137" i="12"/>
  <c r="U137" i="12"/>
  <c r="AK137" i="12"/>
  <c r="O137" i="12"/>
  <c r="H137" i="12"/>
  <c r="S137" i="12"/>
  <c r="AI137" i="12"/>
  <c r="R137" i="12"/>
  <c r="Y137" i="12"/>
  <c r="F137" i="12"/>
  <c r="V137" i="12"/>
  <c r="I137" i="12"/>
  <c r="AE137" i="12"/>
  <c r="M137" i="12"/>
  <c r="AC137" i="12"/>
  <c r="G137" i="12"/>
  <c r="P137" i="12"/>
  <c r="L137" i="12"/>
  <c r="K137" i="12"/>
  <c r="J137" i="12"/>
  <c r="W137" i="12"/>
  <c r="AA137" i="12"/>
  <c r="AH137" i="12"/>
  <c r="AD137" i="12"/>
  <c r="T137" i="12"/>
  <c r="Q137" i="12"/>
  <c r="X137" i="12"/>
  <c r="N137" i="12"/>
  <c r="AF137" i="12"/>
  <c r="AB137" i="12"/>
  <c r="AG137" i="12"/>
  <c r="AJ137" i="12"/>
  <c r="E55" i="11" a="1"/>
  <c r="E143" i="16"/>
  <c r="W143" i="16"/>
  <c r="N143" i="16"/>
  <c r="AD143" i="16"/>
  <c r="Q143" i="16"/>
  <c r="Y143" i="16"/>
  <c r="J143" i="16"/>
  <c r="AH143" i="16"/>
  <c r="AE143" i="16"/>
  <c r="AB143" i="16"/>
  <c r="T143" i="16"/>
  <c r="H143" i="16"/>
  <c r="AG143" i="16"/>
  <c r="P143" i="16"/>
  <c r="U143" i="16"/>
  <c r="AK143" i="16"/>
  <c r="G143" i="16"/>
  <c r="O143" i="16"/>
  <c r="AJ143" i="16"/>
  <c r="S143" i="16"/>
  <c r="AI143" i="16"/>
  <c r="AA143" i="16"/>
  <c r="L143" i="16"/>
  <c r="F143" i="16"/>
  <c r="I143" i="16"/>
  <c r="X143" i="16"/>
  <c r="R143" i="16"/>
  <c r="K143" i="16"/>
  <c r="M143" i="16"/>
  <c r="Z143" i="16"/>
  <c r="AF143" i="16"/>
  <c r="AC143" i="16"/>
  <c r="V143" i="16"/>
  <c r="AF99" i="13"/>
  <c r="AC99" i="13"/>
  <c r="Z99" i="13"/>
  <c r="AA99" i="13"/>
  <c r="H99" i="13"/>
  <c r="E99" i="13"/>
  <c r="AK99" i="13"/>
  <c r="AH99" i="13"/>
  <c r="AI99" i="13"/>
  <c r="AJ99" i="13"/>
  <c r="J99" i="13"/>
  <c r="S99" i="13"/>
  <c r="I99" i="13"/>
  <c r="N99" i="13"/>
  <c r="W99" i="13"/>
  <c r="P99" i="13"/>
  <c r="U99" i="13"/>
  <c r="AD99" i="13"/>
  <c r="T99" i="13"/>
  <c r="Y99" i="13"/>
  <c r="G99" i="13"/>
  <c r="L99" i="13"/>
  <c r="V99" i="13"/>
  <c r="X99" i="13"/>
  <c r="K99" i="13"/>
  <c r="AG99" i="13"/>
  <c r="F99" i="13"/>
  <c r="AB99" i="13"/>
  <c r="M99" i="13"/>
  <c r="O99" i="13"/>
  <c r="Q99" i="13"/>
  <c r="R99" i="13"/>
  <c r="AE99" i="13"/>
  <c r="E162" i="14"/>
  <c r="X162" i="14"/>
  <c r="Q162" i="14"/>
  <c r="AH162" i="14"/>
  <c r="R162" i="14"/>
  <c r="AI162" i="14"/>
  <c r="AB162" i="14"/>
  <c r="V162" i="14"/>
  <c r="N162" i="14"/>
  <c r="K162" i="14"/>
  <c r="Z162" i="14"/>
  <c r="AD162" i="14"/>
  <c r="S162" i="14"/>
  <c r="AC162" i="14"/>
  <c r="T162" i="14"/>
  <c r="P162" i="14"/>
  <c r="M162" i="14"/>
  <c r="AK162" i="14"/>
  <c r="F162" i="14"/>
  <c r="AA162" i="14"/>
  <c r="L162" i="14"/>
  <c r="O162" i="14"/>
  <c r="J162" i="14"/>
  <c r="AE162" i="14"/>
  <c r="AJ162" i="14"/>
  <c r="AF162" i="14"/>
  <c r="AG162" i="14"/>
  <c r="U162" i="14"/>
  <c r="W162" i="14"/>
  <c r="G162" i="14"/>
  <c r="I162" i="14"/>
  <c r="Y162" i="14"/>
  <c r="H162" i="14"/>
  <c r="X101" i="14"/>
  <c r="U101" i="14"/>
  <c r="R101" i="14"/>
  <c r="S101" i="14"/>
  <c r="P101" i="14"/>
  <c r="Q101" i="14"/>
  <c r="V101" i="14"/>
  <c r="AA101" i="14"/>
  <c r="T101" i="14"/>
  <c r="Y101" i="14"/>
  <c r="Z101" i="14"/>
  <c r="AE101" i="14"/>
  <c r="AJ101" i="14"/>
  <c r="AK101" i="14"/>
  <c r="G101" i="14"/>
  <c r="H101" i="14"/>
  <c r="I101" i="14"/>
  <c r="J101" i="14"/>
  <c r="O101" i="14"/>
  <c r="E101" i="14"/>
  <c r="K101" i="14"/>
  <c r="M101" i="14"/>
  <c r="W101" i="14"/>
  <c r="F101" i="14"/>
  <c r="L101" i="14"/>
  <c r="N101" i="14"/>
  <c r="AB101" i="14"/>
  <c r="AD101" i="14"/>
  <c r="AH101" i="14"/>
  <c r="AF101" i="14"/>
  <c r="AC101" i="14"/>
  <c r="AG101" i="14"/>
  <c r="AI101" i="14"/>
  <c r="H70" i="13"/>
  <c r="AC70" i="13"/>
  <c r="AB70" i="13"/>
  <c r="F70" i="13"/>
  <c r="R70" i="13"/>
  <c r="V70" i="13"/>
  <c r="AE70" i="13"/>
  <c r="Y70" i="13"/>
  <c r="L70" i="13"/>
  <c r="E70" i="13"/>
  <c r="I70" i="13"/>
  <c r="P70" i="13"/>
  <c r="AI70" i="13"/>
  <c r="AG70" i="13"/>
  <c r="W70" i="13"/>
  <c r="K70" i="13"/>
  <c r="O70" i="13"/>
  <c r="AH70" i="13"/>
  <c r="J70" i="13"/>
  <c r="M70" i="13"/>
  <c r="Z70" i="13"/>
  <c r="AK70" i="13"/>
  <c r="T70" i="13"/>
  <c r="N70" i="13"/>
  <c r="Q70" i="13"/>
  <c r="U70" i="13"/>
  <c r="AF70" i="13"/>
  <c r="X70" i="13"/>
  <c r="G70" i="13"/>
  <c r="S70" i="13"/>
  <c r="AJ70" i="13"/>
  <c r="AA70" i="13"/>
  <c r="AD70" i="13"/>
  <c r="AI156" i="14"/>
  <c r="AF156" i="14"/>
  <c r="J156" i="14"/>
  <c r="R156" i="14"/>
  <c r="S156" i="14"/>
  <c r="AH156" i="14"/>
  <c r="V156" i="14"/>
  <c r="T156" i="14"/>
  <c r="AB156" i="14"/>
  <c r="W156" i="14"/>
  <c r="AG156" i="14"/>
  <c r="E156" i="14"/>
  <c r="Q156" i="14"/>
  <c r="L156" i="14"/>
  <c r="K156" i="14"/>
  <c r="O156" i="14"/>
  <c r="X156" i="14"/>
  <c r="Z156" i="14"/>
  <c r="U156" i="14"/>
  <c r="AE156" i="14"/>
  <c r="N156" i="14"/>
  <c r="P156" i="14"/>
  <c r="AJ156" i="14"/>
  <c r="AA156" i="14"/>
  <c r="G156" i="14"/>
  <c r="I156" i="14"/>
  <c r="AD156" i="14"/>
  <c r="H156" i="14"/>
  <c r="F156" i="14"/>
  <c r="Y156" i="14"/>
  <c r="AC156" i="14"/>
  <c r="M156" i="14"/>
  <c r="AK156" i="14"/>
  <c r="E82" i="15" a="1"/>
  <c r="X96" i="16"/>
  <c r="U96" i="16"/>
  <c r="R96" i="16"/>
  <c r="S96" i="16"/>
  <c r="AJ96" i="16"/>
  <c r="AK96" i="16"/>
  <c r="G96" i="16"/>
  <c r="H96" i="16"/>
  <c r="M96" i="16"/>
  <c r="V96" i="16"/>
  <c r="AE96" i="16"/>
  <c r="AF96" i="16"/>
  <c r="J96" i="16"/>
  <c r="AA96" i="16"/>
  <c r="I96" i="16"/>
  <c r="AD96" i="16"/>
  <c r="AB96" i="16"/>
  <c r="Z96" i="16"/>
  <c r="E96" i="16"/>
  <c r="AH96" i="16"/>
  <c r="AC96" i="16"/>
  <c r="W96" i="16"/>
  <c r="P96" i="16"/>
  <c r="F96" i="16"/>
  <c r="AG96" i="16"/>
  <c r="N96" i="16"/>
  <c r="L96" i="16"/>
  <c r="AI96" i="16"/>
  <c r="T96" i="16"/>
  <c r="Q96" i="16"/>
  <c r="Y96" i="16"/>
  <c r="O96" i="16"/>
  <c r="K96" i="16"/>
  <c r="E53" i="12" a="1"/>
  <c r="K21" i="7" l="1"/>
  <c r="K14" i="7" s="1"/>
  <c r="U78" i="17"/>
  <c r="H50" i="15"/>
  <c r="AE55" i="12"/>
  <c r="G79" i="11"/>
  <c r="AC55" i="12"/>
  <c r="N79" i="11"/>
  <c r="F50" i="15"/>
  <c r="F81" i="12"/>
  <c r="R50" i="15"/>
  <c r="AI52" i="16"/>
  <c r="AG81" i="12"/>
  <c r="AE81" i="12"/>
  <c r="N81" i="12"/>
  <c r="Y56" i="16"/>
  <c r="S81" i="12"/>
  <c r="T81" i="12"/>
  <c r="U81" i="12"/>
  <c r="H51" i="11"/>
  <c r="E81" i="12"/>
  <c r="I51" i="11"/>
  <c r="AI79" i="11"/>
  <c r="AF55" i="12"/>
  <c r="M55" i="12"/>
  <c r="Z50" i="15"/>
  <c r="AC50" i="15"/>
  <c r="AK50" i="15"/>
  <c r="M50" i="15"/>
  <c r="AJ55" i="12"/>
  <c r="G55" i="12"/>
  <c r="P55" i="12"/>
  <c r="H81" i="12"/>
  <c r="AB51" i="11"/>
  <c r="N50" i="15"/>
  <c r="K50" i="15"/>
  <c r="AA50" i="15"/>
  <c r="AF50" i="15"/>
  <c r="U55" i="12"/>
  <c r="I55" i="12"/>
  <c r="AH55" i="12"/>
  <c r="R55" i="12"/>
  <c r="AE78" i="17"/>
  <c r="AH56" i="16"/>
  <c r="W81" i="12"/>
  <c r="T50" i="15"/>
  <c r="AB50" i="15"/>
  <c r="Q50" i="15"/>
  <c r="X55" i="12"/>
  <c r="E55" i="12"/>
  <c r="AG50" i="15"/>
  <c r="U50" i="15"/>
  <c r="AI50" i="15"/>
  <c r="AJ50" i="15"/>
  <c r="Z55" i="12"/>
  <c r="Q55" i="12"/>
  <c r="P50" i="15"/>
  <c r="E50" i="15"/>
  <c r="L50" i="15"/>
  <c r="AD50" i="15"/>
  <c r="J50" i="15"/>
  <c r="Y50" i="15"/>
  <c r="AH50" i="15"/>
  <c r="S55" i="12"/>
  <c r="K55" i="12"/>
  <c r="X50" i="15"/>
  <c r="V50" i="15"/>
  <c r="W50" i="15"/>
  <c r="S50" i="15"/>
  <c r="Z56" i="16"/>
  <c r="AB81" i="12"/>
  <c r="L81" i="12"/>
  <c r="O50" i="15"/>
  <c r="I50" i="15"/>
  <c r="G50" i="15"/>
  <c r="O55" i="15"/>
  <c r="P52" i="16"/>
  <c r="E56" i="16"/>
  <c r="W55" i="15"/>
  <c r="W52" i="16"/>
  <c r="AG56" i="16"/>
  <c r="M81" i="12"/>
  <c r="P81" i="12"/>
  <c r="M56" i="16"/>
  <c r="AG52" i="16"/>
  <c r="AC81" i="12"/>
  <c r="V81" i="12"/>
  <c r="F78" i="17"/>
  <c r="F56" i="16"/>
  <c r="M78" i="17"/>
  <c r="AB56" i="16"/>
  <c r="R56" i="16"/>
  <c r="AG55" i="15"/>
  <c r="O51" i="11"/>
  <c r="E78" i="17"/>
  <c r="J78" i="17"/>
  <c r="X78" i="17"/>
  <c r="AB55" i="15"/>
  <c r="P78" i="17"/>
  <c r="H56" i="16"/>
  <c r="T56" i="16"/>
  <c r="E51" i="11"/>
  <c r="R54" i="16"/>
  <c r="P56" i="16"/>
  <c r="I54" i="16"/>
  <c r="Z78" i="17"/>
  <c r="R55" i="15"/>
  <c r="W56" i="16"/>
  <c r="K78" i="17"/>
  <c r="I56" i="16"/>
  <c r="U51" i="11"/>
  <c r="E19" i="9" a="1"/>
  <c r="CN19" i="9" s="1"/>
  <c r="W78" i="17"/>
  <c r="L78" i="17"/>
  <c r="S56" i="16"/>
  <c r="V56" i="16"/>
  <c r="W51" i="11"/>
  <c r="O79" i="11"/>
  <c r="K79" i="11"/>
  <c r="Y79" i="11"/>
  <c r="AK79" i="11"/>
  <c r="M79" i="11"/>
  <c r="G78" i="17"/>
  <c r="AH78" i="17"/>
  <c r="AG78" i="17"/>
  <c r="Y78" i="17"/>
  <c r="AH52" i="16"/>
  <c r="K52" i="16"/>
  <c r="I52" i="16"/>
  <c r="AA52" i="16"/>
  <c r="M55" i="15"/>
  <c r="T55" i="15"/>
  <c r="O81" i="12"/>
  <c r="I81" i="12"/>
  <c r="Q81" i="12"/>
  <c r="AD81" i="12"/>
  <c r="X51" i="11"/>
  <c r="AE79" i="11"/>
  <c r="AD79" i="11"/>
  <c r="AJ79" i="11"/>
  <c r="L79" i="11"/>
  <c r="N54" i="16"/>
  <c r="N52" i="16"/>
  <c r="O78" i="17"/>
  <c r="J52" i="16"/>
  <c r="Y81" i="12"/>
  <c r="F79" i="11"/>
  <c r="V79" i="11"/>
  <c r="R79" i="11"/>
  <c r="Z79" i="11"/>
  <c r="AC54" i="16"/>
  <c r="O52" i="16"/>
  <c r="M52" i="16"/>
  <c r="AJ52" i="16"/>
  <c r="R52" i="16"/>
  <c r="K81" i="12"/>
  <c r="J81" i="12"/>
  <c r="AI81" i="12"/>
  <c r="AJ81" i="12"/>
  <c r="AA78" i="17"/>
  <c r="I78" i="17"/>
  <c r="AD78" i="17"/>
  <c r="N78" i="17"/>
  <c r="F52" i="16"/>
  <c r="L52" i="16"/>
  <c r="G52" i="16"/>
  <c r="E52" i="16"/>
  <c r="AF52" i="16"/>
  <c r="L55" i="15"/>
  <c r="AA81" i="12"/>
  <c r="X81" i="12"/>
  <c r="AF81" i="12"/>
  <c r="AH81" i="12"/>
  <c r="AH79" i="11"/>
  <c r="AB79" i="11"/>
  <c r="Q79" i="11"/>
  <c r="AC79" i="11"/>
  <c r="U54" i="16"/>
  <c r="H79" i="11"/>
  <c r="E79" i="11"/>
  <c r="W79" i="11"/>
  <c r="AA79" i="11"/>
  <c r="P54" i="16"/>
  <c r="N29" i="17"/>
  <c r="AF78" i="17"/>
  <c r="V78" i="17"/>
  <c r="AI78" i="17"/>
  <c r="V52" i="16"/>
  <c r="X52" i="16"/>
  <c r="AC52" i="16"/>
  <c r="AJ78" i="17"/>
  <c r="S78" i="17"/>
  <c r="AC78" i="17"/>
  <c r="Q78" i="17"/>
  <c r="H52" i="16"/>
  <c r="U52" i="16"/>
  <c r="Y52" i="16"/>
  <c r="AE52" i="16"/>
  <c r="F55" i="15"/>
  <c r="R81" i="12"/>
  <c r="G81" i="12"/>
  <c r="Z81" i="12"/>
  <c r="I79" i="11"/>
  <c r="AG79" i="11"/>
  <c r="J79" i="11"/>
  <c r="P79" i="11"/>
  <c r="AF79" i="11"/>
  <c r="V54" i="16"/>
  <c r="AK52" i="16"/>
  <c r="S52" i="16"/>
  <c r="Z52" i="16"/>
  <c r="H78" i="17"/>
  <c r="R78" i="17"/>
  <c r="AK78" i="17"/>
  <c r="AB78" i="17"/>
  <c r="AB52" i="16"/>
  <c r="Q52" i="16"/>
  <c r="T52" i="16"/>
  <c r="T79" i="11"/>
  <c r="U79" i="11"/>
  <c r="X79" i="11"/>
  <c r="Q54" i="16"/>
  <c r="S55" i="15"/>
  <c r="AI55" i="15"/>
  <c r="Q55" i="15"/>
  <c r="AE55" i="15"/>
  <c r="Z51" i="11"/>
  <c r="AD51" i="11"/>
  <c r="J51" i="11"/>
  <c r="T51" i="11"/>
  <c r="L51" i="11"/>
  <c r="Y54" i="16"/>
  <c r="G54" i="16"/>
  <c r="P55" i="15"/>
  <c r="G55" i="15"/>
  <c r="AA55" i="15"/>
  <c r="AD55" i="15"/>
  <c r="S51" i="11"/>
  <c r="AG51" i="11"/>
  <c r="K51" i="11"/>
  <c r="R51" i="11"/>
  <c r="Z54" i="16"/>
  <c r="S54" i="16"/>
  <c r="L54" i="16"/>
  <c r="N55" i="15"/>
  <c r="AH55" i="15"/>
  <c r="H55" i="15"/>
  <c r="AK55" i="15"/>
  <c r="AH51" i="11"/>
  <c r="AI51" i="11"/>
  <c r="AK51" i="11"/>
  <c r="Q51" i="11"/>
  <c r="W54" i="16"/>
  <c r="AG54" i="16"/>
  <c r="AK54" i="16"/>
  <c r="K55" i="15"/>
  <c r="AJ55" i="15"/>
  <c r="V55" i="15"/>
  <c r="E55" i="15"/>
  <c r="M51" i="11"/>
  <c r="AC51" i="11"/>
  <c r="AJ51" i="11"/>
  <c r="P51" i="11"/>
  <c r="K54" i="16"/>
  <c r="AB54" i="16"/>
  <c r="H54" i="16"/>
  <c r="Y55" i="15"/>
  <c r="J55" i="15"/>
  <c r="U55" i="15"/>
  <c r="X55" i="15"/>
  <c r="N51" i="11"/>
  <c r="AE51" i="11"/>
  <c r="AA51" i="11"/>
  <c r="G51" i="11"/>
  <c r="AC55" i="15"/>
  <c r="I55" i="15"/>
  <c r="AF55" i="15"/>
  <c r="AF51" i="11"/>
  <c r="Y51" i="11"/>
  <c r="V51" i="11"/>
  <c r="T54" i="16"/>
  <c r="AE54" i="16"/>
  <c r="AI54" i="16"/>
  <c r="Y24" i="11"/>
  <c r="P29" i="17"/>
  <c r="AE29" i="14"/>
  <c r="K29" i="14"/>
  <c r="V24" i="15"/>
  <c r="K24" i="15"/>
  <c r="AI24" i="17"/>
  <c r="F24" i="17"/>
  <c r="P24" i="17"/>
  <c r="Z29" i="11"/>
  <c r="AC24" i="11"/>
  <c r="R29" i="14"/>
  <c r="AA29" i="17"/>
  <c r="L29" i="17"/>
  <c r="G29" i="13"/>
  <c r="AG24" i="11"/>
  <c r="AE29" i="17"/>
  <c r="Q29" i="14"/>
  <c r="AJ54" i="16"/>
  <c r="AF54" i="16"/>
  <c r="F54" i="16"/>
  <c r="W55" i="12"/>
  <c r="H55" i="12"/>
  <c r="V55" i="12"/>
  <c r="T55" i="12"/>
  <c r="AF56" i="16"/>
  <c r="U56" i="16"/>
  <c r="AD56" i="16"/>
  <c r="K56" i="16"/>
  <c r="X54" i="16"/>
  <c r="J54" i="16"/>
  <c r="AA54" i="16"/>
  <c r="AH54" i="16"/>
  <c r="J24" i="11"/>
  <c r="AA24" i="11"/>
  <c r="AD24" i="11"/>
  <c r="N24" i="11"/>
  <c r="Q29" i="17"/>
  <c r="AG29" i="17"/>
  <c r="W29" i="17"/>
  <c r="F29" i="17"/>
  <c r="S29" i="14"/>
  <c r="AG29" i="14"/>
  <c r="W29" i="14"/>
  <c r="P24" i="15"/>
  <c r="O24" i="15"/>
  <c r="L24" i="15"/>
  <c r="E24" i="15"/>
  <c r="E86" i="17" a="1"/>
  <c r="AB86" i="17" s="1"/>
  <c r="M24" i="17"/>
  <c r="Y55" i="12"/>
  <c r="AK55" i="12"/>
  <c r="AA55" i="12"/>
  <c r="J55" i="12"/>
  <c r="AA29" i="11"/>
  <c r="AG29" i="11"/>
  <c r="E29" i="11"/>
  <c r="AI56" i="16"/>
  <c r="AE56" i="16"/>
  <c r="J56" i="16"/>
  <c r="AJ56" i="16"/>
  <c r="E62" i="15" a="1"/>
  <c r="W62" i="15" s="1"/>
  <c r="G24" i="12"/>
  <c r="S24" i="12"/>
  <c r="AI24" i="12"/>
  <c r="AJ24" i="12"/>
  <c r="W29" i="15"/>
  <c r="V29" i="15"/>
  <c r="O29" i="15"/>
  <c r="AG29" i="15"/>
  <c r="F24" i="16"/>
  <c r="I24" i="16"/>
  <c r="AG29" i="13"/>
  <c r="AB29" i="13"/>
  <c r="M29" i="13"/>
  <c r="AD54" i="16"/>
  <c r="O54" i="16"/>
  <c r="M54" i="16"/>
  <c r="AI24" i="11"/>
  <c r="AB29" i="14"/>
  <c r="F29" i="11"/>
  <c r="AF24" i="14"/>
  <c r="R24" i="14"/>
  <c r="AI55" i="12"/>
  <c r="AD55" i="12"/>
  <c r="AG55" i="12"/>
  <c r="O55" i="12"/>
  <c r="G56" i="16"/>
  <c r="AA56" i="16"/>
  <c r="O56" i="16"/>
  <c r="Q56" i="16"/>
  <c r="AJ24" i="11"/>
  <c r="U29" i="17"/>
  <c r="W29" i="11"/>
  <c r="F55" i="12"/>
  <c r="L55" i="12"/>
  <c r="AB55" i="12"/>
  <c r="N56" i="16"/>
  <c r="L56" i="16"/>
  <c r="AC56" i="16"/>
  <c r="AK56" i="16"/>
  <c r="AF50" i="14"/>
  <c r="AC50" i="14"/>
  <c r="Z50" i="14"/>
  <c r="AA50" i="14"/>
  <c r="AJ50" i="14"/>
  <c r="AG50" i="14"/>
  <c r="AD50" i="14"/>
  <c r="AE50" i="14"/>
  <c r="P50" i="14"/>
  <c r="U50" i="14"/>
  <c r="AH50" i="14"/>
  <c r="T50" i="14"/>
  <c r="Y50" i="14"/>
  <c r="G50" i="14"/>
  <c r="I50" i="14"/>
  <c r="N50" i="14"/>
  <c r="W50" i="14"/>
  <c r="H50" i="14"/>
  <c r="M50" i="14"/>
  <c r="R50" i="14"/>
  <c r="AI50" i="14"/>
  <c r="AK50" i="14"/>
  <c r="F50" i="14"/>
  <c r="J50" i="14"/>
  <c r="AB50" i="14"/>
  <c r="O50" i="14"/>
  <c r="X50" i="14"/>
  <c r="E50" i="14"/>
  <c r="V50" i="14"/>
  <c r="Q50" i="14"/>
  <c r="S50" i="14"/>
  <c r="L50" i="14"/>
  <c r="K50" i="14"/>
  <c r="H52" i="15"/>
  <c r="K52" i="15"/>
  <c r="U52" i="15"/>
  <c r="AI52" i="15"/>
  <c r="AH52" i="15"/>
  <c r="L52" i="15"/>
  <c r="O52" i="15"/>
  <c r="Y52" i="15"/>
  <c r="F52" i="15"/>
  <c r="P52" i="15"/>
  <c r="E52" i="15"/>
  <c r="S52" i="15"/>
  <c r="T52" i="15"/>
  <c r="I52" i="15"/>
  <c r="W52" i="15"/>
  <c r="AJ52" i="15"/>
  <c r="AG52" i="15"/>
  <c r="V52" i="15"/>
  <c r="AA52" i="15"/>
  <c r="AK52" i="15"/>
  <c r="Z52" i="15"/>
  <c r="M52" i="15"/>
  <c r="Q52" i="15"/>
  <c r="AC52" i="15"/>
  <c r="AB52" i="15"/>
  <c r="N52" i="15"/>
  <c r="X52" i="15"/>
  <c r="AF52" i="15"/>
  <c r="G52" i="15"/>
  <c r="AE52" i="15"/>
  <c r="R52" i="15"/>
  <c r="AD52" i="15"/>
  <c r="J52" i="15"/>
  <c r="AF83" i="15"/>
  <c r="AC83" i="15"/>
  <c r="Z83" i="15"/>
  <c r="AA83" i="15"/>
  <c r="AJ83" i="15"/>
  <c r="AG83" i="15"/>
  <c r="AD83" i="15"/>
  <c r="AE83" i="15"/>
  <c r="X83" i="15"/>
  <c r="AK83" i="15"/>
  <c r="K83" i="15"/>
  <c r="AB83" i="15"/>
  <c r="F83" i="15"/>
  <c r="O83" i="15"/>
  <c r="L83" i="15"/>
  <c r="Q83" i="15"/>
  <c r="V83" i="15"/>
  <c r="P83" i="15"/>
  <c r="U83" i="15"/>
  <c r="AH83" i="15"/>
  <c r="E83" i="15"/>
  <c r="S83" i="15"/>
  <c r="I83" i="15"/>
  <c r="W83" i="15"/>
  <c r="M83" i="15"/>
  <c r="AI83" i="15"/>
  <c r="N83" i="15"/>
  <c r="J83" i="15"/>
  <c r="R83" i="15"/>
  <c r="G83" i="15"/>
  <c r="H83" i="15"/>
  <c r="T83" i="15"/>
  <c r="Y83" i="15"/>
  <c r="X78" i="12"/>
  <c r="U78" i="12"/>
  <c r="R78" i="12"/>
  <c r="S78" i="12"/>
  <c r="AB78" i="12"/>
  <c r="Y78" i="12"/>
  <c r="V78" i="12"/>
  <c r="W78" i="12"/>
  <c r="E78" i="12"/>
  <c r="J78" i="12"/>
  <c r="AA78" i="12"/>
  <c r="I78" i="12"/>
  <c r="N78" i="12"/>
  <c r="AE78" i="12"/>
  <c r="T78" i="12"/>
  <c r="AG78" i="12"/>
  <c r="G78" i="12"/>
  <c r="AF78" i="12"/>
  <c r="AK78" i="12"/>
  <c r="K78" i="12"/>
  <c r="M78" i="12"/>
  <c r="AI78" i="12"/>
  <c r="Q78" i="12"/>
  <c r="AC78" i="12"/>
  <c r="L78" i="12"/>
  <c r="AD78" i="12"/>
  <c r="Z78" i="12"/>
  <c r="AH78" i="12"/>
  <c r="O78" i="12"/>
  <c r="P78" i="12"/>
  <c r="AJ78" i="12"/>
  <c r="H78" i="12"/>
  <c r="F78" i="12"/>
  <c r="X78" i="15"/>
  <c r="U78" i="15"/>
  <c r="R78" i="15"/>
  <c r="S78" i="15"/>
  <c r="AB78" i="15"/>
  <c r="Y78" i="15"/>
  <c r="V78" i="15"/>
  <c r="W78" i="15"/>
  <c r="P78" i="15"/>
  <c r="AC78" i="15"/>
  <c r="AH78" i="15"/>
  <c r="T78" i="15"/>
  <c r="AG78" i="15"/>
  <c r="G78" i="15"/>
  <c r="I78" i="15"/>
  <c r="N78" i="15"/>
  <c r="AE78" i="15"/>
  <c r="H78" i="15"/>
  <c r="M78" i="15"/>
  <c r="Z78" i="15"/>
  <c r="AI78" i="15"/>
  <c r="AK78" i="15"/>
  <c r="F78" i="15"/>
  <c r="J78" i="15"/>
  <c r="AJ78" i="15"/>
  <c r="O78" i="15"/>
  <c r="K78" i="15"/>
  <c r="L78" i="15"/>
  <c r="AA78" i="15"/>
  <c r="E78" i="15"/>
  <c r="Q78" i="15"/>
  <c r="AD78" i="15"/>
  <c r="AF78" i="15"/>
  <c r="AE24" i="17"/>
  <c r="U29" i="11"/>
  <c r="AA24" i="12"/>
  <c r="P24" i="16"/>
  <c r="W24" i="16"/>
  <c r="E88" i="14" a="1"/>
  <c r="Q24" i="11"/>
  <c r="AH29" i="17"/>
  <c r="H29" i="17"/>
  <c r="E92" i="15" a="1"/>
  <c r="AB24" i="11"/>
  <c r="AB51" i="17"/>
  <c r="Y51" i="17"/>
  <c r="V51" i="17"/>
  <c r="W51" i="17"/>
  <c r="E51" i="17"/>
  <c r="F51" i="17"/>
  <c r="K51" i="17"/>
  <c r="H51" i="17"/>
  <c r="I51" i="17"/>
  <c r="J51" i="17"/>
  <c r="O51" i="17"/>
  <c r="L51" i="17"/>
  <c r="U51" i="17"/>
  <c r="AH51" i="17"/>
  <c r="P51" i="17"/>
  <c r="AC51" i="17"/>
  <c r="G51" i="17"/>
  <c r="AJ51" i="17"/>
  <c r="R51" i="17"/>
  <c r="AI51" i="17"/>
  <c r="M51" i="17"/>
  <c r="Z51" i="17"/>
  <c r="AG51" i="17"/>
  <c r="AK51" i="17"/>
  <c r="N51" i="17"/>
  <c r="X51" i="17"/>
  <c r="AA51" i="17"/>
  <c r="T51" i="17"/>
  <c r="AF51" i="17"/>
  <c r="AD51" i="17"/>
  <c r="Q51" i="17"/>
  <c r="AE51" i="17"/>
  <c r="S51" i="17"/>
  <c r="E88" i="16" a="1"/>
  <c r="E92" i="17" a="1"/>
  <c r="U29" i="14"/>
  <c r="E64" i="13" a="1"/>
  <c r="E59" i="13" a="1"/>
  <c r="AA24" i="15"/>
  <c r="AF24" i="15"/>
  <c r="E86" i="12" a="1"/>
  <c r="O24" i="17"/>
  <c r="W24" i="17"/>
  <c r="Q29" i="11"/>
  <c r="E64" i="14" a="1"/>
  <c r="P56" i="17"/>
  <c r="M56" i="17"/>
  <c r="J56" i="17"/>
  <c r="K56" i="17"/>
  <c r="E56" i="17"/>
  <c r="F56" i="17"/>
  <c r="O56" i="17"/>
  <c r="H56" i="17"/>
  <c r="I56" i="17"/>
  <c r="N56" i="17"/>
  <c r="S56" i="17"/>
  <c r="AF56" i="17"/>
  <c r="R56" i="17"/>
  <c r="AE56" i="17"/>
  <c r="AJ56" i="17"/>
  <c r="V56" i="17"/>
  <c r="AI56" i="17"/>
  <c r="T56" i="17"/>
  <c r="AC56" i="17"/>
  <c r="G56" i="17"/>
  <c r="X56" i="17"/>
  <c r="AG56" i="17"/>
  <c r="W56" i="17"/>
  <c r="Q56" i="17"/>
  <c r="U56" i="17"/>
  <c r="Y56" i="17"/>
  <c r="AD56" i="17"/>
  <c r="Z56" i="17"/>
  <c r="AH56" i="17"/>
  <c r="AA56" i="17"/>
  <c r="L56" i="17"/>
  <c r="AB56" i="17"/>
  <c r="AK56" i="17"/>
  <c r="W24" i="12"/>
  <c r="AK24" i="12"/>
  <c r="F29" i="15"/>
  <c r="AK29" i="15"/>
  <c r="R24" i="16"/>
  <c r="Y24" i="16"/>
  <c r="T80" i="13"/>
  <c r="Q80" i="13"/>
  <c r="N80" i="13"/>
  <c r="O80" i="13"/>
  <c r="X80" i="13"/>
  <c r="U80" i="13"/>
  <c r="R80" i="13"/>
  <c r="S80" i="13"/>
  <c r="AB80" i="13"/>
  <c r="AG80" i="13"/>
  <c r="G80" i="13"/>
  <c r="AF80" i="13"/>
  <c r="AK80" i="13"/>
  <c r="K80" i="13"/>
  <c r="H80" i="13"/>
  <c r="M80" i="13"/>
  <c r="Z80" i="13"/>
  <c r="AI80" i="13"/>
  <c r="L80" i="13"/>
  <c r="Y80" i="13"/>
  <c r="AD80" i="13"/>
  <c r="AJ80" i="13"/>
  <c r="W80" i="13"/>
  <c r="E80" i="13"/>
  <c r="AA80" i="13"/>
  <c r="I80" i="13"/>
  <c r="AE80" i="13"/>
  <c r="J80" i="13"/>
  <c r="F80" i="13"/>
  <c r="V80" i="13"/>
  <c r="AH80" i="13"/>
  <c r="P80" i="13"/>
  <c r="AC80" i="13"/>
  <c r="AI29" i="13"/>
  <c r="X50" i="17"/>
  <c r="U50" i="17"/>
  <c r="R50" i="17"/>
  <c r="S50" i="17"/>
  <c r="P50" i="17"/>
  <c r="Q50" i="17"/>
  <c r="V50" i="17"/>
  <c r="AA50" i="17"/>
  <c r="T50" i="17"/>
  <c r="Y50" i="17"/>
  <c r="Z50" i="17"/>
  <c r="AE50" i="17"/>
  <c r="AB50" i="17"/>
  <c r="AK50" i="17"/>
  <c r="O50" i="17"/>
  <c r="AF50" i="17"/>
  <c r="F50" i="17"/>
  <c r="W50" i="17"/>
  <c r="M50" i="17"/>
  <c r="AH50" i="17"/>
  <c r="H50" i="17"/>
  <c r="AC50" i="17"/>
  <c r="G50" i="17"/>
  <c r="AJ50" i="17"/>
  <c r="AI50" i="17"/>
  <c r="E50" i="17"/>
  <c r="I50" i="17"/>
  <c r="N50" i="17"/>
  <c r="J50" i="17"/>
  <c r="AD50" i="17"/>
  <c r="K50" i="17"/>
  <c r="L50" i="17"/>
  <c r="AG50" i="17"/>
  <c r="AG29" i="16"/>
  <c r="W29" i="16"/>
  <c r="L77" i="16"/>
  <c r="S77" i="16"/>
  <c r="U77" i="16"/>
  <c r="N77" i="16"/>
  <c r="P77" i="16"/>
  <c r="W77" i="16"/>
  <c r="Y77" i="16"/>
  <c r="R77" i="16"/>
  <c r="AJ77" i="16"/>
  <c r="AC77" i="16"/>
  <c r="AD77" i="16"/>
  <c r="K77" i="16"/>
  <c r="AG77" i="16"/>
  <c r="AH77" i="16"/>
  <c r="X77" i="16"/>
  <c r="I77" i="16"/>
  <c r="J77" i="16"/>
  <c r="AB77" i="16"/>
  <c r="M77" i="16"/>
  <c r="V77" i="16"/>
  <c r="AK77" i="16"/>
  <c r="H77" i="16"/>
  <c r="O77" i="16"/>
  <c r="T77" i="16"/>
  <c r="F77" i="16"/>
  <c r="AI77" i="16"/>
  <c r="AE77" i="16"/>
  <c r="AA77" i="16"/>
  <c r="E77" i="16"/>
  <c r="Z77" i="16"/>
  <c r="Q77" i="16"/>
  <c r="G77" i="16"/>
  <c r="AF77" i="16"/>
  <c r="X77" i="11"/>
  <c r="U77" i="11"/>
  <c r="R77" i="11"/>
  <c r="S77" i="11"/>
  <c r="E77" i="11"/>
  <c r="F77" i="11"/>
  <c r="K77" i="11"/>
  <c r="H77" i="11"/>
  <c r="I77" i="11"/>
  <c r="J77" i="11"/>
  <c r="O77" i="11"/>
  <c r="AB77" i="11"/>
  <c r="AC77" i="11"/>
  <c r="AD77" i="11"/>
  <c r="AI77" i="11"/>
  <c r="Q77" i="11"/>
  <c r="G77" i="11"/>
  <c r="Y77" i="11"/>
  <c r="W77" i="11"/>
  <c r="L77" i="11"/>
  <c r="AG77" i="11"/>
  <c r="AA77" i="11"/>
  <c r="AF77" i="11"/>
  <c r="V77" i="11"/>
  <c r="T77" i="11"/>
  <c r="AJ77" i="11"/>
  <c r="AK77" i="11"/>
  <c r="M77" i="11"/>
  <c r="Z77" i="11"/>
  <c r="AE77" i="11"/>
  <c r="P77" i="11"/>
  <c r="N77" i="11"/>
  <c r="AH77" i="11"/>
  <c r="L55" i="17"/>
  <c r="I55" i="17"/>
  <c r="F55" i="17"/>
  <c r="G55" i="17"/>
  <c r="T55" i="17"/>
  <c r="U55" i="17"/>
  <c r="V55" i="17"/>
  <c r="AA55" i="17"/>
  <c r="X55" i="17"/>
  <c r="Y55" i="17"/>
  <c r="Z55" i="17"/>
  <c r="AE55" i="17"/>
  <c r="M55" i="17"/>
  <c r="AD55" i="17"/>
  <c r="Q55" i="17"/>
  <c r="AH55" i="17"/>
  <c r="AF55" i="17"/>
  <c r="J55" i="17"/>
  <c r="W55" i="17"/>
  <c r="AJ55" i="17"/>
  <c r="N55" i="17"/>
  <c r="AI55" i="17"/>
  <c r="H55" i="17"/>
  <c r="K55" i="17"/>
  <c r="P55" i="17"/>
  <c r="O55" i="17"/>
  <c r="AB55" i="17"/>
  <c r="S55" i="17"/>
  <c r="AG55" i="17"/>
  <c r="E55" i="17"/>
  <c r="AK55" i="17"/>
  <c r="R55" i="17"/>
  <c r="AC55" i="17"/>
  <c r="E89" i="15" a="1"/>
  <c r="V24" i="13"/>
  <c r="L24" i="13"/>
  <c r="S29" i="12"/>
  <c r="Y29" i="12"/>
  <c r="AC24" i="14"/>
  <c r="H53" i="12"/>
  <c r="E53" i="12"/>
  <c r="AK53" i="12"/>
  <c r="AH53" i="12"/>
  <c r="AI53" i="12"/>
  <c r="L53" i="12"/>
  <c r="I53" i="12"/>
  <c r="F53" i="12"/>
  <c r="G53" i="12"/>
  <c r="AF53" i="12"/>
  <c r="J53" i="12"/>
  <c r="S53" i="12"/>
  <c r="AJ53" i="12"/>
  <c r="N53" i="12"/>
  <c r="W53" i="12"/>
  <c r="T53" i="12"/>
  <c r="Y53" i="12"/>
  <c r="AD53" i="12"/>
  <c r="X53" i="12"/>
  <c r="AC53" i="12"/>
  <c r="K53" i="12"/>
  <c r="R53" i="12"/>
  <c r="V53" i="12"/>
  <c r="P53" i="12"/>
  <c r="Z53" i="12"/>
  <c r="Q53" i="12"/>
  <c r="AE53" i="12"/>
  <c r="AA53" i="12"/>
  <c r="AB53" i="12"/>
  <c r="U53" i="12"/>
  <c r="AG53" i="12"/>
  <c r="M53" i="12"/>
  <c r="O53" i="12"/>
  <c r="AF24" i="11"/>
  <c r="S24" i="11"/>
  <c r="X54" i="13"/>
  <c r="E54" i="13"/>
  <c r="AK54" i="13"/>
  <c r="AD54" i="13"/>
  <c r="AB54" i="13"/>
  <c r="I54" i="13"/>
  <c r="O54" i="13"/>
  <c r="AH54" i="13"/>
  <c r="H54" i="13"/>
  <c r="AA54" i="13"/>
  <c r="F54" i="13"/>
  <c r="AE54" i="13"/>
  <c r="L54" i="13"/>
  <c r="AI54" i="13"/>
  <c r="J54" i="13"/>
  <c r="AJ54" i="13"/>
  <c r="Y54" i="13"/>
  <c r="Z54" i="13"/>
  <c r="K54" i="13"/>
  <c r="AC54" i="13"/>
  <c r="G54" i="13"/>
  <c r="P54" i="13"/>
  <c r="N54" i="13"/>
  <c r="T54" i="13"/>
  <c r="R54" i="13"/>
  <c r="AF54" i="13"/>
  <c r="V54" i="13"/>
  <c r="Q54" i="13"/>
  <c r="W54" i="13"/>
  <c r="U54" i="13"/>
  <c r="AG54" i="13"/>
  <c r="M54" i="13"/>
  <c r="S54" i="13"/>
  <c r="V29" i="17"/>
  <c r="Z29" i="17"/>
  <c r="J29" i="17"/>
  <c r="S29" i="17"/>
  <c r="AF83" i="13"/>
  <c r="AC83" i="13"/>
  <c r="Z83" i="13"/>
  <c r="AA83" i="13"/>
  <c r="AJ83" i="13"/>
  <c r="AG83" i="13"/>
  <c r="AD83" i="13"/>
  <c r="AE83" i="13"/>
  <c r="E83" i="13"/>
  <c r="J83" i="13"/>
  <c r="S83" i="13"/>
  <c r="I83" i="13"/>
  <c r="N83" i="13"/>
  <c r="W83" i="13"/>
  <c r="T83" i="13"/>
  <c r="Y83" i="13"/>
  <c r="G83" i="13"/>
  <c r="X83" i="13"/>
  <c r="AK83" i="13"/>
  <c r="K83" i="13"/>
  <c r="H83" i="13"/>
  <c r="R83" i="13"/>
  <c r="L83" i="13"/>
  <c r="V83" i="13"/>
  <c r="P83" i="13"/>
  <c r="AH83" i="13"/>
  <c r="Q83" i="13"/>
  <c r="AI83" i="13"/>
  <c r="AB83" i="13"/>
  <c r="U83" i="13"/>
  <c r="F83" i="13"/>
  <c r="M83" i="13"/>
  <c r="O83" i="13"/>
  <c r="P78" i="16"/>
  <c r="M78" i="16"/>
  <c r="J78" i="16"/>
  <c r="K78" i="16"/>
  <c r="T78" i="16"/>
  <c r="Q78" i="16"/>
  <c r="N78" i="16"/>
  <c r="O78" i="16"/>
  <c r="E78" i="16"/>
  <c r="R78" i="16"/>
  <c r="AA78" i="16"/>
  <c r="I78" i="16"/>
  <c r="V78" i="16"/>
  <c r="AE78" i="16"/>
  <c r="AB78" i="16"/>
  <c r="AG78" i="16"/>
  <c r="G78" i="16"/>
  <c r="AF78" i="16"/>
  <c r="AK78" i="16"/>
  <c r="S78" i="16"/>
  <c r="U78" i="16"/>
  <c r="AI78" i="16"/>
  <c r="Y78" i="16"/>
  <c r="AC78" i="16"/>
  <c r="L78" i="16"/>
  <c r="AD78" i="16"/>
  <c r="H78" i="16"/>
  <c r="F78" i="16"/>
  <c r="X78" i="16"/>
  <c r="AJ78" i="16"/>
  <c r="AH78" i="16"/>
  <c r="W78" i="16"/>
  <c r="Z78" i="16"/>
  <c r="E89" i="14" a="1"/>
  <c r="E29" i="14"/>
  <c r="AD29" i="14"/>
  <c r="Y29" i="14"/>
  <c r="Z29" i="14"/>
  <c r="E63" i="17" a="1"/>
  <c r="M24" i="15"/>
  <c r="Y24" i="15"/>
  <c r="AK24" i="15"/>
  <c r="AG24" i="15"/>
  <c r="H24" i="15"/>
  <c r="AJ81" i="15"/>
  <c r="F81" i="15"/>
  <c r="I81" i="15"/>
  <c r="AI81" i="15"/>
  <c r="H81" i="15"/>
  <c r="E81" i="15"/>
  <c r="J81" i="15"/>
  <c r="G81" i="15"/>
  <c r="AG81" i="15"/>
  <c r="AB81" i="15"/>
  <c r="N81" i="15"/>
  <c r="S81" i="15"/>
  <c r="AF81" i="15"/>
  <c r="R81" i="15"/>
  <c r="W81" i="15"/>
  <c r="P81" i="15"/>
  <c r="Y81" i="15"/>
  <c r="AH81" i="15"/>
  <c r="T81" i="15"/>
  <c r="AC81" i="15"/>
  <c r="K81" i="15"/>
  <c r="M81" i="15"/>
  <c r="AA81" i="15"/>
  <c r="Q81" i="15"/>
  <c r="AE81" i="15"/>
  <c r="U81" i="15"/>
  <c r="Z81" i="15"/>
  <c r="AK81" i="15"/>
  <c r="L81" i="15"/>
  <c r="X81" i="15"/>
  <c r="AD81" i="15"/>
  <c r="O81" i="15"/>
  <c r="V81" i="15"/>
  <c r="L83" i="14"/>
  <c r="I83" i="14"/>
  <c r="F83" i="14"/>
  <c r="G83" i="14"/>
  <c r="P83" i="14"/>
  <c r="M83" i="14"/>
  <c r="J83" i="14"/>
  <c r="K83" i="14"/>
  <c r="Q83" i="14"/>
  <c r="V83" i="14"/>
  <c r="AE83" i="14"/>
  <c r="H83" i="14"/>
  <c r="U83" i="14"/>
  <c r="Z83" i="14"/>
  <c r="AI83" i="14"/>
  <c r="AF83" i="14"/>
  <c r="AK83" i="14"/>
  <c r="S83" i="14"/>
  <c r="AJ83" i="14"/>
  <c r="N83" i="14"/>
  <c r="W83" i="14"/>
  <c r="Y83" i="14"/>
  <c r="AC83" i="14"/>
  <c r="AG83" i="14"/>
  <c r="X83" i="14"/>
  <c r="AH83" i="14"/>
  <c r="T83" i="14"/>
  <c r="R83" i="14"/>
  <c r="AB83" i="14"/>
  <c r="E83" i="14"/>
  <c r="O83" i="14"/>
  <c r="AA83" i="14"/>
  <c r="AD83" i="14"/>
  <c r="AJ24" i="17"/>
  <c r="AK24" i="17"/>
  <c r="AA24" i="17"/>
  <c r="V24" i="17"/>
  <c r="AD29" i="11"/>
  <c r="K29" i="11"/>
  <c r="I29" i="11"/>
  <c r="V29" i="11"/>
  <c r="E60" i="13" a="1"/>
  <c r="E90" i="12" a="1"/>
  <c r="AB79" i="14"/>
  <c r="U79" i="14"/>
  <c r="AA79" i="14"/>
  <c r="Z79" i="14"/>
  <c r="AF79" i="14"/>
  <c r="Y79" i="14"/>
  <c r="AE79" i="14"/>
  <c r="AD79" i="14"/>
  <c r="AJ79" i="14"/>
  <c r="AK79" i="14"/>
  <c r="R79" i="14"/>
  <c r="O79" i="14"/>
  <c r="G79" i="14"/>
  <c r="V79" i="14"/>
  <c r="P79" i="14"/>
  <c r="Q79" i="14"/>
  <c r="F79" i="14"/>
  <c r="T79" i="14"/>
  <c r="AC79" i="14"/>
  <c r="J79" i="14"/>
  <c r="E79" i="14"/>
  <c r="AH79" i="14"/>
  <c r="I79" i="14"/>
  <c r="K79" i="14"/>
  <c r="M79" i="14"/>
  <c r="H79" i="14"/>
  <c r="W79" i="14"/>
  <c r="AG79" i="14"/>
  <c r="L79" i="14"/>
  <c r="X79" i="14"/>
  <c r="AI79" i="14"/>
  <c r="N79" i="14"/>
  <c r="S79" i="14"/>
  <c r="M24" i="12"/>
  <c r="Y24" i="12"/>
  <c r="X24" i="12"/>
  <c r="E24" i="12"/>
  <c r="AA29" i="15"/>
  <c r="AD29" i="15"/>
  <c r="G29" i="15"/>
  <c r="Z29" i="15"/>
  <c r="L24" i="16"/>
  <c r="AK24" i="16"/>
  <c r="K24" i="16"/>
  <c r="E24" i="16"/>
  <c r="AD29" i="13"/>
  <c r="K29" i="13"/>
  <c r="O29" i="13"/>
  <c r="AE29" i="13"/>
  <c r="L29" i="13"/>
  <c r="AJ29" i="16"/>
  <c r="H29" i="16"/>
  <c r="AK29" i="16"/>
  <c r="R29" i="16"/>
  <c r="E89" i="12" a="1"/>
  <c r="P77" i="17"/>
  <c r="E77" i="17"/>
  <c r="AK77" i="17"/>
  <c r="O77" i="17"/>
  <c r="AJ77" i="17"/>
  <c r="AC77" i="17"/>
  <c r="K77" i="17"/>
  <c r="J77" i="17"/>
  <c r="AG77" i="17"/>
  <c r="S77" i="17"/>
  <c r="AB77" i="17"/>
  <c r="F77" i="17"/>
  <c r="AE77" i="17"/>
  <c r="AF77" i="17"/>
  <c r="N77" i="17"/>
  <c r="AI77" i="17"/>
  <c r="L77" i="17"/>
  <c r="Q77" i="17"/>
  <c r="G77" i="17"/>
  <c r="T77" i="17"/>
  <c r="U77" i="17"/>
  <c r="W77" i="17"/>
  <c r="AH77" i="17"/>
  <c r="V77" i="17"/>
  <c r="I77" i="17"/>
  <c r="M77" i="17"/>
  <c r="Z77" i="17"/>
  <c r="R77" i="17"/>
  <c r="AD77" i="17"/>
  <c r="AA77" i="17"/>
  <c r="H77" i="17"/>
  <c r="X77" i="17"/>
  <c r="Y77" i="17"/>
  <c r="E86" i="15" a="1"/>
  <c r="T77" i="12"/>
  <c r="V77" i="12"/>
  <c r="U77" i="12"/>
  <c r="S77" i="12"/>
  <c r="X77" i="12"/>
  <c r="Z77" i="12"/>
  <c r="Y77" i="12"/>
  <c r="W77" i="12"/>
  <c r="AJ77" i="12"/>
  <c r="M77" i="12"/>
  <c r="AA77" i="12"/>
  <c r="J77" i="12"/>
  <c r="Q77" i="12"/>
  <c r="AE77" i="12"/>
  <c r="P77" i="12"/>
  <c r="AH77" i="12"/>
  <c r="G77" i="12"/>
  <c r="AB77" i="12"/>
  <c r="E77" i="12"/>
  <c r="K77" i="12"/>
  <c r="AC77" i="12"/>
  <c r="H77" i="12"/>
  <c r="AG77" i="12"/>
  <c r="L77" i="12"/>
  <c r="AK77" i="12"/>
  <c r="R77" i="12"/>
  <c r="F77" i="12"/>
  <c r="AI77" i="12"/>
  <c r="AF77" i="12"/>
  <c r="AD77" i="12"/>
  <c r="I77" i="12"/>
  <c r="N77" i="12"/>
  <c r="O77" i="12"/>
  <c r="H82" i="14"/>
  <c r="E82" i="14"/>
  <c r="AK82" i="14"/>
  <c r="AH82" i="14"/>
  <c r="AI82" i="14"/>
  <c r="L82" i="14"/>
  <c r="I82" i="14"/>
  <c r="F82" i="14"/>
  <c r="G82" i="14"/>
  <c r="M82" i="14"/>
  <c r="R82" i="14"/>
  <c r="AA82" i="14"/>
  <c r="Q82" i="14"/>
  <c r="V82" i="14"/>
  <c r="AE82" i="14"/>
  <c r="AB82" i="14"/>
  <c r="AG82" i="14"/>
  <c r="O82" i="14"/>
  <c r="AF82" i="14"/>
  <c r="J82" i="14"/>
  <c r="S82" i="14"/>
  <c r="P82" i="14"/>
  <c r="Z82" i="14"/>
  <c r="T82" i="14"/>
  <c r="AD82" i="14"/>
  <c r="X82" i="14"/>
  <c r="K82" i="14"/>
  <c r="Y82" i="14"/>
  <c r="U82" i="14"/>
  <c r="W82" i="14"/>
  <c r="AC82" i="14"/>
  <c r="N82" i="14"/>
  <c r="AJ82" i="14"/>
  <c r="I83" i="12"/>
  <c r="F83" i="12"/>
  <c r="G83" i="12"/>
  <c r="H83" i="12"/>
  <c r="M83" i="12"/>
  <c r="J83" i="12"/>
  <c r="K83" i="12"/>
  <c r="L83" i="12"/>
  <c r="Q83" i="12"/>
  <c r="V83" i="12"/>
  <c r="AE83" i="12"/>
  <c r="U83" i="12"/>
  <c r="Z83" i="12"/>
  <c r="AI83" i="12"/>
  <c r="AK83" i="12"/>
  <c r="S83" i="12"/>
  <c r="AB83" i="12"/>
  <c r="N83" i="12"/>
  <c r="W83" i="12"/>
  <c r="AF83" i="12"/>
  <c r="Y83" i="12"/>
  <c r="P83" i="12"/>
  <c r="AC83" i="12"/>
  <c r="T83" i="12"/>
  <c r="AG83" i="12"/>
  <c r="X83" i="12"/>
  <c r="AH83" i="12"/>
  <c r="AD83" i="12"/>
  <c r="O83" i="12"/>
  <c r="AJ83" i="12"/>
  <c r="AA83" i="12"/>
  <c r="E83" i="12"/>
  <c r="R83" i="12"/>
  <c r="E90" i="14" a="1"/>
  <c r="E61" i="11" a="1"/>
  <c r="W24" i="13"/>
  <c r="AK24" i="13"/>
  <c r="Y24" i="13"/>
  <c r="AE24" i="13"/>
  <c r="AG29" i="12"/>
  <c r="AD29" i="12"/>
  <c r="E29" i="12"/>
  <c r="L29" i="12"/>
  <c r="AB29" i="12"/>
  <c r="L51" i="13"/>
  <c r="I51" i="13"/>
  <c r="F51" i="13"/>
  <c r="G51" i="13"/>
  <c r="P51" i="13"/>
  <c r="M51" i="13"/>
  <c r="J51" i="13"/>
  <c r="K51" i="13"/>
  <c r="AJ51" i="13"/>
  <c r="N51" i="13"/>
  <c r="W51" i="13"/>
  <c r="E51" i="13"/>
  <c r="R51" i="13"/>
  <c r="AA51" i="13"/>
  <c r="X51" i="13"/>
  <c r="AC51" i="13"/>
  <c r="AH51" i="13"/>
  <c r="AB51" i="13"/>
  <c r="AG51" i="13"/>
  <c r="O51" i="13"/>
  <c r="Q51" i="13"/>
  <c r="AE51" i="13"/>
  <c r="U51" i="13"/>
  <c r="AI51" i="13"/>
  <c r="Y51" i="13"/>
  <c r="H51" i="13"/>
  <c r="Z51" i="13"/>
  <c r="V51" i="13"/>
  <c r="AD51" i="13"/>
  <c r="S51" i="13"/>
  <c r="T51" i="13"/>
  <c r="AF51" i="13"/>
  <c r="AK51" i="13"/>
  <c r="V24" i="14"/>
  <c r="AG24" i="14"/>
  <c r="I24" i="14"/>
  <c r="W24" i="14"/>
  <c r="AB55" i="11"/>
  <c r="I55" i="11"/>
  <c r="N55" i="11"/>
  <c r="AE55" i="11"/>
  <c r="AF55" i="11"/>
  <c r="Q55" i="11"/>
  <c r="K55" i="11"/>
  <c r="AJ55" i="11"/>
  <c r="U55" i="11"/>
  <c r="O55" i="11"/>
  <c r="P55" i="11"/>
  <c r="Z55" i="11"/>
  <c r="AK55" i="11"/>
  <c r="AI55" i="11"/>
  <c r="T55" i="11"/>
  <c r="E55" i="11"/>
  <c r="AH55" i="11"/>
  <c r="F55" i="11"/>
  <c r="Y55" i="11"/>
  <c r="H55" i="11"/>
  <c r="AC55" i="11"/>
  <c r="L55" i="11"/>
  <c r="AG55" i="11"/>
  <c r="R55" i="11"/>
  <c r="W55" i="11"/>
  <c r="S55" i="11"/>
  <c r="AA55" i="11"/>
  <c r="X55" i="11"/>
  <c r="AD55" i="11"/>
  <c r="V55" i="11"/>
  <c r="M55" i="11"/>
  <c r="J55" i="11"/>
  <c r="G55" i="11"/>
  <c r="W24" i="11"/>
  <c r="G24" i="11"/>
  <c r="AK24" i="11"/>
  <c r="R24" i="11"/>
  <c r="AB80" i="17"/>
  <c r="AI80" i="17"/>
  <c r="AG80" i="17"/>
  <c r="Z80" i="17"/>
  <c r="AF80" i="17"/>
  <c r="I80" i="17"/>
  <c r="F80" i="17"/>
  <c r="AJ80" i="17"/>
  <c r="M80" i="17"/>
  <c r="J80" i="17"/>
  <c r="O80" i="17"/>
  <c r="Y80" i="17"/>
  <c r="AH80" i="17"/>
  <c r="S80" i="17"/>
  <c r="AC80" i="17"/>
  <c r="G80" i="17"/>
  <c r="P80" i="17"/>
  <c r="E80" i="17"/>
  <c r="R80" i="17"/>
  <c r="T80" i="17"/>
  <c r="Q80" i="17"/>
  <c r="V80" i="17"/>
  <c r="W80" i="17"/>
  <c r="AA80" i="17"/>
  <c r="AE80" i="17"/>
  <c r="H80" i="17"/>
  <c r="K80" i="17"/>
  <c r="AK80" i="17"/>
  <c r="N80" i="17"/>
  <c r="AD80" i="17"/>
  <c r="L80" i="17"/>
  <c r="X80" i="17"/>
  <c r="U80" i="17"/>
  <c r="AF29" i="17"/>
  <c r="I29" i="17"/>
  <c r="E29" i="17"/>
  <c r="AJ29" i="17"/>
  <c r="I29" i="14"/>
  <c r="AA29" i="14"/>
  <c r="AH29" i="14"/>
  <c r="AC29" i="14"/>
  <c r="T29" i="14"/>
  <c r="H82" i="12"/>
  <c r="J82" i="12"/>
  <c r="Y82" i="12"/>
  <c r="S82" i="12"/>
  <c r="AD82" i="12"/>
  <c r="L82" i="12"/>
  <c r="Z82" i="12"/>
  <c r="AC82" i="12"/>
  <c r="W82" i="12"/>
  <c r="P82" i="12"/>
  <c r="I82" i="12"/>
  <c r="K82" i="12"/>
  <c r="T82" i="12"/>
  <c r="M82" i="12"/>
  <c r="O82" i="12"/>
  <c r="AJ82" i="12"/>
  <c r="AK82" i="12"/>
  <c r="F82" i="12"/>
  <c r="AH82" i="12"/>
  <c r="N82" i="12"/>
  <c r="R82" i="12"/>
  <c r="Q82" i="12"/>
  <c r="U82" i="12"/>
  <c r="AG82" i="12"/>
  <c r="AB82" i="12"/>
  <c r="AE82" i="12"/>
  <c r="AA82" i="12"/>
  <c r="AI82" i="12"/>
  <c r="V82" i="12"/>
  <c r="AF82" i="12"/>
  <c r="E82" i="12"/>
  <c r="X82" i="12"/>
  <c r="G82" i="12"/>
  <c r="E62" i="16" a="1"/>
  <c r="Z24" i="15"/>
  <c r="S24" i="15"/>
  <c r="AE24" i="15"/>
  <c r="AD24" i="15"/>
  <c r="P52" i="13"/>
  <c r="M52" i="13"/>
  <c r="J52" i="13"/>
  <c r="K52" i="13"/>
  <c r="T52" i="13"/>
  <c r="Q52" i="13"/>
  <c r="N52" i="13"/>
  <c r="O52" i="13"/>
  <c r="E52" i="13"/>
  <c r="R52" i="13"/>
  <c r="AA52" i="13"/>
  <c r="I52" i="13"/>
  <c r="V52" i="13"/>
  <c r="AE52" i="13"/>
  <c r="AB52" i="13"/>
  <c r="AG52" i="13"/>
  <c r="G52" i="13"/>
  <c r="AF52" i="13"/>
  <c r="AK52" i="13"/>
  <c r="S52" i="13"/>
  <c r="H52" i="13"/>
  <c r="Z52" i="13"/>
  <c r="L52" i="13"/>
  <c r="AD52" i="13"/>
  <c r="X52" i="13"/>
  <c r="AH52" i="13"/>
  <c r="Y52" i="13"/>
  <c r="U52" i="13"/>
  <c r="W52" i="13"/>
  <c r="AC52" i="13"/>
  <c r="F52" i="13"/>
  <c r="AJ52" i="13"/>
  <c r="AI52" i="13"/>
  <c r="L24" i="17"/>
  <c r="AF24" i="17"/>
  <c r="N24" i="17"/>
  <c r="Y24" i="17"/>
  <c r="AJ29" i="11"/>
  <c r="M29" i="11"/>
  <c r="L29" i="11"/>
  <c r="Y29" i="11"/>
  <c r="E87" i="16" a="1"/>
  <c r="Z24" i="12"/>
  <c r="V24" i="12"/>
  <c r="O24" i="12"/>
  <c r="H24" i="12"/>
  <c r="AJ29" i="15"/>
  <c r="AI29" i="15"/>
  <c r="P29" i="15"/>
  <c r="X29" i="15"/>
  <c r="H29" i="15"/>
  <c r="Z24" i="16"/>
  <c r="J24" i="16"/>
  <c r="AH24" i="16"/>
  <c r="AB24" i="16"/>
  <c r="AH29" i="13"/>
  <c r="V29" i="13"/>
  <c r="W29" i="13"/>
  <c r="Y29" i="13"/>
  <c r="E89" i="17" a="1"/>
  <c r="G29" i="16"/>
  <c r="K29" i="16"/>
  <c r="X29" i="16"/>
  <c r="M29" i="16"/>
  <c r="L55" i="16"/>
  <c r="I55" i="16"/>
  <c r="F55" i="16"/>
  <c r="G55" i="16"/>
  <c r="P55" i="16"/>
  <c r="M55" i="16"/>
  <c r="J55" i="16"/>
  <c r="K55" i="16"/>
  <c r="Q55" i="16"/>
  <c r="V55" i="16"/>
  <c r="AE55" i="16"/>
  <c r="H55" i="16"/>
  <c r="U55" i="16"/>
  <c r="Z55" i="16"/>
  <c r="AI55" i="16"/>
  <c r="AF55" i="16"/>
  <c r="AK55" i="16"/>
  <c r="S55" i="16"/>
  <c r="AJ55" i="16"/>
  <c r="N55" i="16"/>
  <c r="W55" i="16"/>
  <c r="T55" i="16"/>
  <c r="AD55" i="16"/>
  <c r="X55" i="16"/>
  <c r="AH55" i="16"/>
  <c r="AB55" i="16"/>
  <c r="O55" i="16"/>
  <c r="AC55" i="16"/>
  <c r="E55" i="16"/>
  <c r="AG55" i="16"/>
  <c r="R55" i="16"/>
  <c r="AA55" i="16"/>
  <c r="Y55" i="16"/>
  <c r="AJ81" i="14"/>
  <c r="AG81" i="14"/>
  <c r="AH81" i="14"/>
  <c r="AI81" i="14"/>
  <c r="H81" i="14"/>
  <c r="E81" i="14"/>
  <c r="AK81" i="14"/>
  <c r="G81" i="14"/>
  <c r="J81" i="14"/>
  <c r="I81" i="14"/>
  <c r="R81" i="14"/>
  <c r="AA81" i="14"/>
  <c r="M81" i="14"/>
  <c r="V81" i="14"/>
  <c r="AE81" i="14"/>
  <c r="X81" i="14"/>
  <c r="AC81" i="14"/>
  <c r="O81" i="14"/>
  <c r="AB81" i="14"/>
  <c r="F81" i="14"/>
  <c r="S81" i="14"/>
  <c r="Q81" i="14"/>
  <c r="U81" i="14"/>
  <c r="Y81" i="14"/>
  <c r="P81" i="14"/>
  <c r="AD81" i="14"/>
  <c r="Z81" i="14"/>
  <c r="K81" i="14"/>
  <c r="W81" i="14"/>
  <c r="T81" i="14"/>
  <c r="AF81" i="14"/>
  <c r="L81" i="14"/>
  <c r="N81" i="14"/>
  <c r="AF82" i="16"/>
  <c r="AC82" i="16"/>
  <c r="Z82" i="16"/>
  <c r="AA82" i="16"/>
  <c r="AJ82" i="16"/>
  <c r="AG82" i="16"/>
  <c r="AD82" i="16"/>
  <c r="AE82" i="16"/>
  <c r="P82" i="16"/>
  <c r="U82" i="16"/>
  <c r="AH82" i="16"/>
  <c r="T82" i="16"/>
  <c r="Y82" i="16"/>
  <c r="G82" i="16"/>
  <c r="I82" i="16"/>
  <c r="N82" i="16"/>
  <c r="W82" i="16"/>
  <c r="H82" i="16"/>
  <c r="M82" i="16"/>
  <c r="R82" i="16"/>
  <c r="AI82" i="16"/>
  <c r="AK82" i="16"/>
  <c r="F82" i="16"/>
  <c r="J82" i="16"/>
  <c r="AB82" i="16"/>
  <c r="O82" i="16"/>
  <c r="X82" i="16"/>
  <c r="E82" i="16"/>
  <c r="V82" i="16"/>
  <c r="Q82" i="16"/>
  <c r="S82" i="16"/>
  <c r="K82" i="16"/>
  <c r="L82" i="16"/>
  <c r="AB81" i="16"/>
  <c r="U81" i="16"/>
  <c r="R81" i="16"/>
  <c r="W81" i="16"/>
  <c r="AF81" i="16"/>
  <c r="Y81" i="16"/>
  <c r="V81" i="16"/>
  <c r="AA81" i="16"/>
  <c r="L81" i="16"/>
  <c r="M81" i="16"/>
  <c r="Z81" i="16"/>
  <c r="P81" i="16"/>
  <c r="Q81" i="16"/>
  <c r="AD81" i="16"/>
  <c r="K81" i="16"/>
  <c r="F81" i="16"/>
  <c r="S81" i="16"/>
  <c r="E81" i="16"/>
  <c r="J81" i="16"/>
  <c r="AE81" i="16"/>
  <c r="T81" i="16"/>
  <c r="AH81" i="16"/>
  <c r="X81" i="16"/>
  <c r="G81" i="16"/>
  <c r="AJ81" i="16"/>
  <c r="O81" i="16"/>
  <c r="AG81" i="16"/>
  <c r="AC81" i="16"/>
  <c r="AK81" i="16"/>
  <c r="AI81" i="16"/>
  <c r="N81" i="16"/>
  <c r="H81" i="16"/>
  <c r="I81" i="16"/>
  <c r="AJ53" i="16"/>
  <c r="AG53" i="16"/>
  <c r="Z53" i="16"/>
  <c r="AE53" i="16"/>
  <c r="H53" i="16"/>
  <c r="E53" i="16"/>
  <c r="AK53" i="16"/>
  <c r="AD53" i="16"/>
  <c r="AI53" i="16"/>
  <c r="I53" i="16"/>
  <c r="J53" i="16"/>
  <c r="W53" i="16"/>
  <c r="M53" i="16"/>
  <c r="N53" i="16"/>
  <c r="AA53" i="16"/>
  <c r="X53" i="16"/>
  <c r="AC53" i="16"/>
  <c r="G53" i="16"/>
  <c r="AB53" i="16"/>
  <c r="K53" i="16"/>
  <c r="O53" i="16"/>
  <c r="L53" i="16"/>
  <c r="R53" i="16"/>
  <c r="P53" i="16"/>
  <c r="V53" i="16"/>
  <c r="T53" i="16"/>
  <c r="AH53" i="16"/>
  <c r="U53" i="16"/>
  <c r="Q53" i="16"/>
  <c r="Y53" i="16"/>
  <c r="S53" i="16"/>
  <c r="F53" i="16"/>
  <c r="AF53" i="16"/>
  <c r="E88" i="12" a="1"/>
  <c r="E88" i="11" a="1"/>
  <c r="T24" i="13"/>
  <c r="AI24" i="13"/>
  <c r="H24" i="13"/>
  <c r="AD24" i="13"/>
  <c r="AJ29" i="12"/>
  <c r="R29" i="12"/>
  <c r="K29" i="12"/>
  <c r="AA29" i="12"/>
  <c r="E86" i="16" a="1"/>
  <c r="E62" i="13" a="1"/>
  <c r="AA24" i="14"/>
  <c r="AE24" i="14"/>
  <c r="O24" i="14"/>
  <c r="X24" i="14"/>
  <c r="P24" i="14"/>
  <c r="T24" i="17"/>
  <c r="X56" i="14"/>
  <c r="E56" i="14"/>
  <c r="AK56" i="14"/>
  <c r="AE56" i="14"/>
  <c r="AB56" i="14"/>
  <c r="I56" i="14"/>
  <c r="N56" i="14"/>
  <c r="AI56" i="14"/>
  <c r="F56" i="14"/>
  <c r="AC56" i="14"/>
  <c r="J56" i="14"/>
  <c r="R56" i="14"/>
  <c r="AG56" i="14"/>
  <c r="V56" i="14"/>
  <c r="T56" i="14"/>
  <c r="Q56" i="14"/>
  <c r="S56" i="14"/>
  <c r="AF56" i="14"/>
  <c r="U56" i="14"/>
  <c r="W56" i="14"/>
  <c r="H56" i="14"/>
  <c r="G56" i="14"/>
  <c r="L56" i="14"/>
  <c r="K56" i="14"/>
  <c r="P56" i="14"/>
  <c r="O56" i="14"/>
  <c r="AH56" i="14"/>
  <c r="AD56" i="14"/>
  <c r="AJ56" i="14"/>
  <c r="M56" i="14"/>
  <c r="Y56" i="14"/>
  <c r="Z56" i="14"/>
  <c r="AA56" i="14"/>
  <c r="M29" i="14"/>
  <c r="AH24" i="15"/>
  <c r="I24" i="17"/>
  <c r="M24" i="11"/>
  <c r="E64" i="12" a="1"/>
  <c r="E24" i="11"/>
  <c r="AC29" i="17"/>
  <c r="G29" i="17"/>
  <c r="AJ24" i="15"/>
  <c r="N29" i="11"/>
  <c r="I24" i="12"/>
  <c r="N24" i="12"/>
  <c r="AC29" i="15"/>
  <c r="AD24" i="16"/>
  <c r="Y29" i="16"/>
  <c r="L53" i="15"/>
  <c r="S53" i="15"/>
  <c r="U53" i="15"/>
  <c r="N53" i="15"/>
  <c r="P53" i="15"/>
  <c r="W53" i="15"/>
  <c r="Y53" i="15"/>
  <c r="R53" i="15"/>
  <c r="T53" i="15"/>
  <c r="E53" i="15"/>
  <c r="F53" i="15"/>
  <c r="X53" i="15"/>
  <c r="I53" i="15"/>
  <c r="J53" i="15"/>
  <c r="G53" i="15"/>
  <c r="AG53" i="15"/>
  <c r="AH53" i="15"/>
  <c r="AA53" i="15"/>
  <c r="AK53" i="15"/>
  <c r="O53" i="15"/>
  <c r="AB53" i="15"/>
  <c r="V53" i="15"/>
  <c r="AF53" i="15"/>
  <c r="Z53" i="15"/>
  <c r="AJ53" i="15"/>
  <c r="AD53" i="15"/>
  <c r="Q53" i="15"/>
  <c r="AI53" i="15"/>
  <c r="H53" i="15"/>
  <c r="AC53" i="15"/>
  <c r="K53" i="15"/>
  <c r="M53" i="15"/>
  <c r="AE53" i="15"/>
  <c r="E92" i="13" a="1"/>
  <c r="AJ51" i="14"/>
  <c r="AG51" i="14"/>
  <c r="AD51" i="14"/>
  <c r="AE51" i="14"/>
  <c r="H51" i="14"/>
  <c r="E51" i="14"/>
  <c r="AK51" i="14"/>
  <c r="AH51" i="14"/>
  <c r="AI51" i="14"/>
  <c r="T51" i="14"/>
  <c r="Y51" i="14"/>
  <c r="G51" i="14"/>
  <c r="X51" i="14"/>
  <c r="AC51" i="14"/>
  <c r="K51" i="14"/>
  <c r="M51" i="14"/>
  <c r="R51" i="14"/>
  <c r="AA51" i="14"/>
  <c r="L51" i="14"/>
  <c r="Q51" i="14"/>
  <c r="V51" i="14"/>
  <c r="AB51" i="14"/>
  <c r="O51" i="14"/>
  <c r="AF51" i="14"/>
  <c r="S51" i="14"/>
  <c r="I51" i="14"/>
  <c r="W51" i="14"/>
  <c r="J51" i="14"/>
  <c r="P51" i="14"/>
  <c r="U51" i="14"/>
  <c r="N51" i="14"/>
  <c r="Z51" i="14"/>
  <c r="F51" i="14"/>
  <c r="O24" i="13"/>
  <c r="AH24" i="13"/>
  <c r="X29" i="12"/>
  <c r="E62" i="12" a="1"/>
  <c r="F24" i="11"/>
  <c r="E91" i="14" a="1"/>
  <c r="H81" i="11"/>
  <c r="E81" i="11"/>
  <c r="AK81" i="11"/>
  <c r="AH81" i="11"/>
  <c r="AI81" i="11"/>
  <c r="T81" i="11"/>
  <c r="U81" i="11"/>
  <c r="V81" i="11"/>
  <c r="AA81" i="11"/>
  <c r="X81" i="11"/>
  <c r="Y81" i="11"/>
  <c r="Z81" i="11"/>
  <c r="AE81" i="11"/>
  <c r="I81" i="11"/>
  <c r="J81" i="11"/>
  <c r="O81" i="11"/>
  <c r="Q81" i="11"/>
  <c r="K81" i="11"/>
  <c r="AC81" i="11"/>
  <c r="S81" i="11"/>
  <c r="L81" i="11"/>
  <c r="AG81" i="11"/>
  <c r="W81" i="11"/>
  <c r="AF81" i="11"/>
  <c r="R81" i="11"/>
  <c r="N81" i="11"/>
  <c r="AD81" i="11"/>
  <c r="P81" i="11"/>
  <c r="G81" i="11"/>
  <c r="AJ81" i="11"/>
  <c r="M81" i="11"/>
  <c r="AB81" i="11"/>
  <c r="F81" i="11"/>
  <c r="X29" i="17"/>
  <c r="E65" i="12" a="1"/>
  <c r="J29" i="14"/>
  <c r="G29" i="14"/>
  <c r="E87" i="11" a="1"/>
  <c r="T24" i="15"/>
  <c r="Q24" i="15"/>
  <c r="W24" i="15"/>
  <c r="AC24" i="15"/>
  <c r="AB79" i="15"/>
  <c r="Y79" i="15"/>
  <c r="V79" i="15"/>
  <c r="W79" i="15"/>
  <c r="AF79" i="15"/>
  <c r="AC79" i="15"/>
  <c r="Z79" i="15"/>
  <c r="AA79" i="15"/>
  <c r="T79" i="15"/>
  <c r="AG79" i="15"/>
  <c r="G79" i="15"/>
  <c r="X79" i="15"/>
  <c r="AK79" i="15"/>
  <c r="K79" i="15"/>
  <c r="H79" i="15"/>
  <c r="M79" i="15"/>
  <c r="R79" i="15"/>
  <c r="AI79" i="15"/>
  <c r="L79" i="15"/>
  <c r="Q79" i="15"/>
  <c r="AD79" i="15"/>
  <c r="AJ79" i="15"/>
  <c r="O79" i="15"/>
  <c r="E79" i="15"/>
  <c r="S79" i="15"/>
  <c r="I79" i="15"/>
  <c r="AE79" i="15"/>
  <c r="J79" i="15"/>
  <c r="F79" i="15"/>
  <c r="N79" i="15"/>
  <c r="AH79" i="15"/>
  <c r="P79" i="15"/>
  <c r="U79" i="15"/>
  <c r="E64" i="17" a="1"/>
  <c r="E87" i="15" a="1"/>
  <c r="AC24" i="17"/>
  <c r="Q24" i="17"/>
  <c r="AG24" i="17"/>
  <c r="K24" i="17"/>
  <c r="L82" i="11"/>
  <c r="I82" i="11"/>
  <c r="F82" i="11"/>
  <c r="G82" i="11"/>
  <c r="E82" i="11"/>
  <c r="J82" i="11"/>
  <c r="O82" i="11"/>
  <c r="H82" i="11"/>
  <c r="M82" i="11"/>
  <c r="N82" i="11"/>
  <c r="S82" i="11"/>
  <c r="AB82" i="11"/>
  <c r="AC82" i="11"/>
  <c r="AD82" i="11"/>
  <c r="AI82" i="11"/>
  <c r="P82" i="11"/>
  <c r="AG82" i="11"/>
  <c r="AA82" i="11"/>
  <c r="T82" i="11"/>
  <c r="AK82" i="11"/>
  <c r="AE82" i="11"/>
  <c r="X82" i="11"/>
  <c r="R82" i="11"/>
  <c r="Q82" i="11"/>
  <c r="AH82" i="11"/>
  <c r="Z82" i="11"/>
  <c r="AF82" i="11"/>
  <c r="K82" i="11"/>
  <c r="W82" i="11"/>
  <c r="U82" i="11"/>
  <c r="Y82" i="11"/>
  <c r="V82" i="11"/>
  <c r="AJ82" i="11"/>
  <c r="AF56" i="11"/>
  <c r="M56" i="11"/>
  <c r="G56" i="11"/>
  <c r="F56" i="11"/>
  <c r="P56" i="11"/>
  <c r="AD56" i="11"/>
  <c r="AK56" i="11"/>
  <c r="AI56" i="11"/>
  <c r="T56" i="11"/>
  <c r="E56" i="11"/>
  <c r="N56" i="11"/>
  <c r="Z56" i="11"/>
  <c r="J56" i="11"/>
  <c r="Y56" i="11"/>
  <c r="W56" i="11"/>
  <c r="H56" i="11"/>
  <c r="R56" i="11"/>
  <c r="AC56" i="11"/>
  <c r="AA56" i="11"/>
  <c r="I56" i="11"/>
  <c r="AH56" i="11"/>
  <c r="Q56" i="11"/>
  <c r="U56" i="11"/>
  <c r="AB56" i="11"/>
  <c r="O56" i="11"/>
  <c r="K56" i="11"/>
  <c r="S56" i="11"/>
  <c r="L56" i="11"/>
  <c r="AE56" i="11"/>
  <c r="AJ56" i="11"/>
  <c r="V56" i="11"/>
  <c r="AG56" i="11"/>
  <c r="X56" i="11"/>
  <c r="AF29" i="11"/>
  <c r="P29" i="11"/>
  <c r="AH29" i="11"/>
  <c r="S29" i="11"/>
  <c r="T56" i="12"/>
  <c r="M56" i="12"/>
  <c r="J56" i="12"/>
  <c r="K56" i="12"/>
  <c r="X56" i="12"/>
  <c r="Q56" i="12"/>
  <c r="N56" i="12"/>
  <c r="O56" i="12"/>
  <c r="E56" i="12"/>
  <c r="R56" i="12"/>
  <c r="AA56" i="12"/>
  <c r="H56" i="12"/>
  <c r="I56" i="12"/>
  <c r="V56" i="12"/>
  <c r="AI56" i="12"/>
  <c r="AF56" i="12"/>
  <c r="AG56" i="12"/>
  <c r="G56" i="12"/>
  <c r="AJ56" i="12"/>
  <c r="AK56" i="12"/>
  <c r="S56" i="12"/>
  <c r="U56" i="12"/>
  <c r="Y56" i="12"/>
  <c r="AC56" i="12"/>
  <c r="P56" i="12"/>
  <c r="AD56" i="12"/>
  <c r="L56" i="12"/>
  <c r="F56" i="12"/>
  <c r="AB56" i="12"/>
  <c r="AE56" i="12"/>
  <c r="AH56" i="12"/>
  <c r="W56" i="12"/>
  <c r="Z56" i="12"/>
  <c r="E62" i="17" a="1"/>
  <c r="H77" i="13"/>
  <c r="V77" i="13"/>
  <c r="I77" i="13"/>
  <c r="F77" i="13"/>
  <c r="AE77" i="13"/>
  <c r="L77" i="13"/>
  <c r="G77" i="13"/>
  <c r="M77" i="13"/>
  <c r="J77" i="13"/>
  <c r="P77" i="13"/>
  <c r="W77" i="13"/>
  <c r="AG77" i="13"/>
  <c r="T77" i="13"/>
  <c r="AA77" i="13"/>
  <c r="AK77" i="13"/>
  <c r="AJ77" i="13"/>
  <c r="U77" i="13"/>
  <c r="AD77" i="13"/>
  <c r="O77" i="13"/>
  <c r="Y77" i="13"/>
  <c r="AH77" i="13"/>
  <c r="AI77" i="13"/>
  <c r="E77" i="13"/>
  <c r="Q77" i="13"/>
  <c r="AB77" i="13"/>
  <c r="R77" i="13"/>
  <c r="X77" i="13"/>
  <c r="AF77" i="13"/>
  <c r="AC77" i="13"/>
  <c r="S77" i="13"/>
  <c r="Z77" i="13"/>
  <c r="K77" i="13"/>
  <c r="N77" i="13"/>
  <c r="AF24" i="12"/>
  <c r="J24" i="12"/>
  <c r="Q24" i="12"/>
  <c r="AD24" i="12"/>
  <c r="N29" i="15"/>
  <c r="E29" i="15"/>
  <c r="S29" i="15"/>
  <c r="I29" i="15"/>
  <c r="E63" i="12" a="1"/>
  <c r="S24" i="16"/>
  <c r="T24" i="16"/>
  <c r="AA24" i="16"/>
  <c r="N24" i="16"/>
  <c r="E29" i="13"/>
  <c r="P29" i="13"/>
  <c r="X29" i="13"/>
  <c r="T29" i="13"/>
  <c r="S29" i="16"/>
  <c r="AD29" i="16"/>
  <c r="I29" i="16"/>
  <c r="O29" i="16"/>
  <c r="E59" i="14" a="1"/>
  <c r="L50" i="12"/>
  <c r="AH50" i="12"/>
  <c r="O50" i="12"/>
  <c r="AC50" i="12"/>
  <c r="Y50" i="12"/>
  <c r="E50" i="12"/>
  <c r="N50" i="12"/>
  <c r="M50" i="12"/>
  <c r="I50" i="12"/>
  <c r="AK50" i="12"/>
  <c r="Q50" i="12"/>
  <c r="W50" i="12"/>
  <c r="T50" i="12"/>
  <c r="G50" i="12"/>
  <c r="AE50" i="12"/>
  <c r="R50" i="12"/>
  <c r="J50" i="12"/>
  <c r="H50" i="12"/>
  <c r="U50" i="12"/>
  <c r="AF50" i="12"/>
  <c r="AD50" i="12"/>
  <c r="V50" i="12"/>
  <c r="AJ50" i="12"/>
  <c r="F50" i="12"/>
  <c r="AI50" i="12"/>
  <c r="S50" i="12"/>
  <c r="AB50" i="12"/>
  <c r="K50" i="12"/>
  <c r="AA50" i="12"/>
  <c r="Z50" i="12"/>
  <c r="P50" i="12"/>
  <c r="AG50" i="12"/>
  <c r="X50" i="12"/>
  <c r="E92" i="11" a="1"/>
  <c r="E61" i="17" a="1"/>
  <c r="E65" i="13" a="1"/>
  <c r="T53" i="11"/>
  <c r="Q53" i="11"/>
  <c r="N53" i="11"/>
  <c r="O53" i="11"/>
  <c r="X53" i="11"/>
  <c r="Y53" i="11"/>
  <c r="Z53" i="11"/>
  <c r="AE53" i="11"/>
  <c r="AB53" i="11"/>
  <c r="AC53" i="11"/>
  <c r="AD53" i="11"/>
  <c r="AI53" i="11"/>
  <c r="H53" i="11"/>
  <c r="I53" i="11"/>
  <c r="J53" i="11"/>
  <c r="S53" i="11"/>
  <c r="L53" i="11"/>
  <c r="M53" i="11"/>
  <c r="R53" i="11"/>
  <c r="W53" i="11"/>
  <c r="AF53" i="11"/>
  <c r="AH53" i="11"/>
  <c r="AJ53" i="11"/>
  <c r="G53" i="11"/>
  <c r="E53" i="11"/>
  <c r="K53" i="11"/>
  <c r="AK53" i="11"/>
  <c r="U53" i="11"/>
  <c r="P53" i="11"/>
  <c r="F53" i="11"/>
  <c r="V53" i="11"/>
  <c r="AG53" i="11"/>
  <c r="AA53" i="11"/>
  <c r="Z24" i="13"/>
  <c r="AF24" i="13"/>
  <c r="Q24" i="13"/>
  <c r="AJ24" i="13"/>
  <c r="AI29" i="12"/>
  <c r="N29" i="12"/>
  <c r="M29" i="12"/>
  <c r="AC29" i="12"/>
  <c r="AB79" i="12"/>
  <c r="Y79" i="12"/>
  <c r="V79" i="12"/>
  <c r="W79" i="12"/>
  <c r="AF79" i="12"/>
  <c r="AC79" i="12"/>
  <c r="Z79" i="12"/>
  <c r="AA79" i="12"/>
  <c r="I79" i="12"/>
  <c r="N79" i="12"/>
  <c r="AE79" i="12"/>
  <c r="H79" i="12"/>
  <c r="M79" i="12"/>
  <c r="R79" i="12"/>
  <c r="AI79" i="12"/>
  <c r="X79" i="12"/>
  <c r="AK79" i="12"/>
  <c r="K79" i="12"/>
  <c r="AJ79" i="12"/>
  <c r="F79" i="12"/>
  <c r="O79" i="12"/>
  <c r="L79" i="12"/>
  <c r="AD79" i="12"/>
  <c r="P79" i="12"/>
  <c r="AH79" i="12"/>
  <c r="T79" i="12"/>
  <c r="G79" i="12"/>
  <c r="U79" i="12"/>
  <c r="Q79" i="12"/>
  <c r="AG79" i="12"/>
  <c r="S79" i="12"/>
  <c r="J79" i="12"/>
  <c r="E79" i="12"/>
  <c r="H83" i="17"/>
  <c r="E83" i="17"/>
  <c r="AK83" i="17"/>
  <c r="AH83" i="17"/>
  <c r="AI83" i="17"/>
  <c r="X83" i="17"/>
  <c r="Y83" i="17"/>
  <c r="Z83" i="17"/>
  <c r="AE83" i="17"/>
  <c r="AB83" i="17"/>
  <c r="AC83" i="17"/>
  <c r="AD83" i="17"/>
  <c r="I83" i="17"/>
  <c r="R83" i="17"/>
  <c r="M83" i="17"/>
  <c r="V83" i="17"/>
  <c r="T83" i="17"/>
  <c r="F83" i="17"/>
  <c r="S83" i="17"/>
  <c r="AF83" i="17"/>
  <c r="J83" i="17"/>
  <c r="W83" i="17"/>
  <c r="Q83" i="17"/>
  <c r="U83" i="17"/>
  <c r="AG83" i="17"/>
  <c r="L83" i="17"/>
  <c r="K83" i="17"/>
  <c r="G83" i="17"/>
  <c r="O83" i="17"/>
  <c r="AA83" i="17"/>
  <c r="P83" i="17"/>
  <c r="AJ83" i="17"/>
  <c r="N83" i="17"/>
  <c r="AI24" i="14"/>
  <c r="K24" i="14"/>
  <c r="F24" i="14"/>
  <c r="G24" i="14"/>
  <c r="E88" i="15" a="1"/>
  <c r="E86" i="13" a="1"/>
  <c r="E87" i="12" a="1"/>
  <c r="E64" i="15" a="1"/>
  <c r="J24" i="15"/>
  <c r="K24" i="11"/>
  <c r="T24" i="11"/>
  <c r="K29" i="17"/>
  <c r="L29" i="14"/>
  <c r="E92" i="12" a="1"/>
  <c r="E91" i="17" a="1"/>
  <c r="R24" i="15"/>
  <c r="L51" i="12"/>
  <c r="U51" i="12"/>
  <c r="Z51" i="12"/>
  <c r="K51" i="12"/>
  <c r="P51" i="12"/>
  <c r="AC51" i="12"/>
  <c r="AD51" i="12"/>
  <c r="O51" i="12"/>
  <c r="AG51" i="12"/>
  <c r="Q51" i="12"/>
  <c r="AI51" i="12"/>
  <c r="H51" i="12"/>
  <c r="F51" i="12"/>
  <c r="Y51" i="12"/>
  <c r="M51" i="12"/>
  <c r="AF51" i="12"/>
  <c r="V51" i="12"/>
  <c r="W51" i="12"/>
  <c r="AJ51" i="12"/>
  <c r="AH51" i="12"/>
  <c r="AA51" i="12"/>
  <c r="J51" i="12"/>
  <c r="N51" i="12"/>
  <c r="R51" i="12"/>
  <c r="X51" i="12"/>
  <c r="G51" i="12"/>
  <c r="T51" i="12"/>
  <c r="I51" i="12"/>
  <c r="AB51" i="12"/>
  <c r="E51" i="12"/>
  <c r="S51" i="12"/>
  <c r="AE51" i="12"/>
  <c r="AK51" i="12"/>
  <c r="Z24" i="17"/>
  <c r="AC29" i="11"/>
  <c r="H54" i="17"/>
  <c r="E54" i="17"/>
  <c r="AK54" i="17"/>
  <c r="AH54" i="17"/>
  <c r="AI54" i="17"/>
  <c r="AF54" i="17"/>
  <c r="AG54" i="17"/>
  <c r="G54" i="17"/>
  <c r="AJ54" i="17"/>
  <c r="F54" i="17"/>
  <c r="K54" i="17"/>
  <c r="P54" i="17"/>
  <c r="Y54" i="17"/>
  <c r="O54" i="17"/>
  <c r="T54" i="17"/>
  <c r="AC54" i="17"/>
  <c r="S54" i="17"/>
  <c r="M54" i="17"/>
  <c r="V54" i="17"/>
  <c r="Q54" i="17"/>
  <c r="Z54" i="17"/>
  <c r="J54" i="17"/>
  <c r="N54" i="17"/>
  <c r="R54" i="17"/>
  <c r="AB54" i="17"/>
  <c r="AA54" i="17"/>
  <c r="X54" i="17"/>
  <c r="AD54" i="17"/>
  <c r="I54" i="17"/>
  <c r="U54" i="17"/>
  <c r="AE54" i="17"/>
  <c r="L54" i="17"/>
  <c r="W54" i="17"/>
  <c r="AB82" i="13"/>
  <c r="Y82" i="13"/>
  <c r="R82" i="13"/>
  <c r="W82" i="13"/>
  <c r="AF82" i="13"/>
  <c r="AC82" i="13"/>
  <c r="V82" i="13"/>
  <c r="AA82" i="13"/>
  <c r="AJ82" i="13"/>
  <c r="K82" i="13"/>
  <c r="O82" i="13"/>
  <c r="E82" i="13"/>
  <c r="F82" i="13"/>
  <c r="S82" i="13"/>
  <c r="P82" i="13"/>
  <c r="U82" i="13"/>
  <c r="AD82" i="13"/>
  <c r="T82" i="13"/>
  <c r="AG82" i="13"/>
  <c r="AH82" i="13"/>
  <c r="I82" i="13"/>
  <c r="AE82" i="13"/>
  <c r="M82" i="13"/>
  <c r="AI82" i="13"/>
  <c r="Q82" i="13"/>
  <c r="H82" i="13"/>
  <c r="N82" i="13"/>
  <c r="AK82" i="13"/>
  <c r="L82" i="13"/>
  <c r="X82" i="13"/>
  <c r="Z82" i="13"/>
  <c r="G82" i="13"/>
  <c r="J82" i="13"/>
  <c r="K24" i="12"/>
  <c r="U24" i="12"/>
  <c r="T79" i="16"/>
  <c r="Q79" i="16"/>
  <c r="N79" i="16"/>
  <c r="O79" i="16"/>
  <c r="X79" i="16"/>
  <c r="U79" i="16"/>
  <c r="R79" i="16"/>
  <c r="S79" i="16"/>
  <c r="I79" i="16"/>
  <c r="V79" i="16"/>
  <c r="AE79" i="16"/>
  <c r="H79" i="16"/>
  <c r="M79" i="16"/>
  <c r="Z79" i="16"/>
  <c r="AI79" i="16"/>
  <c r="AF79" i="16"/>
  <c r="AK79" i="16"/>
  <c r="K79" i="16"/>
  <c r="AJ79" i="16"/>
  <c r="F79" i="16"/>
  <c r="W79" i="16"/>
  <c r="L79" i="16"/>
  <c r="AD79" i="16"/>
  <c r="P79" i="16"/>
  <c r="AH79" i="16"/>
  <c r="AB79" i="16"/>
  <c r="G79" i="16"/>
  <c r="AC79" i="16"/>
  <c r="E79" i="16"/>
  <c r="AG79" i="16"/>
  <c r="J79" i="16"/>
  <c r="AA79" i="16"/>
  <c r="Y79" i="16"/>
  <c r="T29" i="15"/>
  <c r="Y29" i="15"/>
  <c r="M24" i="16"/>
  <c r="Q24" i="16"/>
  <c r="Z29" i="13"/>
  <c r="AA29" i="13"/>
  <c r="U29" i="13"/>
  <c r="U29" i="16"/>
  <c r="AE29" i="16"/>
  <c r="E86" i="14" a="1"/>
  <c r="E61" i="12" a="1"/>
  <c r="E91" i="11" a="1"/>
  <c r="AF80" i="14"/>
  <c r="AC80" i="14"/>
  <c r="Z80" i="14"/>
  <c r="AA80" i="14"/>
  <c r="AJ80" i="14"/>
  <c r="AG80" i="14"/>
  <c r="AD80" i="14"/>
  <c r="AE80" i="14"/>
  <c r="E80" i="14"/>
  <c r="J80" i="14"/>
  <c r="S80" i="14"/>
  <c r="I80" i="14"/>
  <c r="N80" i="14"/>
  <c r="W80" i="14"/>
  <c r="T80" i="14"/>
  <c r="Y80" i="14"/>
  <c r="G80" i="14"/>
  <c r="X80" i="14"/>
  <c r="AK80" i="14"/>
  <c r="K80" i="14"/>
  <c r="H80" i="14"/>
  <c r="R80" i="14"/>
  <c r="L80" i="14"/>
  <c r="V80" i="14"/>
  <c r="P80" i="14"/>
  <c r="AH80" i="14"/>
  <c r="Q80" i="14"/>
  <c r="AI80" i="14"/>
  <c r="AB80" i="14"/>
  <c r="U80" i="14"/>
  <c r="F80" i="14"/>
  <c r="O80" i="14"/>
  <c r="M80" i="14"/>
  <c r="AJ80" i="11"/>
  <c r="AG80" i="11"/>
  <c r="AD80" i="11"/>
  <c r="AE80" i="11"/>
  <c r="AF80" i="11"/>
  <c r="AK80" i="11"/>
  <c r="G80" i="11"/>
  <c r="E80" i="11"/>
  <c r="F80" i="11"/>
  <c r="K80" i="11"/>
  <c r="T80" i="11"/>
  <c r="U80" i="11"/>
  <c r="V80" i="11"/>
  <c r="AA80" i="11"/>
  <c r="I80" i="11"/>
  <c r="Z80" i="11"/>
  <c r="M80" i="11"/>
  <c r="AH80" i="11"/>
  <c r="Q80" i="11"/>
  <c r="O80" i="11"/>
  <c r="P80" i="11"/>
  <c r="J80" i="11"/>
  <c r="AI80" i="11"/>
  <c r="AC80" i="11"/>
  <c r="N80" i="11"/>
  <c r="H80" i="11"/>
  <c r="S80" i="11"/>
  <c r="R80" i="11"/>
  <c r="X80" i="11"/>
  <c r="AB80" i="11"/>
  <c r="Y80" i="11"/>
  <c r="L80" i="11"/>
  <c r="W80" i="11"/>
  <c r="P24" i="13"/>
  <c r="K24" i="13"/>
  <c r="X24" i="13"/>
  <c r="AH29" i="12"/>
  <c r="I29" i="12"/>
  <c r="S24" i="14"/>
  <c r="E87" i="14" a="1"/>
  <c r="E65" i="16" a="1"/>
  <c r="AH24" i="11"/>
  <c r="H82" i="15"/>
  <c r="AE82" i="15"/>
  <c r="T82" i="15"/>
  <c r="P82" i="15"/>
  <c r="L82" i="15"/>
  <c r="X82" i="15"/>
  <c r="AG82" i="15"/>
  <c r="AA82" i="15"/>
  <c r="W82" i="15"/>
  <c r="AI82" i="15"/>
  <c r="AJ82" i="15"/>
  <c r="G82" i="15"/>
  <c r="R82" i="15"/>
  <c r="N82" i="15"/>
  <c r="V82" i="15"/>
  <c r="AK82" i="15"/>
  <c r="O82" i="15"/>
  <c r="AC82" i="15"/>
  <c r="AB82" i="15"/>
  <c r="Q82" i="15"/>
  <c r="M82" i="15"/>
  <c r="S82" i="15"/>
  <c r="F82" i="15"/>
  <c r="Y82" i="15"/>
  <c r="I82" i="15"/>
  <c r="Z82" i="15"/>
  <c r="E82" i="15"/>
  <c r="U82" i="15"/>
  <c r="AD82" i="15"/>
  <c r="J82" i="15"/>
  <c r="AF82" i="15"/>
  <c r="K82" i="15"/>
  <c r="AH82" i="15"/>
  <c r="Z24" i="11"/>
  <c r="I24" i="11"/>
  <c r="U24" i="11"/>
  <c r="P52" i="11"/>
  <c r="M52" i="11"/>
  <c r="J52" i="11"/>
  <c r="K52" i="11"/>
  <c r="AJ52" i="11"/>
  <c r="AK52" i="11"/>
  <c r="G52" i="11"/>
  <c r="E52" i="11"/>
  <c r="F52" i="11"/>
  <c r="O52" i="11"/>
  <c r="X52" i="11"/>
  <c r="Y52" i="11"/>
  <c r="Z52" i="11"/>
  <c r="AE52" i="11"/>
  <c r="AB52" i="11"/>
  <c r="AC52" i="11"/>
  <c r="AD52" i="11"/>
  <c r="AI52" i="11"/>
  <c r="I52" i="11"/>
  <c r="S52" i="11"/>
  <c r="Q52" i="11"/>
  <c r="W52" i="11"/>
  <c r="U52" i="11"/>
  <c r="AA52" i="11"/>
  <c r="L52" i="11"/>
  <c r="R52" i="11"/>
  <c r="H52" i="11"/>
  <c r="T52" i="11"/>
  <c r="AF52" i="11"/>
  <c r="AG52" i="11"/>
  <c r="V52" i="11"/>
  <c r="AH52" i="11"/>
  <c r="N52" i="11"/>
  <c r="T29" i="17"/>
  <c r="AD29" i="17"/>
  <c r="AB78" i="11"/>
  <c r="Y78" i="11"/>
  <c r="V78" i="11"/>
  <c r="W78" i="11"/>
  <c r="X78" i="11"/>
  <c r="AC78" i="11"/>
  <c r="AD78" i="11"/>
  <c r="AI78" i="11"/>
  <c r="AF78" i="11"/>
  <c r="AG78" i="11"/>
  <c r="AH78" i="11"/>
  <c r="L78" i="11"/>
  <c r="M78" i="11"/>
  <c r="N78" i="11"/>
  <c r="S78" i="11"/>
  <c r="H78" i="11"/>
  <c r="AK78" i="11"/>
  <c r="AA78" i="11"/>
  <c r="P78" i="11"/>
  <c r="F78" i="11"/>
  <c r="AE78" i="11"/>
  <c r="T78" i="11"/>
  <c r="J78" i="11"/>
  <c r="I78" i="11"/>
  <c r="G78" i="11"/>
  <c r="E78" i="11"/>
  <c r="Q78" i="11"/>
  <c r="R78" i="11"/>
  <c r="U78" i="11"/>
  <c r="K78" i="11"/>
  <c r="O78" i="11"/>
  <c r="Z78" i="11"/>
  <c r="AJ78" i="11"/>
  <c r="P29" i="14"/>
  <c r="N29" i="14"/>
  <c r="AI29" i="14"/>
  <c r="AK29" i="14"/>
  <c r="X79" i="17"/>
  <c r="U79" i="17"/>
  <c r="R79" i="17"/>
  <c r="S79" i="17"/>
  <c r="H79" i="17"/>
  <c r="I79" i="17"/>
  <c r="J79" i="17"/>
  <c r="O79" i="17"/>
  <c r="L79" i="17"/>
  <c r="M79" i="17"/>
  <c r="N79" i="17"/>
  <c r="W79" i="17"/>
  <c r="Q79" i="17"/>
  <c r="AD79" i="17"/>
  <c r="Y79" i="17"/>
  <c r="AH79" i="17"/>
  <c r="AF79" i="17"/>
  <c r="F79" i="17"/>
  <c r="AE79" i="17"/>
  <c r="AJ79" i="17"/>
  <c r="V79" i="17"/>
  <c r="AI79" i="17"/>
  <c r="P79" i="17"/>
  <c r="G79" i="17"/>
  <c r="T79" i="17"/>
  <c r="K79" i="17"/>
  <c r="AB79" i="17"/>
  <c r="AA79" i="17"/>
  <c r="AG79" i="17"/>
  <c r="E79" i="17"/>
  <c r="AK79" i="17"/>
  <c r="Z79" i="17"/>
  <c r="AC79" i="17"/>
  <c r="L78" i="13"/>
  <c r="I78" i="13"/>
  <c r="G78" i="13"/>
  <c r="J78" i="13"/>
  <c r="P78" i="13"/>
  <c r="M78" i="13"/>
  <c r="O78" i="13"/>
  <c r="N78" i="13"/>
  <c r="T78" i="13"/>
  <c r="Y78" i="13"/>
  <c r="AI78" i="13"/>
  <c r="X78" i="13"/>
  <c r="AC78" i="13"/>
  <c r="F78" i="13"/>
  <c r="E78" i="13"/>
  <c r="W78" i="13"/>
  <c r="AD78" i="13"/>
  <c r="Q78" i="13"/>
  <c r="AA78" i="13"/>
  <c r="AH78" i="13"/>
  <c r="AB78" i="13"/>
  <c r="R78" i="13"/>
  <c r="AF78" i="13"/>
  <c r="V78" i="13"/>
  <c r="AJ78" i="13"/>
  <c r="Z78" i="13"/>
  <c r="AK78" i="13"/>
  <c r="U78" i="13"/>
  <c r="H78" i="13"/>
  <c r="S78" i="13"/>
  <c r="AE78" i="13"/>
  <c r="AG78" i="13"/>
  <c r="K78" i="13"/>
  <c r="E65" i="17" a="1"/>
  <c r="AB24" i="15"/>
  <c r="AI24" i="15"/>
  <c r="F24" i="15"/>
  <c r="E90" i="17" a="1"/>
  <c r="E61" i="15" a="1"/>
  <c r="E62" i="14" a="1"/>
  <c r="E60" i="11" a="1"/>
  <c r="U24" i="17"/>
  <c r="AH24" i="17"/>
  <c r="G24" i="17"/>
  <c r="E24" i="17"/>
  <c r="AB24" i="17"/>
  <c r="E59" i="12" a="1"/>
  <c r="E63" i="11" a="1"/>
  <c r="P54" i="14"/>
  <c r="Z54" i="14"/>
  <c r="AC54" i="14"/>
  <c r="AA54" i="14"/>
  <c r="T54" i="14"/>
  <c r="AD54" i="14"/>
  <c r="AG54" i="14"/>
  <c r="AE54" i="14"/>
  <c r="AF54" i="14"/>
  <c r="U54" i="14"/>
  <c r="AI54" i="14"/>
  <c r="AJ54" i="14"/>
  <c r="Y54" i="14"/>
  <c r="J54" i="14"/>
  <c r="L54" i="14"/>
  <c r="I54" i="14"/>
  <c r="O54" i="14"/>
  <c r="X54" i="14"/>
  <c r="M54" i="14"/>
  <c r="S54" i="14"/>
  <c r="AK54" i="14"/>
  <c r="G54" i="14"/>
  <c r="H54" i="14"/>
  <c r="K54" i="14"/>
  <c r="N54" i="14"/>
  <c r="V54" i="14"/>
  <c r="F54" i="14"/>
  <c r="W54" i="14"/>
  <c r="E54" i="14"/>
  <c r="Q54" i="14"/>
  <c r="AH54" i="14"/>
  <c r="AB54" i="14"/>
  <c r="R54" i="14"/>
  <c r="J29" i="11"/>
  <c r="AI29" i="11"/>
  <c r="AB29" i="11"/>
  <c r="E92" i="14" a="1"/>
  <c r="E89" i="13" a="1"/>
  <c r="AB24" i="12"/>
  <c r="AE24" i="12"/>
  <c r="J29" i="15"/>
  <c r="AE29" i="15"/>
  <c r="AB29" i="15"/>
  <c r="E60" i="16" a="1"/>
  <c r="AI24" i="16"/>
  <c r="G24" i="16"/>
  <c r="AF24" i="16"/>
  <c r="S29" i="13"/>
  <c r="N29" i="13"/>
  <c r="H29" i="13"/>
  <c r="J29" i="13"/>
  <c r="E65" i="15" a="1"/>
  <c r="P29" i="16"/>
  <c r="Z29" i="16"/>
  <c r="L29" i="16"/>
  <c r="P79" i="13"/>
  <c r="M79" i="13"/>
  <c r="F79" i="13"/>
  <c r="G79" i="13"/>
  <c r="T79" i="13"/>
  <c r="Q79" i="13"/>
  <c r="J79" i="13"/>
  <c r="O79" i="13"/>
  <c r="X79" i="13"/>
  <c r="AC79" i="13"/>
  <c r="AD79" i="13"/>
  <c r="AB79" i="13"/>
  <c r="AG79" i="13"/>
  <c r="AH79" i="13"/>
  <c r="I79" i="13"/>
  <c r="R79" i="13"/>
  <c r="AE79" i="13"/>
  <c r="H79" i="13"/>
  <c r="U79" i="13"/>
  <c r="V79" i="13"/>
  <c r="AI79" i="13"/>
  <c r="AK79" i="13"/>
  <c r="K79" i="13"/>
  <c r="N79" i="13"/>
  <c r="AJ79" i="13"/>
  <c r="W79" i="13"/>
  <c r="S79" i="13"/>
  <c r="L79" i="13"/>
  <c r="AA79" i="13"/>
  <c r="E79" i="13"/>
  <c r="Y79" i="13"/>
  <c r="AF79" i="13"/>
  <c r="Z79" i="13"/>
  <c r="E60" i="12" a="1"/>
  <c r="H50" i="11"/>
  <c r="E50" i="11"/>
  <c r="AD50" i="11"/>
  <c r="O50" i="11"/>
  <c r="AK50" i="11"/>
  <c r="AB50" i="11"/>
  <c r="V50" i="11"/>
  <c r="K50" i="11"/>
  <c r="AF50" i="11"/>
  <c r="Z50" i="11"/>
  <c r="S50" i="11"/>
  <c r="P50" i="11"/>
  <c r="J50" i="11"/>
  <c r="AC50" i="11"/>
  <c r="AI50" i="11"/>
  <c r="T50" i="11"/>
  <c r="N50" i="11"/>
  <c r="AG50" i="11"/>
  <c r="M50" i="11"/>
  <c r="AH50" i="11"/>
  <c r="I50" i="11"/>
  <c r="L50" i="11"/>
  <c r="Q50" i="11"/>
  <c r="U50" i="11"/>
  <c r="AA50" i="11"/>
  <c r="AJ50" i="11"/>
  <c r="F50" i="11"/>
  <c r="G50" i="11"/>
  <c r="R50" i="11"/>
  <c r="AE50" i="11"/>
  <c r="Y50" i="11"/>
  <c r="W50" i="11"/>
  <c r="X50" i="11"/>
  <c r="X81" i="13"/>
  <c r="U81" i="13"/>
  <c r="R81" i="13"/>
  <c r="S81" i="13"/>
  <c r="AB81" i="13"/>
  <c r="Y81" i="13"/>
  <c r="V81" i="13"/>
  <c r="W81" i="13"/>
  <c r="AF81" i="13"/>
  <c r="AK81" i="13"/>
  <c r="K81" i="13"/>
  <c r="AJ81" i="13"/>
  <c r="F81" i="13"/>
  <c r="O81" i="13"/>
  <c r="L81" i="13"/>
  <c r="Q81" i="13"/>
  <c r="AD81" i="13"/>
  <c r="P81" i="13"/>
  <c r="AC81" i="13"/>
  <c r="AH81" i="13"/>
  <c r="J81" i="13"/>
  <c r="N81" i="13"/>
  <c r="H81" i="13"/>
  <c r="Z81" i="13"/>
  <c r="I81" i="13"/>
  <c r="AE81" i="13"/>
  <c r="E81" i="13"/>
  <c r="G81" i="13"/>
  <c r="M81" i="13"/>
  <c r="AG81" i="13"/>
  <c r="AI81" i="13"/>
  <c r="T81" i="13"/>
  <c r="AA81" i="13"/>
  <c r="N24" i="13"/>
  <c r="AG24" i="13"/>
  <c r="H29" i="12"/>
  <c r="J29" i="12"/>
  <c r="Z29" i="12"/>
  <c r="AB55" i="13"/>
  <c r="Y55" i="13"/>
  <c r="V55" i="13"/>
  <c r="W55" i="13"/>
  <c r="AF55" i="13"/>
  <c r="AC55" i="13"/>
  <c r="Z55" i="13"/>
  <c r="AA55" i="13"/>
  <c r="L55" i="13"/>
  <c r="Q55" i="13"/>
  <c r="AD55" i="13"/>
  <c r="P55" i="13"/>
  <c r="U55" i="13"/>
  <c r="AH55" i="13"/>
  <c r="E55" i="13"/>
  <c r="J55" i="13"/>
  <c r="S55" i="13"/>
  <c r="I55" i="13"/>
  <c r="N55" i="13"/>
  <c r="AE55" i="13"/>
  <c r="AG55" i="13"/>
  <c r="AK55" i="13"/>
  <c r="F55" i="13"/>
  <c r="X55" i="13"/>
  <c r="K55" i="13"/>
  <c r="G55" i="13"/>
  <c r="H55" i="13"/>
  <c r="O55" i="13"/>
  <c r="AI55" i="13"/>
  <c r="AJ55" i="13"/>
  <c r="M55" i="13"/>
  <c r="T55" i="13"/>
  <c r="R55" i="13"/>
  <c r="AB24" i="14"/>
  <c r="N24" i="14"/>
  <c r="H24" i="14"/>
  <c r="Z24" i="14"/>
  <c r="E89" i="16" a="1"/>
  <c r="P24" i="11"/>
  <c r="H24" i="11"/>
  <c r="X24" i="11"/>
  <c r="E92" i="16" a="1"/>
  <c r="AK29" i="17"/>
  <c r="AI29" i="17"/>
  <c r="M29" i="17"/>
  <c r="E91" i="13" a="1"/>
  <c r="X50" i="16"/>
  <c r="U50" i="16"/>
  <c r="R50" i="16"/>
  <c r="S50" i="16"/>
  <c r="AB50" i="16"/>
  <c r="Y50" i="16"/>
  <c r="V50" i="16"/>
  <c r="W50" i="16"/>
  <c r="AF50" i="16"/>
  <c r="AK50" i="16"/>
  <c r="K50" i="16"/>
  <c r="AJ50" i="16"/>
  <c r="F50" i="16"/>
  <c r="O50" i="16"/>
  <c r="L50" i="16"/>
  <c r="Q50" i="16"/>
  <c r="AD50" i="16"/>
  <c r="P50" i="16"/>
  <c r="AC50" i="16"/>
  <c r="AH50" i="16"/>
  <c r="E50" i="16"/>
  <c r="AA50" i="16"/>
  <c r="I50" i="16"/>
  <c r="AE50" i="16"/>
  <c r="M50" i="16"/>
  <c r="AI50" i="16"/>
  <c r="N50" i="16"/>
  <c r="H50" i="16"/>
  <c r="AG50" i="16"/>
  <c r="T50" i="16"/>
  <c r="Z50" i="16"/>
  <c r="G50" i="16"/>
  <c r="J50" i="16"/>
  <c r="V29" i="14"/>
  <c r="X29" i="14"/>
  <c r="X54" i="11"/>
  <c r="N54" i="11"/>
  <c r="AC54" i="11"/>
  <c r="AE54" i="11"/>
  <c r="H54" i="11"/>
  <c r="U54" i="11"/>
  <c r="M54" i="11"/>
  <c r="AA54" i="11"/>
  <c r="L54" i="11"/>
  <c r="F54" i="11"/>
  <c r="Q54" i="11"/>
  <c r="AI54" i="11"/>
  <c r="AF54" i="11"/>
  <c r="Z54" i="11"/>
  <c r="O54" i="11"/>
  <c r="AJ54" i="11"/>
  <c r="AD54" i="11"/>
  <c r="S54" i="11"/>
  <c r="P54" i="11"/>
  <c r="AG54" i="11"/>
  <c r="T54" i="11"/>
  <c r="G54" i="11"/>
  <c r="AB54" i="11"/>
  <c r="K54" i="11"/>
  <c r="R54" i="11"/>
  <c r="Y54" i="11"/>
  <c r="I54" i="11"/>
  <c r="AK54" i="11"/>
  <c r="E54" i="11"/>
  <c r="V54" i="11"/>
  <c r="AH54" i="11"/>
  <c r="J54" i="11"/>
  <c r="W54" i="11"/>
  <c r="V24" i="11"/>
  <c r="L24" i="11"/>
  <c r="AE24" i="11"/>
  <c r="O24" i="11"/>
  <c r="H52" i="14"/>
  <c r="K52" i="14"/>
  <c r="AG52" i="14"/>
  <c r="AD52" i="14"/>
  <c r="AI52" i="14"/>
  <c r="L52" i="14"/>
  <c r="E52" i="14"/>
  <c r="AK52" i="14"/>
  <c r="AH52" i="14"/>
  <c r="X52" i="14"/>
  <c r="Y52" i="14"/>
  <c r="G52" i="14"/>
  <c r="AB52" i="14"/>
  <c r="AC52" i="14"/>
  <c r="O52" i="14"/>
  <c r="M52" i="14"/>
  <c r="R52" i="14"/>
  <c r="AE52" i="14"/>
  <c r="P52" i="14"/>
  <c r="Q52" i="14"/>
  <c r="V52" i="14"/>
  <c r="F52" i="14"/>
  <c r="J52" i="14"/>
  <c r="N52" i="14"/>
  <c r="AJ52" i="14"/>
  <c r="W52" i="14"/>
  <c r="S52" i="14"/>
  <c r="T52" i="14"/>
  <c r="AA52" i="14"/>
  <c r="I52" i="14"/>
  <c r="U52" i="14"/>
  <c r="AF52" i="14"/>
  <c r="Z52" i="14"/>
  <c r="R29" i="17"/>
  <c r="AB29" i="17"/>
  <c r="Y29" i="17"/>
  <c r="O29" i="17"/>
  <c r="AJ29" i="14"/>
  <c r="H29" i="14"/>
  <c r="O29" i="14"/>
  <c r="F29" i="14"/>
  <c r="E63" i="16" a="1"/>
  <c r="E89" i="11" a="1"/>
  <c r="E63" i="14" a="1"/>
  <c r="N24" i="15"/>
  <c r="I24" i="15"/>
  <c r="G24" i="15"/>
  <c r="X24" i="15"/>
  <c r="E60" i="15" a="1"/>
  <c r="E63" i="15" a="1"/>
  <c r="E60" i="17" a="1"/>
  <c r="T77" i="14"/>
  <c r="AA77" i="14"/>
  <c r="AC77" i="14"/>
  <c r="Z77" i="14"/>
  <c r="X77" i="14"/>
  <c r="AI77" i="14"/>
  <c r="AG77" i="14"/>
  <c r="AH77" i="14"/>
  <c r="AB77" i="14"/>
  <c r="M77" i="14"/>
  <c r="R77" i="14"/>
  <c r="AF77" i="14"/>
  <c r="Q77" i="14"/>
  <c r="V77" i="14"/>
  <c r="H77" i="14"/>
  <c r="S77" i="14"/>
  <c r="F77" i="14"/>
  <c r="AE77" i="14"/>
  <c r="L77" i="14"/>
  <c r="E77" i="14"/>
  <c r="J77" i="14"/>
  <c r="AJ77" i="14"/>
  <c r="K77" i="14"/>
  <c r="AD77" i="14"/>
  <c r="O77" i="14"/>
  <c r="G77" i="14"/>
  <c r="W77" i="14"/>
  <c r="Y77" i="14"/>
  <c r="U77" i="14"/>
  <c r="AK77" i="14"/>
  <c r="N77" i="14"/>
  <c r="P77" i="14"/>
  <c r="I77" i="14"/>
  <c r="AD24" i="17"/>
  <c r="S24" i="17"/>
  <c r="X24" i="17"/>
  <c r="J24" i="17"/>
  <c r="L54" i="12"/>
  <c r="I54" i="12"/>
  <c r="F54" i="12"/>
  <c r="G54" i="12"/>
  <c r="P54" i="12"/>
  <c r="M54" i="12"/>
  <c r="J54" i="12"/>
  <c r="K54" i="12"/>
  <c r="AJ54" i="12"/>
  <c r="N54" i="12"/>
  <c r="W54" i="12"/>
  <c r="E54" i="12"/>
  <c r="R54" i="12"/>
  <c r="AA54" i="12"/>
  <c r="X54" i="12"/>
  <c r="AC54" i="12"/>
  <c r="AH54" i="12"/>
  <c r="AB54" i="12"/>
  <c r="AG54" i="12"/>
  <c r="O54" i="12"/>
  <c r="Q54" i="12"/>
  <c r="AE54" i="12"/>
  <c r="U54" i="12"/>
  <c r="AI54" i="12"/>
  <c r="Y54" i="12"/>
  <c r="H54" i="12"/>
  <c r="Z54" i="12"/>
  <c r="V54" i="12"/>
  <c r="AD54" i="12"/>
  <c r="S54" i="12"/>
  <c r="T54" i="12"/>
  <c r="AF54" i="12"/>
  <c r="AK54" i="12"/>
  <c r="AF81" i="17"/>
  <c r="Y81" i="17"/>
  <c r="AD81" i="17"/>
  <c r="AE81" i="17"/>
  <c r="P81" i="17"/>
  <c r="M81" i="17"/>
  <c r="V81" i="17"/>
  <c r="AA81" i="17"/>
  <c r="T81" i="17"/>
  <c r="Q81" i="17"/>
  <c r="Z81" i="17"/>
  <c r="AI81" i="17"/>
  <c r="X81" i="17"/>
  <c r="AG81" i="17"/>
  <c r="S81" i="17"/>
  <c r="AB81" i="17"/>
  <c r="AK81" i="17"/>
  <c r="W81" i="17"/>
  <c r="I81" i="17"/>
  <c r="G81" i="17"/>
  <c r="H81" i="17"/>
  <c r="U81" i="17"/>
  <c r="K81" i="17"/>
  <c r="F81" i="17"/>
  <c r="R81" i="17"/>
  <c r="AH81" i="17"/>
  <c r="J81" i="17"/>
  <c r="AJ81" i="17"/>
  <c r="E81" i="17"/>
  <c r="O81" i="17"/>
  <c r="AC81" i="17"/>
  <c r="L81" i="17"/>
  <c r="N81" i="17"/>
  <c r="T29" i="11"/>
  <c r="AE29" i="11"/>
  <c r="AK29" i="11"/>
  <c r="R29" i="11"/>
  <c r="E59" i="15" a="1"/>
  <c r="L24" i="12"/>
  <c r="P24" i="12"/>
  <c r="T24" i="12"/>
  <c r="AG24" i="12"/>
  <c r="AH29" i="15"/>
  <c r="L29" i="15"/>
  <c r="AF29" i="15"/>
  <c r="M29" i="15"/>
  <c r="V24" i="16"/>
  <c r="AJ24" i="16"/>
  <c r="U24" i="16"/>
  <c r="X24" i="16"/>
  <c r="H24" i="16"/>
  <c r="Q29" i="13"/>
  <c r="R29" i="13"/>
  <c r="AJ29" i="13"/>
  <c r="I29" i="13"/>
  <c r="L53" i="14"/>
  <c r="I53" i="14"/>
  <c r="F53" i="14"/>
  <c r="G53" i="14"/>
  <c r="P53" i="14"/>
  <c r="M53" i="14"/>
  <c r="J53" i="14"/>
  <c r="K53" i="14"/>
  <c r="AB53" i="14"/>
  <c r="AG53" i="14"/>
  <c r="O53" i="14"/>
  <c r="AF53" i="14"/>
  <c r="AK53" i="14"/>
  <c r="S53" i="14"/>
  <c r="H53" i="14"/>
  <c r="U53" i="14"/>
  <c r="Z53" i="14"/>
  <c r="AI53" i="14"/>
  <c r="T53" i="14"/>
  <c r="Y53" i="14"/>
  <c r="AD53" i="14"/>
  <c r="AJ53" i="14"/>
  <c r="W53" i="14"/>
  <c r="E53" i="14"/>
  <c r="AA53" i="14"/>
  <c r="Q53" i="14"/>
  <c r="AE53" i="14"/>
  <c r="R53" i="14"/>
  <c r="N53" i="14"/>
  <c r="V53" i="14"/>
  <c r="AH53" i="14"/>
  <c r="X53" i="14"/>
  <c r="AC53" i="14"/>
  <c r="F29" i="16"/>
  <c r="AF29" i="16"/>
  <c r="AA29" i="16"/>
  <c r="N29" i="16"/>
  <c r="AF80" i="15"/>
  <c r="M80" i="15"/>
  <c r="F80" i="15"/>
  <c r="G80" i="15"/>
  <c r="AJ80" i="15"/>
  <c r="Q80" i="15"/>
  <c r="J80" i="15"/>
  <c r="S80" i="15"/>
  <c r="X80" i="15"/>
  <c r="U80" i="15"/>
  <c r="V80" i="15"/>
  <c r="AB80" i="15"/>
  <c r="Y80" i="15"/>
  <c r="Z80" i="15"/>
  <c r="L80" i="15"/>
  <c r="AI80" i="15"/>
  <c r="O80" i="15"/>
  <c r="P80" i="15"/>
  <c r="E80" i="15"/>
  <c r="N80" i="15"/>
  <c r="AC80" i="15"/>
  <c r="AG80" i="15"/>
  <c r="H80" i="15"/>
  <c r="AK80" i="15"/>
  <c r="W80" i="15"/>
  <c r="AH80" i="15"/>
  <c r="K80" i="15"/>
  <c r="R80" i="15"/>
  <c r="AE80" i="15"/>
  <c r="I80" i="15"/>
  <c r="AA80" i="15"/>
  <c r="T80" i="15"/>
  <c r="AD80" i="15"/>
  <c r="E90" i="13" a="1"/>
  <c r="AJ51" i="15"/>
  <c r="U51" i="15"/>
  <c r="K51" i="15"/>
  <c r="R51" i="15"/>
  <c r="H51" i="15"/>
  <c r="J51" i="15"/>
  <c r="Y51" i="15"/>
  <c r="O51" i="15"/>
  <c r="AD51" i="15"/>
  <c r="L51" i="15"/>
  <c r="E51" i="15"/>
  <c r="Z51" i="15"/>
  <c r="P51" i="15"/>
  <c r="I51" i="15"/>
  <c r="G51" i="15"/>
  <c r="AF51" i="15"/>
  <c r="AG51" i="15"/>
  <c r="AE51" i="15"/>
  <c r="V51" i="15"/>
  <c r="AK51" i="15"/>
  <c r="AI51" i="15"/>
  <c r="T51" i="15"/>
  <c r="S51" i="15"/>
  <c r="X51" i="15"/>
  <c r="W51" i="15"/>
  <c r="AB51" i="15"/>
  <c r="AA51" i="15"/>
  <c r="Q51" i="15"/>
  <c r="M51" i="15"/>
  <c r="AC51" i="15"/>
  <c r="N51" i="15"/>
  <c r="F51" i="15"/>
  <c r="AH51" i="15"/>
  <c r="E64" i="11" a="1"/>
  <c r="E59" i="11" a="1"/>
  <c r="AC24" i="13"/>
  <c r="AA24" i="13"/>
  <c r="G24" i="13"/>
  <c r="S24" i="13"/>
  <c r="AK29" i="12"/>
  <c r="T29" i="12"/>
  <c r="P29" i="12"/>
  <c r="AF29" i="12"/>
  <c r="T55" i="14"/>
  <c r="Q55" i="14"/>
  <c r="N55" i="14"/>
  <c r="O55" i="14"/>
  <c r="X55" i="14"/>
  <c r="U55" i="14"/>
  <c r="R55" i="14"/>
  <c r="S55" i="14"/>
  <c r="AJ55" i="14"/>
  <c r="F55" i="14"/>
  <c r="W55" i="14"/>
  <c r="E55" i="14"/>
  <c r="J55" i="14"/>
  <c r="AA55" i="14"/>
  <c r="P55" i="14"/>
  <c r="AC55" i="14"/>
  <c r="AH55" i="14"/>
  <c r="AB55" i="14"/>
  <c r="AG55" i="14"/>
  <c r="G55" i="14"/>
  <c r="I55" i="14"/>
  <c r="AE55" i="14"/>
  <c r="M55" i="14"/>
  <c r="AI55" i="14"/>
  <c r="Y55" i="14"/>
  <c r="H55" i="14"/>
  <c r="Z55" i="14"/>
  <c r="AK55" i="14"/>
  <c r="L55" i="14"/>
  <c r="AF55" i="14"/>
  <c r="AD55" i="14"/>
  <c r="K55" i="14"/>
  <c r="V55" i="14"/>
  <c r="E90" i="11" a="1"/>
  <c r="E59" i="17" a="1"/>
  <c r="E64" i="16" a="1"/>
  <c r="E65" i="11" a="1"/>
  <c r="Q24" i="14"/>
  <c r="AK24" i="14"/>
  <c r="U24" i="14"/>
  <c r="E24" i="14"/>
  <c r="T53" i="13"/>
  <c r="AI53" i="13"/>
  <c r="AG53" i="13"/>
  <c r="R53" i="13"/>
  <c r="X53" i="13"/>
  <c r="E53" i="13"/>
  <c r="AK53" i="13"/>
  <c r="V53" i="13"/>
  <c r="S53" i="13"/>
  <c r="K53" i="13"/>
  <c r="AH53" i="13"/>
  <c r="H53" i="13"/>
  <c r="AA53" i="13"/>
  <c r="W53" i="13"/>
  <c r="G53" i="13"/>
  <c r="AF53" i="13"/>
  <c r="U53" i="13"/>
  <c r="N53" i="13"/>
  <c r="AJ53" i="13"/>
  <c r="Y53" i="13"/>
  <c r="Z53" i="13"/>
  <c r="I53" i="13"/>
  <c r="M53" i="13"/>
  <c r="Q53" i="13"/>
  <c r="P53" i="13"/>
  <c r="F53" i="13"/>
  <c r="L53" i="13"/>
  <c r="AB53" i="13"/>
  <c r="AC53" i="13"/>
  <c r="O53" i="13"/>
  <c r="J53" i="13"/>
  <c r="AD53" i="13"/>
  <c r="AE53" i="13"/>
  <c r="AC29" i="16"/>
  <c r="V29" i="16"/>
  <c r="J29" i="16"/>
  <c r="Q29" i="16"/>
  <c r="AJ53" i="17"/>
  <c r="AG53" i="17"/>
  <c r="AD53" i="17"/>
  <c r="AE53" i="17"/>
  <c r="L53" i="17"/>
  <c r="M53" i="17"/>
  <c r="N53" i="17"/>
  <c r="S53" i="17"/>
  <c r="P53" i="17"/>
  <c r="Q53" i="17"/>
  <c r="R53" i="17"/>
  <c r="W53" i="17"/>
  <c r="AB53" i="17"/>
  <c r="F53" i="17"/>
  <c r="AA53" i="17"/>
  <c r="AF53" i="17"/>
  <c r="J53" i="17"/>
  <c r="AI53" i="17"/>
  <c r="H53" i="17"/>
  <c r="Y53" i="17"/>
  <c r="G53" i="17"/>
  <c r="T53" i="17"/>
  <c r="AC53" i="17"/>
  <c r="K53" i="17"/>
  <c r="E53" i="17"/>
  <c r="I53" i="17"/>
  <c r="U53" i="17"/>
  <c r="Z53" i="17"/>
  <c r="V53" i="17"/>
  <c r="AH53" i="17"/>
  <c r="O53" i="17"/>
  <c r="X53" i="17"/>
  <c r="AK53" i="17"/>
  <c r="P54" i="15"/>
  <c r="AE54" i="15"/>
  <c r="AG54" i="15"/>
  <c r="N54" i="15"/>
  <c r="T54" i="15"/>
  <c r="E54" i="15"/>
  <c r="AK54" i="15"/>
  <c r="R54" i="15"/>
  <c r="X54" i="15"/>
  <c r="Q54" i="15"/>
  <c r="F54" i="15"/>
  <c r="AB54" i="15"/>
  <c r="U54" i="15"/>
  <c r="J54" i="15"/>
  <c r="W54" i="15"/>
  <c r="S54" i="15"/>
  <c r="AH54" i="15"/>
  <c r="H54" i="15"/>
  <c r="I54" i="15"/>
  <c r="AA54" i="15"/>
  <c r="O54" i="15"/>
  <c r="Y54" i="15"/>
  <c r="AC54" i="15"/>
  <c r="G54" i="15"/>
  <c r="AJ54" i="15"/>
  <c r="Z54" i="15"/>
  <c r="V54" i="15"/>
  <c r="AD54" i="15"/>
  <c r="L54" i="15"/>
  <c r="K54" i="15"/>
  <c r="M54" i="15"/>
  <c r="AI54" i="15"/>
  <c r="AF54" i="15"/>
  <c r="E87" i="13" a="1"/>
  <c r="T77" i="15"/>
  <c r="E77" i="15"/>
  <c r="AK77" i="15"/>
  <c r="R77" i="15"/>
  <c r="X77" i="15"/>
  <c r="I77" i="15"/>
  <c r="K77" i="15"/>
  <c r="V77" i="15"/>
  <c r="L77" i="15"/>
  <c r="M77" i="15"/>
  <c r="AI77" i="15"/>
  <c r="P77" i="15"/>
  <c r="Q77" i="15"/>
  <c r="F77" i="15"/>
  <c r="O77" i="15"/>
  <c r="AG77" i="15"/>
  <c r="AD77" i="15"/>
  <c r="W77" i="15"/>
  <c r="S77" i="15"/>
  <c r="AH77" i="15"/>
  <c r="AB77" i="15"/>
  <c r="J77" i="15"/>
  <c r="AF77" i="15"/>
  <c r="N77" i="15"/>
  <c r="AJ77" i="15"/>
  <c r="Z77" i="15"/>
  <c r="Y77" i="15"/>
  <c r="AE77" i="15"/>
  <c r="H77" i="15"/>
  <c r="AC77" i="15"/>
  <c r="AA77" i="15"/>
  <c r="U77" i="15"/>
  <c r="G77" i="15"/>
  <c r="E65" i="14" a="1"/>
  <c r="AJ82" i="17"/>
  <c r="AG82" i="17"/>
  <c r="AD82" i="17"/>
  <c r="AE82" i="17"/>
  <c r="E82" i="17"/>
  <c r="F82" i="17"/>
  <c r="K82" i="17"/>
  <c r="H82" i="17"/>
  <c r="I82" i="17"/>
  <c r="J82" i="17"/>
  <c r="O82" i="17"/>
  <c r="L82" i="17"/>
  <c r="U82" i="17"/>
  <c r="AH82" i="17"/>
  <c r="P82" i="17"/>
  <c r="Y82" i="17"/>
  <c r="G82" i="17"/>
  <c r="AF82" i="17"/>
  <c r="R82" i="17"/>
  <c r="AI82" i="17"/>
  <c r="M82" i="17"/>
  <c r="V82" i="17"/>
  <c r="T82" i="17"/>
  <c r="S82" i="17"/>
  <c r="X82" i="17"/>
  <c r="W82" i="17"/>
  <c r="AB82" i="17"/>
  <c r="AA82" i="17"/>
  <c r="AK82" i="17"/>
  <c r="Q82" i="17"/>
  <c r="N82" i="17"/>
  <c r="Z82" i="17"/>
  <c r="AC82" i="17"/>
  <c r="E61" i="14" a="1"/>
  <c r="E88" i="13" a="1"/>
  <c r="M24" i="13"/>
  <c r="J24" i="13"/>
  <c r="F24" i="13"/>
  <c r="R24" i="13"/>
  <c r="U29" i="12"/>
  <c r="O29" i="12"/>
  <c r="G29" i="12"/>
  <c r="W29" i="12"/>
  <c r="P83" i="11"/>
  <c r="M83" i="11"/>
  <c r="J83" i="11"/>
  <c r="K83" i="11"/>
  <c r="AB83" i="11"/>
  <c r="AC83" i="11"/>
  <c r="AD83" i="11"/>
  <c r="AI83" i="11"/>
  <c r="AF83" i="11"/>
  <c r="AG83" i="11"/>
  <c r="AH83" i="11"/>
  <c r="L83" i="11"/>
  <c r="Q83" i="11"/>
  <c r="R83" i="11"/>
  <c r="W83" i="11"/>
  <c r="X83" i="11"/>
  <c r="N83" i="11"/>
  <c r="AJ83" i="11"/>
  <c r="V83" i="11"/>
  <c r="E83" i="11"/>
  <c r="Z83" i="11"/>
  <c r="Y83" i="11"/>
  <c r="S83" i="11"/>
  <c r="O83" i="11"/>
  <c r="H83" i="11"/>
  <c r="AA83" i="11"/>
  <c r="I83" i="11"/>
  <c r="T83" i="11"/>
  <c r="AE83" i="11"/>
  <c r="AK83" i="11"/>
  <c r="F83" i="11"/>
  <c r="U83" i="11"/>
  <c r="G83" i="11"/>
  <c r="E88" i="17" a="1"/>
  <c r="AH24" i="14"/>
  <c r="L24" i="14"/>
  <c r="AJ24" i="14"/>
  <c r="T24" i="14"/>
  <c r="AJ52" i="12"/>
  <c r="AC52" i="12"/>
  <c r="Z52" i="12"/>
  <c r="AE52" i="12"/>
  <c r="H52" i="12"/>
  <c r="K52" i="12"/>
  <c r="AG52" i="12"/>
  <c r="AD52" i="12"/>
  <c r="AI52" i="12"/>
  <c r="AB52" i="12"/>
  <c r="AK52" i="12"/>
  <c r="O52" i="12"/>
  <c r="AF52" i="12"/>
  <c r="F52" i="12"/>
  <c r="S52" i="12"/>
  <c r="P52" i="12"/>
  <c r="Q52" i="12"/>
  <c r="V52" i="12"/>
  <c r="T52" i="12"/>
  <c r="U52" i="12"/>
  <c r="AH52" i="12"/>
  <c r="E52" i="12"/>
  <c r="W52" i="12"/>
  <c r="I52" i="12"/>
  <c r="AA52" i="12"/>
  <c r="M52" i="12"/>
  <c r="N52" i="12"/>
  <c r="Y52" i="12"/>
  <c r="L52" i="12"/>
  <c r="X52" i="12"/>
  <c r="R52" i="12"/>
  <c r="G52" i="12"/>
  <c r="J52" i="12"/>
  <c r="AF29" i="14"/>
  <c r="E61" i="16" a="1"/>
  <c r="H24" i="17"/>
  <c r="H50" i="13"/>
  <c r="E50" i="13"/>
  <c r="AK50" i="13"/>
  <c r="AH50" i="13"/>
  <c r="AI50" i="13"/>
  <c r="L50" i="13"/>
  <c r="I50" i="13"/>
  <c r="F50" i="13"/>
  <c r="G50" i="13"/>
  <c r="AF50" i="13"/>
  <c r="J50" i="13"/>
  <c r="S50" i="13"/>
  <c r="AJ50" i="13"/>
  <c r="N50" i="13"/>
  <c r="W50" i="13"/>
  <c r="T50" i="13"/>
  <c r="Y50" i="13"/>
  <c r="AD50" i="13"/>
  <c r="X50" i="13"/>
  <c r="AC50" i="13"/>
  <c r="K50" i="13"/>
  <c r="R50" i="13"/>
  <c r="V50" i="13"/>
  <c r="P50" i="13"/>
  <c r="Z50" i="13"/>
  <c r="Q50" i="13"/>
  <c r="AE50" i="13"/>
  <c r="AA50" i="13"/>
  <c r="AB50" i="13"/>
  <c r="U50" i="13"/>
  <c r="AG50" i="13"/>
  <c r="M50" i="13"/>
  <c r="O50" i="13"/>
  <c r="F29" i="13"/>
  <c r="E91" i="12" a="1"/>
  <c r="AF52" i="17"/>
  <c r="E52" i="17"/>
  <c r="AK52" i="17"/>
  <c r="AD52" i="17"/>
  <c r="X52" i="17"/>
  <c r="AI52" i="17"/>
  <c r="K52" i="17"/>
  <c r="O52" i="17"/>
  <c r="AB52" i="17"/>
  <c r="I52" i="17"/>
  <c r="F52" i="17"/>
  <c r="S52" i="17"/>
  <c r="AC52" i="17"/>
  <c r="W52" i="17"/>
  <c r="AG52" i="17"/>
  <c r="T52" i="17"/>
  <c r="Q52" i="17"/>
  <c r="V52" i="17"/>
  <c r="AJ52" i="17"/>
  <c r="U52" i="17"/>
  <c r="Z52" i="17"/>
  <c r="H52" i="17"/>
  <c r="J52" i="17"/>
  <c r="L52" i="17"/>
  <c r="N52" i="17"/>
  <c r="P52" i="17"/>
  <c r="R52" i="17"/>
  <c r="AE52" i="17"/>
  <c r="G52" i="17"/>
  <c r="M52" i="17"/>
  <c r="Y52" i="17"/>
  <c r="AH52" i="17"/>
  <c r="AA52" i="17"/>
  <c r="X56" i="15"/>
  <c r="E56" i="15"/>
  <c r="AK56" i="15"/>
  <c r="AD56" i="15"/>
  <c r="AB56" i="15"/>
  <c r="I56" i="15"/>
  <c r="G56" i="15"/>
  <c r="AH56" i="15"/>
  <c r="AF56" i="15"/>
  <c r="U56" i="15"/>
  <c r="V56" i="15"/>
  <c r="AJ56" i="15"/>
  <c r="Y56" i="15"/>
  <c r="Z56" i="15"/>
  <c r="L56" i="15"/>
  <c r="AE56" i="15"/>
  <c r="J56" i="15"/>
  <c r="P56" i="15"/>
  <c r="M56" i="15"/>
  <c r="N56" i="15"/>
  <c r="AC56" i="15"/>
  <c r="AG56" i="15"/>
  <c r="H56" i="15"/>
  <c r="F56" i="15"/>
  <c r="S56" i="15"/>
  <c r="W56" i="15"/>
  <c r="K56" i="15"/>
  <c r="AA56" i="15"/>
  <c r="R56" i="15"/>
  <c r="Q56" i="15"/>
  <c r="AI56" i="15"/>
  <c r="T56" i="15"/>
  <c r="O56" i="15"/>
  <c r="U24" i="15"/>
  <c r="AJ83" i="16"/>
  <c r="AG83" i="16"/>
  <c r="AD83" i="16"/>
  <c r="AE83" i="16"/>
  <c r="H83" i="16"/>
  <c r="E83" i="16"/>
  <c r="AK83" i="16"/>
  <c r="AH83" i="16"/>
  <c r="AI83" i="16"/>
  <c r="T83" i="16"/>
  <c r="Y83" i="16"/>
  <c r="G83" i="16"/>
  <c r="X83" i="16"/>
  <c r="AC83" i="16"/>
  <c r="K83" i="16"/>
  <c r="M83" i="16"/>
  <c r="R83" i="16"/>
  <c r="AA83" i="16"/>
  <c r="L83" i="16"/>
  <c r="Q83" i="16"/>
  <c r="V83" i="16"/>
  <c r="AB83" i="16"/>
  <c r="O83" i="16"/>
  <c r="AF83" i="16"/>
  <c r="S83" i="16"/>
  <c r="I83" i="16"/>
  <c r="W83" i="16"/>
  <c r="J83" i="16"/>
  <c r="U83" i="16"/>
  <c r="P83" i="16"/>
  <c r="N83" i="16"/>
  <c r="Z83" i="16"/>
  <c r="F83" i="16"/>
  <c r="E87" i="17" a="1"/>
  <c r="R24" i="17"/>
  <c r="E59" i="16" a="1"/>
  <c r="O29" i="11"/>
  <c r="G29" i="11"/>
  <c r="H29" i="11"/>
  <c r="X29" i="11"/>
  <c r="AF80" i="12"/>
  <c r="AC80" i="12"/>
  <c r="Z80" i="12"/>
  <c r="AA80" i="12"/>
  <c r="AJ80" i="12"/>
  <c r="AG80" i="12"/>
  <c r="AD80" i="12"/>
  <c r="AE80" i="12"/>
  <c r="H80" i="12"/>
  <c r="M80" i="12"/>
  <c r="R80" i="12"/>
  <c r="AI80" i="12"/>
  <c r="L80" i="12"/>
  <c r="Q80" i="12"/>
  <c r="V80" i="12"/>
  <c r="AB80" i="12"/>
  <c r="F80" i="12"/>
  <c r="O80" i="12"/>
  <c r="E80" i="12"/>
  <c r="J80" i="12"/>
  <c r="S80" i="12"/>
  <c r="U80" i="12"/>
  <c r="Y80" i="12"/>
  <c r="AK80" i="12"/>
  <c r="T80" i="12"/>
  <c r="G80" i="12"/>
  <c r="P80" i="12"/>
  <c r="X80" i="12"/>
  <c r="N80" i="12"/>
  <c r="I80" i="12"/>
  <c r="K80" i="12"/>
  <c r="W80" i="12"/>
  <c r="AH80" i="12"/>
  <c r="F24" i="12"/>
  <c r="AC24" i="12"/>
  <c r="R24" i="12"/>
  <c r="AH24" i="12"/>
  <c r="Q29" i="15"/>
  <c r="R29" i="15"/>
  <c r="K29" i="15"/>
  <c r="U29" i="15"/>
  <c r="AE24" i="16"/>
  <c r="O24" i="16"/>
  <c r="AG24" i="16"/>
  <c r="AC24" i="16"/>
  <c r="X80" i="16"/>
  <c r="Q80" i="16"/>
  <c r="N80" i="16"/>
  <c r="S80" i="16"/>
  <c r="AB80" i="16"/>
  <c r="U80" i="16"/>
  <c r="R80" i="16"/>
  <c r="W80" i="16"/>
  <c r="H80" i="16"/>
  <c r="I80" i="16"/>
  <c r="V80" i="16"/>
  <c r="AI80" i="16"/>
  <c r="L80" i="16"/>
  <c r="M80" i="16"/>
  <c r="Z80" i="16"/>
  <c r="AJ80" i="16"/>
  <c r="AK80" i="16"/>
  <c r="O80" i="16"/>
  <c r="K80" i="16"/>
  <c r="F80" i="16"/>
  <c r="AA80" i="16"/>
  <c r="Y80" i="16"/>
  <c r="AC80" i="16"/>
  <c r="AG80" i="16"/>
  <c r="T80" i="16"/>
  <c r="AH80" i="16"/>
  <c r="AD80" i="16"/>
  <c r="G80" i="16"/>
  <c r="AE80" i="16"/>
  <c r="AF80" i="16"/>
  <c r="E80" i="16"/>
  <c r="P80" i="16"/>
  <c r="J80" i="16"/>
  <c r="AF29" i="13"/>
  <c r="AC29" i="13"/>
  <c r="AK29" i="13"/>
  <c r="E91" i="15" a="1"/>
  <c r="AH29" i="16"/>
  <c r="AI29" i="16"/>
  <c r="AB29" i="16"/>
  <c r="E29" i="16"/>
  <c r="T29" i="16"/>
  <c r="E62" i="11" a="1"/>
  <c r="AB51" i="16"/>
  <c r="U51" i="16"/>
  <c r="Z51" i="16"/>
  <c r="AA51" i="16"/>
  <c r="AF51" i="16"/>
  <c r="Y51" i="16"/>
  <c r="AD51" i="16"/>
  <c r="AE51" i="16"/>
  <c r="AJ51" i="16"/>
  <c r="AK51" i="16"/>
  <c r="S51" i="16"/>
  <c r="N51" i="16"/>
  <c r="F51" i="16"/>
  <c r="W51" i="16"/>
  <c r="P51" i="16"/>
  <c r="Q51" i="16"/>
  <c r="G51" i="16"/>
  <c r="T51" i="16"/>
  <c r="AC51" i="16"/>
  <c r="K51" i="16"/>
  <c r="R51" i="16"/>
  <c r="H51" i="16"/>
  <c r="V51" i="16"/>
  <c r="L51" i="16"/>
  <c r="AH51" i="16"/>
  <c r="I51" i="16"/>
  <c r="J51" i="16"/>
  <c r="AI51" i="16"/>
  <c r="X51" i="16"/>
  <c r="M51" i="16"/>
  <c r="AG51" i="16"/>
  <c r="E51" i="16"/>
  <c r="O51" i="16"/>
  <c r="X78" i="14"/>
  <c r="U78" i="14"/>
  <c r="V78" i="14"/>
  <c r="W78" i="14"/>
  <c r="AB78" i="14"/>
  <c r="Y78" i="14"/>
  <c r="Z78" i="14"/>
  <c r="AA78" i="14"/>
  <c r="AF78" i="14"/>
  <c r="AK78" i="14"/>
  <c r="O78" i="14"/>
  <c r="AJ78" i="14"/>
  <c r="F78" i="14"/>
  <c r="S78" i="14"/>
  <c r="L78" i="14"/>
  <c r="Q78" i="14"/>
  <c r="AH78" i="14"/>
  <c r="P78" i="14"/>
  <c r="AC78" i="14"/>
  <c r="G78" i="14"/>
  <c r="N78" i="14"/>
  <c r="R78" i="14"/>
  <c r="H78" i="14"/>
  <c r="AD78" i="14"/>
  <c r="I78" i="14"/>
  <c r="AI78" i="14"/>
  <c r="E78" i="14"/>
  <c r="K78" i="14"/>
  <c r="M78" i="14"/>
  <c r="AG78" i="14"/>
  <c r="J78" i="14"/>
  <c r="T78" i="14"/>
  <c r="AE78" i="14"/>
  <c r="E86" i="11" a="1"/>
  <c r="E90" i="16" a="1"/>
  <c r="E63" i="13" a="1"/>
  <c r="AF56" i="13"/>
  <c r="AC56" i="13"/>
  <c r="Z56" i="13"/>
  <c r="AA56" i="13"/>
  <c r="AJ56" i="13"/>
  <c r="AG56" i="13"/>
  <c r="AD56" i="13"/>
  <c r="AE56" i="13"/>
  <c r="P56" i="13"/>
  <c r="U56" i="13"/>
  <c r="AH56" i="13"/>
  <c r="T56" i="13"/>
  <c r="Y56" i="13"/>
  <c r="G56" i="13"/>
  <c r="I56" i="13"/>
  <c r="N56" i="13"/>
  <c r="W56" i="13"/>
  <c r="H56" i="13"/>
  <c r="M56" i="13"/>
  <c r="R56" i="13"/>
  <c r="AI56" i="13"/>
  <c r="X56" i="13"/>
  <c r="K56" i="13"/>
  <c r="AB56" i="13"/>
  <c r="O56" i="13"/>
  <c r="E56" i="13"/>
  <c r="S56" i="13"/>
  <c r="F56" i="13"/>
  <c r="AK56" i="13"/>
  <c r="J56" i="13"/>
  <c r="V56" i="13"/>
  <c r="L56" i="13"/>
  <c r="Q56" i="13"/>
  <c r="E91" i="16" a="1"/>
  <c r="E90" i="15" a="1"/>
  <c r="E24" i="13"/>
  <c r="AB24" i="13"/>
  <c r="I24" i="13"/>
  <c r="U24" i="13"/>
  <c r="AE29" i="12"/>
  <c r="Q29" i="12"/>
  <c r="F29" i="12"/>
  <c r="V29" i="12"/>
  <c r="E61" i="13" a="1"/>
  <c r="E60" i="14" a="1"/>
  <c r="M24" i="14"/>
  <c r="Y24" i="14"/>
  <c r="AD24" i="14"/>
  <c r="J24" i="14"/>
  <c r="L21" i="7" l="1"/>
  <c r="L14" i="7" s="1"/>
  <c r="G62" i="15"/>
  <c r="J19" i="9"/>
  <c r="AA62" i="15"/>
  <c r="BI19" i="9"/>
  <c r="G19" i="9"/>
  <c r="P19" i="9"/>
  <c r="AF62" i="15"/>
  <c r="AC62" i="15"/>
  <c r="N62" i="15"/>
  <c r="AE62" i="15"/>
  <c r="X62" i="15"/>
  <c r="AX19" i="9"/>
  <c r="BR19" i="9"/>
  <c r="AF19" i="9"/>
  <c r="CJ19" i="9"/>
  <c r="T19" i="9"/>
  <c r="E62" i="15"/>
  <c r="AB62" i="15"/>
  <c r="I62" i="15"/>
  <c r="AH62" i="15"/>
  <c r="R19" i="9"/>
  <c r="BV19" i="9"/>
  <c r="BJ19" i="9"/>
  <c r="AG19" i="9"/>
  <c r="Y62" i="15"/>
  <c r="AK62" i="15"/>
  <c r="M62" i="15"/>
  <c r="AY19" i="9"/>
  <c r="BB19" i="9"/>
  <c r="AK19" i="9"/>
  <c r="CR19" i="9"/>
  <c r="AA19" i="9"/>
  <c r="AN19" i="9"/>
  <c r="CO19" i="9"/>
  <c r="AV19" i="9"/>
  <c r="AH19" i="9"/>
  <c r="CI19" i="9"/>
  <c r="AL19" i="9"/>
  <c r="Z62" i="15"/>
  <c r="CG19" i="9"/>
  <c r="BM19" i="9"/>
  <c r="BO19" i="9"/>
  <c r="Q62" i="15"/>
  <c r="V62" i="15"/>
  <c r="AJ62" i="15"/>
  <c r="AD62" i="15"/>
  <c r="BA19" i="9"/>
  <c r="AJ19" i="9"/>
  <c r="AS19" i="9"/>
  <c r="L62" i="15"/>
  <c r="R62" i="15"/>
  <c r="AI62" i="15"/>
  <c r="BF19" i="9"/>
  <c r="AR19" i="9"/>
  <c r="X19" i="9"/>
  <c r="AW19" i="9"/>
  <c r="O19" i="9"/>
  <c r="CL19" i="9"/>
  <c r="CM19" i="9"/>
  <c r="BL19" i="9"/>
  <c r="AO19" i="9"/>
  <c r="CQ19" i="9"/>
  <c r="CA19" i="9"/>
  <c r="I19" i="9"/>
  <c r="BW19" i="9"/>
  <c r="H19" i="9"/>
  <c r="BY19" i="9"/>
  <c r="AM19" i="9"/>
  <c r="E19" i="9"/>
  <c r="BU19" i="9"/>
  <c r="AZ19" i="9"/>
  <c r="CF19" i="9"/>
  <c r="CB19" i="9"/>
  <c r="BP19" i="9"/>
  <c r="BX19" i="9"/>
  <c r="CD19" i="9"/>
  <c r="CK19" i="9"/>
  <c r="Q19" i="9"/>
  <c r="W19" i="9"/>
  <c r="BK19" i="9"/>
  <c r="CP19" i="9"/>
  <c r="BN19" i="9"/>
  <c r="BZ19" i="9"/>
  <c r="U19" i="9"/>
  <c r="CC19" i="9"/>
  <c r="AU19" i="9"/>
  <c r="BC19" i="9"/>
  <c r="Z19" i="9"/>
  <c r="BS19" i="9"/>
  <c r="AE19" i="9"/>
  <c r="V19" i="9"/>
  <c r="S19" i="9"/>
  <c r="AB19" i="9"/>
  <c r="Y19" i="9"/>
  <c r="AC19" i="9"/>
  <c r="BH19" i="9"/>
  <c r="AD19" i="9"/>
  <c r="BG19" i="9"/>
  <c r="AP19" i="9"/>
  <c r="L19" i="9"/>
  <c r="AT19" i="9"/>
  <c r="M19" i="9"/>
  <c r="BD19" i="9"/>
  <c r="AI19" i="9"/>
  <c r="CH19" i="9"/>
  <c r="AQ19" i="9"/>
  <c r="K19" i="9"/>
  <c r="BE19" i="9"/>
  <c r="N19" i="9"/>
  <c r="F19" i="9"/>
  <c r="BT19" i="9"/>
  <c r="CE19" i="9"/>
  <c r="BQ19" i="9"/>
  <c r="K62" i="15"/>
  <c r="J62" i="15"/>
  <c r="H62" i="15"/>
  <c r="M21" i="15"/>
  <c r="J86" i="17"/>
  <c r="R86" i="17"/>
  <c r="AE21" i="15"/>
  <c r="V86" i="17"/>
  <c r="W26" i="12"/>
  <c r="U86" i="17"/>
  <c r="AI86" i="17"/>
  <c r="AH86" i="17"/>
  <c r="N21" i="15"/>
  <c r="T21" i="16"/>
  <c r="P86" i="17"/>
  <c r="Z86" i="17"/>
  <c r="S62" i="15"/>
  <c r="F62" i="15"/>
  <c r="T62" i="15"/>
  <c r="U62" i="15"/>
  <c r="P21" i="15"/>
  <c r="AH26" i="12"/>
  <c r="E26" i="17"/>
  <c r="AI21" i="14"/>
  <c r="O21" i="12"/>
  <c r="AD26" i="13"/>
  <c r="L21" i="15"/>
  <c r="K21" i="15"/>
  <c r="AH21" i="15"/>
  <c r="W21" i="15"/>
  <c r="AG21" i="15"/>
  <c r="AD21" i="15"/>
  <c r="AJ21" i="15"/>
  <c r="G21" i="16"/>
  <c r="O62" i="15"/>
  <c r="AG62" i="15"/>
  <c r="P62" i="15"/>
  <c r="F21" i="15"/>
  <c r="X21" i="15"/>
  <c r="AF26" i="14"/>
  <c r="Z21" i="16"/>
  <c r="I21" i="16"/>
  <c r="L21" i="16"/>
  <c r="N26" i="12"/>
  <c r="S26" i="17"/>
  <c r="AF21" i="15"/>
  <c r="R26" i="13"/>
  <c r="G21" i="15"/>
  <c r="W26" i="14"/>
  <c r="M21" i="11"/>
  <c r="AK86" i="17"/>
  <c r="R21" i="13"/>
  <c r="Q21" i="15"/>
  <c r="K86" i="17"/>
  <c r="Y86" i="17"/>
  <c r="L86" i="17"/>
  <c r="N86" i="17"/>
  <c r="AG26" i="11"/>
  <c r="W26" i="16"/>
  <c r="AI21" i="17"/>
  <c r="F21" i="17"/>
  <c r="R21" i="15"/>
  <c r="N21" i="14"/>
  <c r="J21" i="15"/>
  <c r="AB21" i="13"/>
  <c r="K21" i="13"/>
  <c r="AJ21" i="13"/>
  <c r="AI21" i="13"/>
  <c r="V21" i="15"/>
  <c r="E21" i="15"/>
  <c r="Y21" i="11"/>
  <c r="Q21" i="11"/>
  <c r="V21" i="11"/>
  <c r="M86" i="17"/>
  <c r="T86" i="17"/>
  <c r="O86" i="17"/>
  <c r="AC86" i="17"/>
  <c r="S26" i="11"/>
  <c r="Y26" i="15"/>
  <c r="O21" i="15"/>
  <c r="E26" i="14"/>
  <c r="Y21" i="15"/>
  <c r="AA26" i="15"/>
  <c r="AK21" i="15"/>
  <c r="E26" i="11"/>
  <c r="H26" i="16"/>
  <c r="AG21" i="17"/>
  <c r="T21" i="17"/>
  <c r="S21" i="13"/>
  <c r="AH21" i="13"/>
  <c r="Q26" i="15"/>
  <c r="AC21" i="15"/>
  <c r="AB21" i="15"/>
  <c r="U21" i="15"/>
  <c r="X86" i="17"/>
  <c r="Q86" i="17"/>
  <c r="S86" i="17"/>
  <c r="AE86" i="17"/>
  <c r="Z26" i="14"/>
  <c r="S21" i="11"/>
  <c r="AJ86" i="17"/>
  <c r="AF86" i="17"/>
  <c r="G86" i="17"/>
  <c r="U26" i="13"/>
  <c r="T21" i="15"/>
  <c r="I21" i="15"/>
  <c r="F86" i="17"/>
  <c r="AA86" i="17"/>
  <c r="W86" i="17"/>
  <c r="I86" i="17"/>
  <c r="AA21" i="15"/>
  <c r="N26" i="17"/>
  <c r="K26" i="17"/>
  <c r="E17" i="15" a="1"/>
  <c r="AI17" i="15" s="1"/>
  <c r="AB21" i="12"/>
  <c r="S21" i="15"/>
  <c r="L26" i="14"/>
  <c r="O21" i="16"/>
  <c r="AH21" i="12"/>
  <c r="U26" i="15"/>
  <c r="N26" i="15"/>
  <c r="AG26" i="15"/>
  <c r="V26" i="15"/>
  <c r="Z21" i="15"/>
  <c r="AI21" i="15"/>
  <c r="H21" i="15"/>
  <c r="T26" i="14"/>
  <c r="AH21" i="16"/>
  <c r="AJ21" i="16"/>
  <c r="S21" i="16"/>
  <c r="AD86" i="17"/>
  <c r="AG86" i="17"/>
  <c r="E86" i="17"/>
  <c r="H86" i="17"/>
  <c r="AG21" i="12"/>
  <c r="R21" i="12"/>
  <c r="J59" i="15"/>
  <c r="AK59" i="15"/>
  <c r="W59" i="15"/>
  <c r="AF59" i="15"/>
  <c r="F59" i="15"/>
  <c r="G59" i="15"/>
  <c r="T59" i="15"/>
  <c r="E59" i="15"/>
  <c r="AE59" i="15"/>
  <c r="I59" i="15"/>
  <c r="K59" i="15"/>
  <c r="U59" i="15"/>
  <c r="AD59" i="15"/>
  <c r="AC59" i="15"/>
  <c r="H59" i="15"/>
  <c r="AI59" i="15"/>
  <c r="AH59" i="15"/>
  <c r="S59" i="15"/>
  <c r="X59" i="15"/>
  <c r="AB59" i="15"/>
  <c r="V59" i="15"/>
  <c r="O59" i="15"/>
  <c r="Q59" i="15"/>
  <c r="L59" i="15"/>
  <c r="N59" i="15"/>
  <c r="AA59" i="15"/>
  <c r="M59" i="15"/>
  <c r="AJ59" i="15"/>
  <c r="AG59" i="15"/>
  <c r="R59" i="15"/>
  <c r="P59" i="15"/>
  <c r="Y59" i="15"/>
  <c r="Z59" i="15"/>
  <c r="Y26" i="14"/>
  <c r="AI21" i="11"/>
  <c r="P26" i="13"/>
  <c r="Q26" i="17"/>
  <c r="Z26" i="11"/>
  <c r="Z26" i="16"/>
  <c r="U92" i="15"/>
  <c r="AK92" i="15"/>
  <c r="AC92" i="15"/>
  <c r="Y92" i="15"/>
  <c r="L92" i="15"/>
  <c r="AG92" i="15"/>
  <c r="T92" i="15"/>
  <c r="K92" i="15"/>
  <c r="G92" i="15"/>
  <c r="AJ92" i="15"/>
  <c r="AH92" i="15"/>
  <c r="AF92" i="15"/>
  <c r="S92" i="15"/>
  <c r="E92" i="15"/>
  <c r="P92" i="15"/>
  <c r="N92" i="15"/>
  <c r="Z92" i="15"/>
  <c r="I92" i="15"/>
  <c r="X92" i="15"/>
  <c r="M92" i="15"/>
  <c r="O92" i="15"/>
  <c r="W92" i="15"/>
  <c r="F92" i="15"/>
  <c r="Q92" i="15"/>
  <c r="V92" i="15"/>
  <c r="AI92" i="15"/>
  <c r="AE92" i="15"/>
  <c r="AD92" i="15"/>
  <c r="AA92" i="15"/>
  <c r="R92" i="15"/>
  <c r="J92" i="15"/>
  <c r="H92" i="15"/>
  <c r="AB92" i="15"/>
  <c r="AF26" i="15"/>
  <c r="AE21" i="11"/>
  <c r="L21" i="11"/>
  <c r="AC21" i="11"/>
  <c r="AB21" i="11"/>
  <c r="X59" i="12"/>
  <c r="U59" i="12"/>
  <c r="N59" i="12"/>
  <c r="S59" i="12"/>
  <c r="AB59" i="12"/>
  <c r="Y59" i="12"/>
  <c r="R59" i="12"/>
  <c r="W59" i="12"/>
  <c r="L59" i="12"/>
  <c r="I59" i="12"/>
  <c r="K59" i="12"/>
  <c r="AH59" i="12"/>
  <c r="E59" i="12"/>
  <c r="V59" i="12"/>
  <c r="M59" i="12"/>
  <c r="Z59" i="12"/>
  <c r="Q59" i="12"/>
  <c r="AD59" i="12"/>
  <c r="T59" i="12"/>
  <c r="AK59" i="12"/>
  <c r="AA59" i="12"/>
  <c r="P59" i="12"/>
  <c r="O59" i="12"/>
  <c r="AC59" i="12"/>
  <c r="AF59" i="12"/>
  <c r="AE59" i="12"/>
  <c r="AG59" i="12"/>
  <c r="AJ59" i="12"/>
  <c r="AI59" i="12"/>
  <c r="F59" i="12"/>
  <c r="J59" i="12"/>
  <c r="H59" i="12"/>
  <c r="G59" i="12"/>
  <c r="H61" i="15"/>
  <c r="AE61" i="15"/>
  <c r="AA61" i="15"/>
  <c r="W61" i="15"/>
  <c r="AI61" i="15"/>
  <c r="AJ61" i="15"/>
  <c r="M61" i="15"/>
  <c r="I61" i="15"/>
  <c r="U61" i="15"/>
  <c r="AD61" i="15"/>
  <c r="P61" i="15"/>
  <c r="AH61" i="15"/>
  <c r="N61" i="15"/>
  <c r="G61" i="15"/>
  <c r="R61" i="15"/>
  <c r="T61" i="15"/>
  <c r="AG61" i="15"/>
  <c r="J61" i="15"/>
  <c r="AB61" i="15"/>
  <c r="F61" i="15"/>
  <c r="S61" i="15"/>
  <c r="O61" i="15"/>
  <c r="Y61" i="15"/>
  <c r="K61" i="15"/>
  <c r="Q61" i="15"/>
  <c r="L61" i="15"/>
  <c r="AC61" i="15"/>
  <c r="E61" i="15"/>
  <c r="Z61" i="15"/>
  <c r="AF61" i="15"/>
  <c r="AK61" i="15"/>
  <c r="X61" i="15"/>
  <c r="V61" i="15"/>
  <c r="P92" i="11"/>
  <c r="N92" i="11"/>
  <c r="Q92" i="11"/>
  <c r="W92" i="11"/>
  <c r="AJ92" i="11"/>
  <c r="AH92" i="11"/>
  <c r="K92" i="11"/>
  <c r="Y92" i="11"/>
  <c r="AF92" i="11"/>
  <c r="M92" i="11"/>
  <c r="AE92" i="11"/>
  <c r="F92" i="11"/>
  <c r="U92" i="11"/>
  <c r="AI92" i="11"/>
  <c r="J92" i="11"/>
  <c r="AC92" i="11"/>
  <c r="E92" i="11"/>
  <c r="T92" i="11"/>
  <c r="Z92" i="11"/>
  <c r="O92" i="11"/>
  <c r="V92" i="11"/>
  <c r="H92" i="11"/>
  <c r="G92" i="11"/>
  <c r="AD92" i="11"/>
  <c r="AG92" i="11"/>
  <c r="L92" i="11"/>
  <c r="I92" i="11"/>
  <c r="X92" i="11"/>
  <c r="S92" i="11"/>
  <c r="AB92" i="11"/>
  <c r="AA92" i="11"/>
  <c r="R92" i="11"/>
  <c r="AK92" i="11"/>
  <c r="S21" i="12"/>
  <c r="H21" i="12"/>
  <c r="AK21" i="12"/>
  <c r="N26" i="13"/>
  <c r="AB26" i="13"/>
  <c r="J26" i="13"/>
  <c r="H26" i="13"/>
  <c r="H88" i="11"/>
  <c r="AJ88" i="11"/>
  <c r="P88" i="11"/>
  <c r="L88" i="11"/>
  <c r="U88" i="11"/>
  <c r="O88" i="11"/>
  <c r="AA88" i="11"/>
  <c r="Y88" i="11"/>
  <c r="AD88" i="11"/>
  <c r="T88" i="11"/>
  <c r="AB88" i="11"/>
  <c r="X88" i="11"/>
  <c r="J88" i="11"/>
  <c r="V88" i="11"/>
  <c r="AC88" i="11"/>
  <c r="M88" i="11"/>
  <c r="Q88" i="11"/>
  <c r="AF88" i="11"/>
  <c r="AE88" i="11"/>
  <c r="R88" i="11"/>
  <c r="N88" i="11"/>
  <c r="AH88" i="11"/>
  <c r="G88" i="11"/>
  <c r="S88" i="11"/>
  <c r="K88" i="11"/>
  <c r="AI88" i="11"/>
  <c r="F88" i="11"/>
  <c r="I88" i="11"/>
  <c r="Z88" i="11"/>
  <c r="AK88" i="11"/>
  <c r="AG88" i="11"/>
  <c r="E88" i="11"/>
  <c r="W88" i="11"/>
  <c r="I26" i="12"/>
  <c r="AG26" i="12"/>
  <c r="P26" i="12"/>
  <c r="Y26" i="12"/>
  <c r="Y26" i="17"/>
  <c r="I26" i="17"/>
  <c r="L26" i="17"/>
  <c r="AG26" i="17"/>
  <c r="P26" i="17"/>
  <c r="H90" i="12"/>
  <c r="Q90" i="12"/>
  <c r="Z90" i="12"/>
  <c r="F90" i="12"/>
  <c r="R90" i="12"/>
  <c r="O90" i="12"/>
  <c r="T90" i="12"/>
  <c r="P90" i="12"/>
  <c r="AI90" i="12"/>
  <c r="AJ90" i="12"/>
  <c r="AF90" i="12"/>
  <c r="AH90" i="12"/>
  <c r="AE90" i="12"/>
  <c r="W90" i="12"/>
  <c r="AK90" i="12"/>
  <c r="N90" i="12"/>
  <c r="V90" i="12"/>
  <c r="U90" i="12"/>
  <c r="AG90" i="12"/>
  <c r="J90" i="12"/>
  <c r="AB90" i="12"/>
  <c r="I90" i="12"/>
  <c r="AA90" i="12"/>
  <c r="E90" i="12"/>
  <c r="X90" i="12"/>
  <c r="G90" i="12"/>
  <c r="L90" i="12"/>
  <c r="K90" i="12"/>
  <c r="AD90" i="12"/>
  <c r="S90" i="12"/>
  <c r="AC90" i="12"/>
  <c r="M90" i="12"/>
  <c r="Y90" i="12"/>
  <c r="M26" i="11"/>
  <c r="L26" i="11"/>
  <c r="AB26" i="11"/>
  <c r="E26" i="16"/>
  <c r="AK26" i="16"/>
  <c r="AG26" i="16"/>
  <c r="P26" i="16"/>
  <c r="L21" i="17"/>
  <c r="AJ21" i="17"/>
  <c r="AF21" i="17"/>
  <c r="AA21" i="17"/>
  <c r="H59" i="13"/>
  <c r="E59" i="13"/>
  <c r="AK59" i="13"/>
  <c r="AH59" i="13"/>
  <c r="AI59" i="13"/>
  <c r="L59" i="13"/>
  <c r="I59" i="13"/>
  <c r="F59" i="13"/>
  <c r="G59" i="13"/>
  <c r="AB59" i="13"/>
  <c r="Y59" i="13"/>
  <c r="V59" i="13"/>
  <c r="W59" i="13"/>
  <c r="U59" i="13"/>
  <c r="K59" i="13"/>
  <c r="J59" i="13"/>
  <c r="P59" i="13"/>
  <c r="AC59" i="13"/>
  <c r="O59" i="13"/>
  <c r="T59" i="13"/>
  <c r="AG59" i="13"/>
  <c r="S59" i="13"/>
  <c r="X59" i="13"/>
  <c r="AA59" i="13"/>
  <c r="AJ59" i="13"/>
  <c r="R59" i="13"/>
  <c r="AE59" i="13"/>
  <c r="M59" i="13"/>
  <c r="Q59" i="13"/>
  <c r="AF59" i="13"/>
  <c r="N59" i="13"/>
  <c r="Z59" i="13"/>
  <c r="AD59" i="13"/>
  <c r="S21" i="14"/>
  <c r="F21" i="14"/>
  <c r="I21" i="14"/>
  <c r="AD21" i="14"/>
  <c r="H63" i="13"/>
  <c r="AF63" i="13"/>
  <c r="Q63" i="13"/>
  <c r="V63" i="13"/>
  <c r="AH63" i="13"/>
  <c r="T63" i="13"/>
  <c r="F63" i="13"/>
  <c r="R63" i="13"/>
  <c r="AE63" i="13"/>
  <c r="AJ63" i="13"/>
  <c r="P63" i="13"/>
  <c r="L63" i="13"/>
  <c r="X63" i="13"/>
  <c r="M63" i="13"/>
  <c r="AK63" i="13"/>
  <c r="AD63" i="13"/>
  <c r="AA63" i="13"/>
  <c r="W63" i="13"/>
  <c r="U63" i="13"/>
  <c r="AC63" i="13"/>
  <c r="G63" i="13"/>
  <c r="E63" i="13"/>
  <c r="Z63" i="13"/>
  <c r="Y63" i="13"/>
  <c r="N63" i="13"/>
  <c r="AB63" i="13"/>
  <c r="AI63" i="13"/>
  <c r="O63" i="13"/>
  <c r="S63" i="13"/>
  <c r="AG63" i="13"/>
  <c r="K63" i="13"/>
  <c r="J63" i="13"/>
  <c r="I63" i="13"/>
  <c r="H91" i="12"/>
  <c r="Q91" i="12"/>
  <c r="L91" i="12"/>
  <c r="K91" i="12"/>
  <c r="S91" i="12"/>
  <c r="O91" i="12"/>
  <c r="T91" i="12"/>
  <c r="AC91" i="12"/>
  <c r="AK91" i="12"/>
  <c r="G91" i="12"/>
  <c r="AB91" i="12"/>
  <c r="AI91" i="12"/>
  <c r="I91" i="12"/>
  <c r="M91" i="12"/>
  <c r="AH91" i="12"/>
  <c r="AD91" i="12"/>
  <c r="AA91" i="12"/>
  <c r="R91" i="12"/>
  <c r="AG91" i="12"/>
  <c r="Y91" i="12"/>
  <c r="AF91" i="12"/>
  <c r="N91" i="12"/>
  <c r="X91" i="12"/>
  <c r="J91" i="12"/>
  <c r="W91" i="12"/>
  <c r="Z91" i="12"/>
  <c r="V91" i="12"/>
  <c r="F91" i="12"/>
  <c r="P91" i="12"/>
  <c r="AJ91" i="12"/>
  <c r="U91" i="12"/>
  <c r="AE91" i="12"/>
  <c r="E91" i="12"/>
  <c r="AE21" i="13"/>
  <c r="X21" i="13"/>
  <c r="J21" i="13"/>
  <c r="AK21" i="13"/>
  <c r="AC26" i="15"/>
  <c r="J26" i="15"/>
  <c r="F26" i="15"/>
  <c r="I26" i="15"/>
  <c r="V59" i="17"/>
  <c r="AF59" i="17"/>
  <c r="AB59" i="17"/>
  <c r="E59" i="17"/>
  <c r="U59" i="17"/>
  <c r="R59" i="17"/>
  <c r="N59" i="17"/>
  <c r="Z59" i="17"/>
  <c r="AH59" i="17"/>
  <c r="M59" i="17"/>
  <c r="W59" i="17"/>
  <c r="AG59" i="17"/>
  <c r="L59" i="17"/>
  <c r="AK59" i="17"/>
  <c r="Q59" i="17"/>
  <c r="F59" i="17"/>
  <c r="T59" i="17"/>
  <c r="O59" i="17"/>
  <c r="J59" i="17"/>
  <c r="AJ59" i="17"/>
  <c r="K59" i="17"/>
  <c r="P59" i="17"/>
  <c r="AI59" i="17"/>
  <c r="Y59" i="17"/>
  <c r="I59" i="17"/>
  <c r="S59" i="17"/>
  <c r="X59" i="17"/>
  <c r="AD59" i="17"/>
  <c r="H59" i="17"/>
  <c r="AE59" i="17"/>
  <c r="AC59" i="17"/>
  <c r="G59" i="17"/>
  <c r="AA59" i="17"/>
  <c r="G26" i="14"/>
  <c r="AE26" i="14"/>
  <c r="M26" i="14"/>
  <c r="AA26" i="14"/>
  <c r="AG21" i="16"/>
  <c r="E21" i="16"/>
  <c r="F21" i="16"/>
  <c r="AB21" i="16"/>
  <c r="R21" i="11"/>
  <c r="I21" i="11"/>
  <c r="J21" i="11"/>
  <c r="AK21" i="11"/>
  <c r="AJ89" i="13"/>
  <c r="M89" i="13"/>
  <c r="I89" i="13"/>
  <c r="U89" i="13"/>
  <c r="N89" i="13"/>
  <c r="AF89" i="13"/>
  <c r="AB89" i="13"/>
  <c r="E89" i="13"/>
  <c r="H89" i="13"/>
  <c r="AG89" i="13"/>
  <c r="Z89" i="13"/>
  <c r="V89" i="13"/>
  <c r="AH89" i="13"/>
  <c r="K89" i="13"/>
  <c r="L89" i="13"/>
  <c r="J89" i="13"/>
  <c r="AI89" i="13"/>
  <c r="AE89" i="13"/>
  <c r="AC89" i="13"/>
  <c r="S89" i="13"/>
  <c r="AD89" i="13"/>
  <c r="G89" i="13"/>
  <c r="X89" i="13"/>
  <c r="W89" i="13"/>
  <c r="O89" i="13"/>
  <c r="Q89" i="13"/>
  <c r="F89" i="13"/>
  <c r="R89" i="13"/>
  <c r="AK89" i="13"/>
  <c r="Y89" i="13"/>
  <c r="T89" i="13"/>
  <c r="AA89" i="13"/>
  <c r="P89" i="13"/>
  <c r="AE90" i="17"/>
  <c r="M90" i="17"/>
  <c r="AB90" i="17"/>
  <c r="E90" i="17"/>
  <c r="H90" i="17"/>
  <c r="Q90" i="17"/>
  <c r="Z90" i="17"/>
  <c r="F90" i="17"/>
  <c r="R90" i="17"/>
  <c r="O90" i="17"/>
  <c r="K90" i="17"/>
  <c r="I90" i="17"/>
  <c r="AG90" i="17"/>
  <c r="J90" i="17"/>
  <c r="L90" i="17"/>
  <c r="G90" i="17"/>
  <c r="AC90" i="17"/>
  <c r="AI90" i="17"/>
  <c r="N90" i="17"/>
  <c r="W90" i="17"/>
  <c r="AK90" i="17"/>
  <c r="P90" i="17"/>
  <c r="S90" i="17"/>
  <c r="V90" i="17"/>
  <c r="AD90" i="17"/>
  <c r="Y90" i="17"/>
  <c r="T90" i="17"/>
  <c r="U90" i="17"/>
  <c r="AA90" i="17"/>
  <c r="X90" i="17"/>
  <c r="AF90" i="17"/>
  <c r="AH90" i="17"/>
  <c r="AJ90" i="17"/>
  <c r="L91" i="11"/>
  <c r="E91" i="11"/>
  <c r="J91" i="11"/>
  <c r="M91" i="11"/>
  <c r="I91" i="11"/>
  <c r="AK91" i="11"/>
  <c r="U91" i="11"/>
  <c r="V91" i="11"/>
  <c r="R91" i="11"/>
  <c r="AG91" i="11"/>
  <c r="N91" i="11"/>
  <c r="AC91" i="11"/>
  <c r="AI91" i="11"/>
  <c r="X91" i="11"/>
  <c r="AF91" i="11"/>
  <c r="H91" i="11"/>
  <c r="K91" i="11"/>
  <c r="P91" i="11"/>
  <c r="Z91" i="11"/>
  <c r="AA91" i="11"/>
  <c r="S91" i="11"/>
  <c r="AD91" i="11"/>
  <c r="AH91" i="11"/>
  <c r="Q91" i="11"/>
  <c r="AJ91" i="11"/>
  <c r="Y91" i="11"/>
  <c r="T91" i="11"/>
  <c r="AE91" i="11"/>
  <c r="O91" i="11"/>
  <c r="AB91" i="11"/>
  <c r="G91" i="11"/>
  <c r="F91" i="11"/>
  <c r="W91" i="11"/>
  <c r="H86" i="13"/>
  <c r="F86" i="13"/>
  <c r="AC86" i="13"/>
  <c r="S86" i="13"/>
  <c r="E86" i="13"/>
  <c r="M86" i="13"/>
  <c r="AA86" i="13"/>
  <c r="AB86" i="13"/>
  <c r="K86" i="13"/>
  <c r="Q86" i="13"/>
  <c r="AI86" i="13"/>
  <c r="O86" i="13"/>
  <c r="N86" i="13"/>
  <c r="AJ86" i="13"/>
  <c r="AH86" i="13"/>
  <c r="U86" i="13"/>
  <c r="G86" i="13"/>
  <c r="R86" i="13"/>
  <c r="X86" i="13"/>
  <c r="AF86" i="13"/>
  <c r="Y86" i="13"/>
  <c r="T86" i="13"/>
  <c r="AE86" i="13"/>
  <c r="L86" i="13"/>
  <c r="AG86" i="13"/>
  <c r="W86" i="13"/>
  <c r="AD86" i="13"/>
  <c r="Z86" i="13"/>
  <c r="J86" i="13"/>
  <c r="AK86" i="13"/>
  <c r="V86" i="13"/>
  <c r="P86" i="13"/>
  <c r="I86" i="13"/>
  <c r="X21" i="12"/>
  <c r="AI21" i="12"/>
  <c r="J21" i="12"/>
  <c r="I21" i="12"/>
  <c r="L21" i="12"/>
  <c r="K26" i="13"/>
  <c r="Q26" i="13"/>
  <c r="AJ26" i="13"/>
  <c r="M26" i="13"/>
  <c r="AF62" i="17"/>
  <c r="AC62" i="17"/>
  <c r="Z62" i="17"/>
  <c r="AA62" i="17"/>
  <c r="T62" i="17"/>
  <c r="Q62" i="17"/>
  <c r="N62" i="17"/>
  <c r="O62" i="17"/>
  <c r="H62" i="17"/>
  <c r="M62" i="17"/>
  <c r="V62" i="17"/>
  <c r="AI62" i="17"/>
  <c r="L62" i="17"/>
  <c r="U62" i="17"/>
  <c r="AD62" i="17"/>
  <c r="P62" i="17"/>
  <c r="Y62" i="17"/>
  <c r="AH62" i="17"/>
  <c r="AJ62" i="17"/>
  <c r="F62" i="17"/>
  <c r="S62" i="17"/>
  <c r="AK62" i="17"/>
  <c r="J62" i="17"/>
  <c r="G62" i="17"/>
  <c r="R62" i="17"/>
  <c r="X62" i="17"/>
  <c r="E62" i="17"/>
  <c r="W62" i="17"/>
  <c r="AE62" i="17"/>
  <c r="AB62" i="17"/>
  <c r="I62" i="17"/>
  <c r="AG62" i="17"/>
  <c r="K62" i="17"/>
  <c r="T88" i="12"/>
  <c r="Q88" i="12"/>
  <c r="N88" i="12"/>
  <c r="O88" i="12"/>
  <c r="H88" i="12"/>
  <c r="E88" i="12"/>
  <c r="AK88" i="12"/>
  <c r="AH88" i="12"/>
  <c r="AI88" i="12"/>
  <c r="AB88" i="12"/>
  <c r="AG88" i="12"/>
  <c r="K88" i="12"/>
  <c r="AF88" i="12"/>
  <c r="F88" i="12"/>
  <c r="S88" i="12"/>
  <c r="AJ88" i="12"/>
  <c r="J88" i="12"/>
  <c r="W88" i="12"/>
  <c r="L88" i="12"/>
  <c r="U88" i="12"/>
  <c r="Z88" i="12"/>
  <c r="V88" i="12"/>
  <c r="I88" i="12"/>
  <c r="M88" i="12"/>
  <c r="P88" i="12"/>
  <c r="AD88" i="12"/>
  <c r="AA88" i="12"/>
  <c r="AE88" i="12"/>
  <c r="X88" i="12"/>
  <c r="G88" i="12"/>
  <c r="Y88" i="12"/>
  <c r="AC88" i="12"/>
  <c r="R88" i="12"/>
  <c r="AD26" i="12"/>
  <c r="H26" i="12"/>
  <c r="AE26" i="12"/>
  <c r="Z26" i="12"/>
  <c r="X26" i="17"/>
  <c r="V26" i="17"/>
  <c r="AI26" i="17"/>
  <c r="J26" i="17"/>
  <c r="H89" i="12"/>
  <c r="Q89" i="12"/>
  <c r="F89" i="12"/>
  <c r="G89" i="12"/>
  <c r="N89" i="12"/>
  <c r="AE89" i="12"/>
  <c r="AA89" i="12"/>
  <c r="W89" i="12"/>
  <c r="AI89" i="12"/>
  <c r="AJ89" i="12"/>
  <c r="P89" i="12"/>
  <c r="AD89" i="12"/>
  <c r="J89" i="12"/>
  <c r="AH89" i="12"/>
  <c r="AK89" i="12"/>
  <c r="T89" i="12"/>
  <c r="R89" i="12"/>
  <c r="U89" i="12"/>
  <c r="AG89" i="12"/>
  <c r="AC89" i="12"/>
  <c r="AB89" i="12"/>
  <c r="V89" i="12"/>
  <c r="X89" i="12"/>
  <c r="M89" i="12"/>
  <c r="Y89" i="12"/>
  <c r="I89" i="12"/>
  <c r="AF89" i="12"/>
  <c r="O89" i="12"/>
  <c r="L89" i="12"/>
  <c r="Z89" i="12"/>
  <c r="S89" i="12"/>
  <c r="K89" i="12"/>
  <c r="E89" i="12"/>
  <c r="H60" i="13"/>
  <c r="AE60" i="13"/>
  <c r="AA60" i="13"/>
  <c r="W60" i="13"/>
  <c r="AI60" i="13"/>
  <c r="AG60" i="13"/>
  <c r="K60" i="13"/>
  <c r="G60" i="13"/>
  <c r="S60" i="13"/>
  <c r="AJ60" i="13"/>
  <c r="M60" i="13"/>
  <c r="I60" i="13"/>
  <c r="U60" i="13"/>
  <c r="N60" i="13"/>
  <c r="F60" i="13"/>
  <c r="X60" i="13"/>
  <c r="J60" i="13"/>
  <c r="T60" i="13"/>
  <c r="Y60" i="13"/>
  <c r="L60" i="13"/>
  <c r="Z60" i="13"/>
  <c r="AB60" i="13"/>
  <c r="O60" i="13"/>
  <c r="AF60" i="13"/>
  <c r="R60" i="13"/>
  <c r="AK60" i="13"/>
  <c r="E60" i="13"/>
  <c r="AD60" i="13"/>
  <c r="AC60" i="13"/>
  <c r="Q60" i="13"/>
  <c r="P60" i="13"/>
  <c r="V60" i="13"/>
  <c r="AH60" i="13"/>
  <c r="L63" i="17"/>
  <c r="E63" i="17"/>
  <c r="AK63" i="17"/>
  <c r="AH63" i="17"/>
  <c r="AF63" i="17"/>
  <c r="Y63" i="17"/>
  <c r="V63" i="17"/>
  <c r="AA63" i="17"/>
  <c r="T63" i="17"/>
  <c r="U63" i="17"/>
  <c r="AD63" i="17"/>
  <c r="X63" i="17"/>
  <c r="AC63" i="17"/>
  <c r="G63" i="17"/>
  <c r="AB63" i="17"/>
  <c r="AG63" i="17"/>
  <c r="O63" i="17"/>
  <c r="I63" i="17"/>
  <c r="N63" i="17"/>
  <c r="AE63" i="17"/>
  <c r="K63" i="17"/>
  <c r="W63" i="17"/>
  <c r="F63" i="17"/>
  <c r="M63" i="17"/>
  <c r="AI63" i="17"/>
  <c r="Q63" i="17"/>
  <c r="H63" i="17"/>
  <c r="R63" i="17"/>
  <c r="AJ63" i="17"/>
  <c r="S63" i="17"/>
  <c r="J63" i="17"/>
  <c r="Z63" i="17"/>
  <c r="P63" i="17"/>
  <c r="I89" i="15"/>
  <c r="E89" i="15"/>
  <c r="AD89" i="15"/>
  <c r="M89" i="15"/>
  <c r="H89" i="15"/>
  <c r="Y89" i="15"/>
  <c r="G89" i="15"/>
  <c r="AH89" i="15"/>
  <c r="O89" i="15"/>
  <c r="F89" i="15"/>
  <c r="U89" i="15"/>
  <c r="L89" i="15"/>
  <c r="T89" i="15"/>
  <c r="AF89" i="15"/>
  <c r="Z89" i="15"/>
  <c r="J89" i="15"/>
  <c r="AG89" i="15"/>
  <c r="N89" i="15"/>
  <c r="AK89" i="15"/>
  <c r="AC89" i="15"/>
  <c r="V89" i="15"/>
  <c r="S89" i="15"/>
  <c r="P89" i="15"/>
  <c r="X89" i="15"/>
  <c r="AI89" i="15"/>
  <c r="K89" i="15"/>
  <c r="AB89" i="15"/>
  <c r="W89" i="15"/>
  <c r="AA89" i="15"/>
  <c r="Q89" i="15"/>
  <c r="AJ89" i="15"/>
  <c r="AE89" i="15"/>
  <c r="R89" i="15"/>
  <c r="AK26" i="11"/>
  <c r="W26" i="11"/>
  <c r="O26" i="11"/>
  <c r="R26" i="11"/>
  <c r="AA26" i="16"/>
  <c r="V26" i="16"/>
  <c r="K26" i="16"/>
  <c r="N26" i="16"/>
  <c r="K21" i="17"/>
  <c r="G21" i="17"/>
  <c r="O21" i="17"/>
  <c r="V21" i="17"/>
  <c r="X64" i="14"/>
  <c r="U64" i="14"/>
  <c r="R64" i="14"/>
  <c r="S64" i="14"/>
  <c r="L64" i="14"/>
  <c r="I64" i="14"/>
  <c r="F64" i="14"/>
  <c r="G64" i="14"/>
  <c r="H64" i="14"/>
  <c r="Q64" i="14"/>
  <c r="Z64" i="14"/>
  <c r="AI64" i="14"/>
  <c r="P64" i="14"/>
  <c r="Y64" i="14"/>
  <c r="AD64" i="14"/>
  <c r="AJ64" i="14"/>
  <c r="J64" i="14"/>
  <c r="W64" i="14"/>
  <c r="AB64" i="14"/>
  <c r="V64" i="14"/>
  <c r="AF64" i="14"/>
  <c r="AH64" i="14"/>
  <c r="O64" i="14"/>
  <c r="E64" i="14"/>
  <c r="K64" i="14"/>
  <c r="M64" i="14"/>
  <c r="AG64" i="14"/>
  <c r="AE64" i="14"/>
  <c r="AK64" i="14"/>
  <c r="N64" i="14"/>
  <c r="AA64" i="14"/>
  <c r="T64" i="14"/>
  <c r="AC64" i="14"/>
  <c r="AJ64" i="13"/>
  <c r="I64" i="13"/>
  <c r="G64" i="13"/>
  <c r="AH64" i="13"/>
  <c r="H64" i="13"/>
  <c r="K64" i="13"/>
  <c r="M64" i="13"/>
  <c r="F64" i="13"/>
  <c r="O64" i="13"/>
  <c r="X64" i="13"/>
  <c r="AE64" i="13"/>
  <c r="AC64" i="13"/>
  <c r="V64" i="13"/>
  <c r="AB64" i="13"/>
  <c r="U64" i="13"/>
  <c r="AD64" i="13"/>
  <c r="W64" i="13"/>
  <c r="AF64" i="13"/>
  <c r="Y64" i="13"/>
  <c r="AK64" i="13"/>
  <c r="S64" i="13"/>
  <c r="AG64" i="13"/>
  <c r="L64" i="13"/>
  <c r="AI64" i="13"/>
  <c r="N64" i="13"/>
  <c r="Q64" i="13"/>
  <c r="Z64" i="13"/>
  <c r="J64" i="13"/>
  <c r="P64" i="13"/>
  <c r="R64" i="13"/>
  <c r="T64" i="13"/>
  <c r="AA64" i="13"/>
  <c r="E64" i="13"/>
  <c r="Q21" i="14"/>
  <c r="AK21" i="14"/>
  <c r="G21" i="14"/>
  <c r="AG21" i="14"/>
  <c r="H63" i="11"/>
  <c r="AH63" i="11"/>
  <c r="AD63" i="11"/>
  <c r="Z63" i="11"/>
  <c r="G63" i="11"/>
  <c r="AI63" i="11"/>
  <c r="AF63" i="11"/>
  <c r="AB63" i="11"/>
  <c r="E63" i="11"/>
  <c r="Q63" i="11"/>
  <c r="M63" i="11"/>
  <c r="AE63" i="11"/>
  <c r="R63" i="11"/>
  <c r="P63" i="11"/>
  <c r="V63" i="11"/>
  <c r="AJ63" i="11"/>
  <c r="O63" i="11"/>
  <c r="F63" i="11"/>
  <c r="N63" i="11"/>
  <c r="Y63" i="11"/>
  <c r="X63" i="11"/>
  <c r="S63" i="11"/>
  <c r="U63" i="11"/>
  <c r="K63" i="11"/>
  <c r="W63" i="11"/>
  <c r="J63" i="11"/>
  <c r="AC63" i="11"/>
  <c r="AA63" i="11"/>
  <c r="I63" i="11"/>
  <c r="AG63" i="11"/>
  <c r="L63" i="11"/>
  <c r="T63" i="11"/>
  <c r="AK63" i="11"/>
  <c r="L26" i="12"/>
  <c r="L21" i="14"/>
  <c r="H88" i="17"/>
  <c r="N88" i="17"/>
  <c r="AD88" i="17"/>
  <c r="Q88" i="17"/>
  <c r="V88" i="17"/>
  <c r="AJ88" i="17"/>
  <c r="AG88" i="17"/>
  <c r="K88" i="17"/>
  <c r="I88" i="17"/>
  <c r="AC88" i="17"/>
  <c r="AH88" i="17"/>
  <c r="J88" i="17"/>
  <c r="E88" i="17"/>
  <c r="S88" i="17"/>
  <c r="T88" i="17"/>
  <c r="AB88" i="17"/>
  <c r="X88" i="17"/>
  <c r="R88" i="17"/>
  <c r="AE88" i="17"/>
  <c r="L88" i="17"/>
  <c r="AF88" i="17"/>
  <c r="M88" i="17"/>
  <c r="W88" i="17"/>
  <c r="P88" i="17"/>
  <c r="AA88" i="17"/>
  <c r="U88" i="17"/>
  <c r="Z88" i="17"/>
  <c r="G88" i="17"/>
  <c r="O88" i="17"/>
  <c r="AK88" i="17"/>
  <c r="AI88" i="17"/>
  <c r="F88" i="17"/>
  <c r="Y88" i="17"/>
  <c r="H64" i="16"/>
  <c r="T64" i="16"/>
  <c r="K64" i="16"/>
  <c r="Y64" i="16"/>
  <c r="AK64" i="16"/>
  <c r="AE64" i="16"/>
  <c r="Z64" i="16"/>
  <c r="G64" i="16"/>
  <c r="S64" i="16"/>
  <c r="AA64" i="16"/>
  <c r="F64" i="16"/>
  <c r="E64" i="16"/>
  <c r="AC64" i="16"/>
  <c r="I64" i="16"/>
  <c r="X64" i="16"/>
  <c r="AF64" i="16"/>
  <c r="AB64" i="16"/>
  <c r="AJ64" i="16"/>
  <c r="AG64" i="16"/>
  <c r="P64" i="16"/>
  <c r="AH64" i="16"/>
  <c r="M64" i="16"/>
  <c r="L64" i="16"/>
  <c r="W64" i="16"/>
  <c r="N64" i="16"/>
  <c r="V64" i="16"/>
  <c r="O64" i="16"/>
  <c r="R64" i="16"/>
  <c r="Q64" i="16"/>
  <c r="J64" i="16"/>
  <c r="AD64" i="16"/>
  <c r="AI64" i="16"/>
  <c r="U64" i="16"/>
  <c r="AA21" i="16"/>
  <c r="E21" i="13"/>
  <c r="H26" i="15"/>
  <c r="X90" i="11"/>
  <c r="U90" i="11"/>
  <c r="N90" i="11"/>
  <c r="S90" i="11"/>
  <c r="L90" i="11"/>
  <c r="I90" i="11"/>
  <c r="K90" i="11"/>
  <c r="AH90" i="11"/>
  <c r="E90" i="11"/>
  <c r="J90" i="11"/>
  <c r="AA90" i="11"/>
  <c r="M90" i="11"/>
  <c r="R90" i="11"/>
  <c r="AE90" i="11"/>
  <c r="H90" i="11"/>
  <c r="Q90" i="11"/>
  <c r="V90" i="11"/>
  <c r="AI90" i="11"/>
  <c r="AB90" i="11"/>
  <c r="AG90" i="11"/>
  <c r="G90" i="11"/>
  <c r="AC90" i="11"/>
  <c r="Z90" i="11"/>
  <c r="T90" i="11"/>
  <c r="AK90" i="11"/>
  <c r="P90" i="11"/>
  <c r="AD90" i="11"/>
  <c r="F90" i="11"/>
  <c r="AF90" i="11"/>
  <c r="O90" i="11"/>
  <c r="AJ90" i="11"/>
  <c r="W90" i="11"/>
  <c r="Y90" i="11"/>
  <c r="O63" i="14"/>
  <c r="AC63" i="14"/>
  <c r="Y63" i="14"/>
  <c r="AK63" i="14"/>
  <c r="N63" i="14"/>
  <c r="K63" i="14"/>
  <c r="G63" i="14"/>
  <c r="S63" i="14"/>
  <c r="J63" i="14"/>
  <c r="AB63" i="14"/>
  <c r="H63" i="14"/>
  <c r="AG63" i="14"/>
  <c r="M63" i="14"/>
  <c r="L63" i="14"/>
  <c r="AJ63" i="14"/>
  <c r="V63" i="14"/>
  <c r="U63" i="14"/>
  <c r="AD63" i="14"/>
  <c r="AI63" i="14"/>
  <c r="AF63" i="14"/>
  <c r="AA63" i="14"/>
  <c r="AH63" i="14"/>
  <c r="E63" i="14"/>
  <c r="Z63" i="14"/>
  <c r="R63" i="14"/>
  <c r="W63" i="14"/>
  <c r="X63" i="14"/>
  <c r="T63" i="14"/>
  <c r="Q63" i="14"/>
  <c r="AE63" i="14"/>
  <c r="P63" i="14"/>
  <c r="F63" i="14"/>
  <c r="I63" i="14"/>
  <c r="L59" i="14"/>
  <c r="AF59" i="14"/>
  <c r="Q59" i="14"/>
  <c r="S59" i="14"/>
  <c r="R59" i="14"/>
  <c r="AE59" i="14"/>
  <c r="X59" i="14"/>
  <c r="AC59" i="14"/>
  <c r="P59" i="14"/>
  <c r="N59" i="14"/>
  <c r="V59" i="14"/>
  <c r="F59" i="14"/>
  <c r="AB59" i="14"/>
  <c r="M59" i="14"/>
  <c r="H59" i="14"/>
  <c r="U59" i="14"/>
  <c r="G59" i="14"/>
  <c r="E59" i="14"/>
  <c r="K59" i="14"/>
  <c r="AD59" i="14"/>
  <c r="I59" i="14"/>
  <c r="O59" i="14"/>
  <c r="Z59" i="14"/>
  <c r="J59" i="14"/>
  <c r="T59" i="14"/>
  <c r="AG59" i="14"/>
  <c r="W59" i="14"/>
  <c r="AI59" i="14"/>
  <c r="AA59" i="14"/>
  <c r="AK59" i="14"/>
  <c r="AJ59" i="14"/>
  <c r="AH59" i="14"/>
  <c r="Y59" i="14"/>
  <c r="E26" i="13"/>
  <c r="AC26" i="12"/>
  <c r="J26" i="11"/>
  <c r="AD26" i="16"/>
  <c r="AK21" i="17"/>
  <c r="G21" i="13"/>
  <c r="R26" i="15"/>
  <c r="S26" i="14"/>
  <c r="AG89" i="11"/>
  <c r="J89" i="11"/>
  <c r="M89" i="11"/>
  <c r="U89" i="11"/>
  <c r="AH89" i="11"/>
  <c r="Y89" i="11"/>
  <c r="V89" i="11"/>
  <c r="AD89" i="11"/>
  <c r="W89" i="11"/>
  <c r="R89" i="11"/>
  <c r="AC89" i="11"/>
  <c r="X89" i="11"/>
  <c r="H89" i="11"/>
  <c r="L89" i="11"/>
  <c r="AB89" i="11"/>
  <c r="AF89" i="11"/>
  <c r="K89" i="11"/>
  <c r="P89" i="11"/>
  <c r="Z89" i="11"/>
  <c r="AA89" i="11"/>
  <c r="N89" i="11"/>
  <c r="AE89" i="11"/>
  <c r="O89" i="11"/>
  <c r="T89" i="11"/>
  <c r="AJ89" i="11"/>
  <c r="AK89" i="11"/>
  <c r="Q89" i="11"/>
  <c r="S89" i="11"/>
  <c r="E89" i="11"/>
  <c r="G89" i="11"/>
  <c r="F89" i="11"/>
  <c r="I89" i="11"/>
  <c r="AI89" i="11"/>
  <c r="N21" i="16"/>
  <c r="AC21" i="16"/>
  <c r="R21" i="16"/>
  <c r="F21" i="11"/>
  <c r="AD21" i="11"/>
  <c r="AG65" i="15"/>
  <c r="AA65" i="15"/>
  <c r="W65" i="15"/>
  <c r="AI65" i="15"/>
  <c r="AJ65" i="15"/>
  <c r="M65" i="15"/>
  <c r="I65" i="15"/>
  <c r="U65" i="15"/>
  <c r="H65" i="15"/>
  <c r="AD65" i="15"/>
  <c r="P65" i="15"/>
  <c r="AH65" i="15"/>
  <c r="N65" i="15"/>
  <c r="G65" i="15"/>
  <c r="R65" i="15"/>
  <c r="T65" i="15"/>
  <c r="V65" i="15"/>
  <c r="AK65" i="15"/>
  <c r="AE65" i="15"/>
  <c r="J65" i="15"/>
  <c r="AB65" i="15"/>
  <c r="Y65" i="15"/>
  <c r="O65" i="15"/>
  <c r="L65" i="15"/>
  <c r="E65" i="15"/>
  <c r="Q65" i="15"/>
  <c r="S65" i="15"/>
  <c r="K65" i="15"/>
  <c r="AC65" i="15"/>
  <c r="F65" i="15"/>
  <c r="X65" i="15"/>
  <c r="Z65" i="15"/>
  <c r="AF65" i="15"/>
  <c r="M60" i="16"/>
  <c r="AD60" i="16"/>
  <c r="G60" i="16"/>
  <c r="S60" i="16"/>
  <c r="N60" i="16"/>
  <c r="T60" i="16"/>
  <c r="AC60" i="16"/>
  <c r="AB60" i="16"/>
  <c r="E60" i="16"/>
  <c r="J60" i="16"/>
  <c r="W60" i="16"/>
  <c r="R60" i="16"/>
  <c r="V60" i="16"/>
  <c r="AK60" i="16"/>
  <c r="F60" i="16"/>
  <c r="U60" i="16"/>
  <c r="K60" i="16"/>
  <c r="AA60" i="16"/>
  <c r="L60" i="16"/>
  <c r="O60" i="16"/>
  <c r="P60" i="16"/>
  <c r="H60" i="16"/>
  <c r="AJ60" i="16"/>
  <c r="Z60" i="16"/>
  <c r="AE60" i="16"/>
  <c r="AF60" i="16"/>
  <c r="Y60" i="16"/>
  <c r="AI60" i="16"/>
  <c r="AG60" i="16"/>
  <c r="AH60" i="16"/>
  <c r="X60" i="16"/>
  <c r="Q60" i="16"/>
  <c r="I60" i="16"/>
  <c r="H86" i="14"/>
  <c r="AA86" i="14"/>
  <c r="K86" i="14"/>
  <c r="Y86" i="14"/>
  <c r="AK86" i="14"/>
  <c r="Z86" i="14"/>
  <c r="J86" i="14"/>
  <c r="I86" i="14"/>
  <c r="U86" i="14"/>
  <c r="N86" i="14"/>
  <c r="G86" i="14"/>
  <c r="S86" i="14"/>
  <c r="Q86" i="14"/>
  <c r="L86" i="14"/>
  <c r="P86" i="14"/>
  <c r="T86" i="14"/>
  <c r="AI86" i="14"/>
  <c r="AG86" i="14"/>
  <c r="M86" i="14"/>
  <c r="AH86" i="14"/>
  <c r="R86" i="14"/>
  <c r="AE86" i="14"/>
  <c r="AC86" i="14"/>
  <c r="V86" i="14"/>
  <c r="X86" i="14"/>
  <c r="F86" i="14"/>
  <c r="AD86" i="14"/>
  <c r="AB86" i="14"/>
  <c r="AJ86" i="14"/>
  <c r="E86" i="14"/>
  <c r="AF86" i="14"/>
  <c r="O86" i="14"/>
  <c r="W86" i="14"/>
  <c r="P21" i="12"/>
  <c r="AJ21" i="12"/>
  <c r="AE21" i="12"/>
  <c r="N21" i="12"/>
  <c r="S26" i="13"/>
  <c r="AI26" i="13"/>
  <c r="AA26" i="13"/>
  <c r="L26" i="13"/>
  <c r="J89" i="17"/>
  <c r="Q89" i="17"/>
  <c r="AB89" i="17"/>
  <c r="E89" i="17"/>
  <c r="Z89" i="17"/>
  <c r="AF89" i="17"/>
  <c r="F89" i="17"/>
  <c r="R89" i="17"/>
  <c r="AD89" i="17"/>
  <c r="P89" i="17"/>
  <c r="I89" i="17"/>
  <c r="AC89" i="17"/>
  <c r="O89" i="17"/>
  <c r="L89" i="17"/>
  <c r="AE89" i="17"/>
  <c r="N89" i="17"/>
  <c r="AI89" i="17"/>
  <c r="AJ89" i="17"/>
  <c r="G89" i="17"/>
  <c r="AK89" i="17"/>
  <c r="AA89" i="17"/>
  <c r="AH89" i="17"/>
  <c r="K89" i="17"/>
  <c r="U89" i="17"/>
  <c r="H89" i="17"/>
  <c r="AG89" i="17"/>
  <c r="X89" i="17"/>
  <c r="T89" i="17"/>
  <c r="V89" i="17"/>
  <c r="M89" i="17"/>
  <c r="W89" i="17"/>
  <c r="Y89" i="17"/>
  <c r="S89" i="17"/>
  <c r="X62" i="16"/>
  <c r="I62" i="16"/>
  <c r="O62" i="16"/>
  <c r="AD62" i="16"/>
  <c r="L62" i="16"/>
  <c r="W62" i="16"/>
  <c r="AC62" i="16"/>
  <c r="R62" i="16"/>
  <c r="K62" i="16"/>
  <c r="AK62" i="16"/>
  <c r="G62" i="16"/>
  <c r="AI62" i="16"/>
  <c r="AA62" i="16"/>
  <c r="S62" i="16"/>
  <c r="H62" i="16"/>
  <c r="E62" i="16"/>
  <c r="F62" i="16"/>
  <c r="AE62" i="16"/>
  <c r="AB62" i="16"/>
  <c r="U62" i="16"/>
  <c r="V62" i="16"/>
  <c r="Q62" i="16"/>
  <c r="J62" i="16"/>
  <c r="Y62" i="16"/>
  <c r="P62" i="16"/>
  <c r="AG62" i="16"/>
  <c r="AF62" i="16"/>
  <c r="Z62" i="16"/>
  <c r="T62" i="16"/>
  <c r="AJ62" i="16"/>
  <c r="M62" i="16"/>
  <c r="N62" i="16"/>
  <c r="AH62" i="16"/>
  <c r="Q90" i="14"/>
  <c r="J90" i="14"/>
  <c r="F90" i="14"/>
  <c r="R90" i="14"/>
  <c r="H90" i="14"/>
  <c r="AE90" i="14"/>
  <c r="AA90" i="14"/>
  <c r="W90" i="14"/>
  <c r="AI90" i="14"/>
  <c r="Z90" i="14"/>
  <c r="I90" i="14"/>
  <c r="X90" i="14"/>
  <c r="AG90" i="14"/>
  <c r="AC90" i="14"/>
  <c r="AB90" i="14"/>
  <c r="N90" i="14"/>
  <c r="G90" i="14"/>
  <c r="AK90" i="14"/>
  <c r="AD90" i="14"/>
  <c r="Y90" i="14"/>
  <c r="AH90" i="14"/>
  <c r="AJ90" i="14"/>
  <c r="L90" i="14"/>
  <c r="K90" i="14"/>
  <c r="T90" i="14"/>
  <c r="S90" i="14"/>
  <c r="AF90" i="14"/>
  <c r="E90" i="14"/>
  <c r="M90" i="14"/>
  <c r="O90" i="14"/>
  <c r="P90" i="14"/>
  <c r="V90" i="14"/>
  <c r="U90" i="14"/>
  <c r="AI26" i="12"/>
  <c r="K26" i="12"/>
  <c r="J26" i="12"/>
  <c r="S26" i="12"/>
  <c r="AA26" i="17"/>
  <c r="W26" i="17"/>
  <c r="AF26" i="17"/>
  <c r="AC26" i="17"/>
  <c r="E17" i="16" a="1"/>
  <c r="E17" i="12" a="1"/>
  <c r="AH26" i="11"/>
  <c r="T26" i="11"/>
  <c r="G26" i="11"/>
  <c r="I26" i="11"/>
  <c r="X26" i="11"/>
  <c r="AI26" i="16"/>
  <c r="AB26" i="16"/>
  <c r="AC26" i="16"/>
  <c r="S26" i="16"/>
  <c r="J21" i="17"/>
  <c r="H21" i="17"/>
  <c r="AB21" i="17"/>
  <c r="P21" i="17"/>
  <c r="H92" i="17"/>
  <c r="AA92" i="17"/>
  <c r="E92" i="17"/>
  <c r="AF92" i="17"/>
  <c r="K92" i="17"/>
  <c r="AJ92" i="17"/>
  <c r="T92" i="17"/>
  <c r="G92" i="17"/>
  <c r="W92" i="17"/>
  <c r="Z92" i="17"/>
  <c r="M92" i="17"/>
  <c r="I92" i="17"/>
  <c r="AI92" i="17"/>
  <c r="J92" i="17"/>
  <c r="P92" i="17"/>
  <c r="AC92" i="17"/>
  <c r="AK92" i="17"/>
  <c r="O92" i="17"/>
  <c r="AB92" i="17"/>
  <c r="N92" i="17"/>
  <c r="AG92" i="17"/>
  <c r="AD92" i="17"/>
  <c r="AE92" i="17"/>
  <c r="V92" i="17"/>
  <c r="Y92" i="17"/>
  <c r="AH92" i="17"/>
  <c r="R92" i="17"/>
  <c r="Q92" i="17"/>
  <c r="L92" i="17"/>
  <c r="F92" i="17"/>
  <c r="X92" i="17"/>
  <c r="U92" i="17"/>
  <c r="S92" i="17"/>
  <c r="Z88" i="14"/>
  <c r="F88" i="14"/>
  <c r="O88" i="14"/>
  <c r="T88" i="14"/>
  <c r="P88" i="14"/>
  <c r="L88" i="14"/>
  <c r="V88" i="14"/>
  <c r="I88" i="14"/>
  <c r="E88" i="14"/>
  <c r="W88" i="14"/>
  <c r="AC88" i="14"/>
  <c r="S88" i="14"/>
  <c r="K88" i="14"/>
  <c r="AJ88" i="14"/>
  <c r="AH88" i="14"/>
  <c r="N88" i="14"/>
  <c r="AG88" i="14"/>
  <c r="AA88" i="14"/>
  <c r="U88" i="14"/>
  <c r="G88" i="14"/>
  <c r="AD88" i="14"/>
  <c r="AE88" i="14"/>
  <c r="M88" i="14"/>
  <c r="AK88" i="14"/>
  <c r="H88" i="14"/>
  <c r="Q88" i="14"/>
  <c r="R88" i="14"/>
  <c r="AF88" i="14"/>
  <c r="X88" i="14"/>
  <c r="Y88" i="14"/>
  <c r="AB88" i="14"/>
  <c r="AI88" i="14"/>
  <c r="J88" i="14"/>
  <c r="E21" i="14"/>
  <c r="R21" i="14"/>
  <c r="T21" i="14"/>
  <c r="AA21" i="14"/>
  <c r="AG91" i="16"/>
  <c r="N91" i="16"/>
  <c r="G91" i="16"/>
  <c r="S91" i="16"/>
  <c r="Z91" i="16"/>
  <c r="M91" i="16"/>
  <c r="AB91" i="16"/>
  <c r="E91" i="16"/>
  <c r="AC91" i="16"/>
  <c r="W91" i="16"/>
  <c r="R91" i="16"/>
  <c r="AF91" i="16"/>
  <c r="V91" i="16"/>
  <c r="AK91" i="16"/>
  <c r="O91" i="16"/>
  <c r="F91" i="16"/>
  <c r="U91" i="16"/>
  <c r="AJ91" i="16"/>
  <c r="K91" i="16"/>
  <c r="L91" i="16"/>
  <c r="I91" i="16"/>
  <c r="AE91" i="16"/>
  <c r="Q91" i="16"/>
  <c r="AI91" i="16"/>
  <c r="AA91" i="16"/>
  <c r="AH91" i="16"/>
  <c r="X91" i="16"/>
  <c r="H91" i="16"/>
  <c r="J91" i="16"/>
  <c r="T91" i="16"/>
  <c r="P91" i="16"/>
  <c r="AD91" i="16"/>
  <c r="Y91" i="16"/>
  <c r="E17" i="14" a="1"/>
  <c r="H90" i="13"/>
  <c r="AJ90" i="13"/>
  <c r="M90" i="13"/>
  <c r="I90" i="13"/>
  <c r="U90" i="13"/>
  <c r="N90" i="13"/>
  <c r="AF90" i="13"/>
  <c r="AB90" i="13"/>
  <c r="E90" i="13"/>
  <c r="O90" i="13"/>
  <c r="Z90" i="13"/>
  <c r="V90" i="13"/>
  <c r="AH90" i="13"/>
  <c r="Q90" i="13"/>
  <c r="W90" i="13"/>
  <c r="AK90" i="13"/>
  <c r="AE90" i="13"/>
  <c r="AD90" i="13"/>
  <c r="G90" i="13"/>
  <c r="X90" i="13"/>
  <c r="T90" i="13"/>
  <c r="F90" i="13"/>
  <c r="J90" i="13"/>
  <c r="AI90" i="13"/>
  <c r="L90" i="13"/>
  <c r="AA90" i="13"/>
  <c r="S90" i="13"/>
  <c r="K90" i="13"/>
  <c r="AG90" i="13"/>
  <c r="R90" i="13"/>
  <c r="AC90" i="13"/>
  <c r="P90" i="13"/>
  <c r="Y90" i="13"/>
  <c r="V21" i="16"/>
  <c r="H61" i="17"/>
  <c r="AE61" i="17"/>
  <c r="T61" i="17"/>
  <c r="P61" i="17"/>
  <c r="L61" i="17"/>
  <c r="X61" i="17"/>
  <c r="AD61" i="17"/>
  <c r="K61" i="17"/>
  <c r="Y61" i="17"/>
  <c r="AK61" i="17"/>
  <c r="AF61" i="17"/>
  <c r="AB61" i="17"/>
  <c r="O61" i="17"/>
  <c r="J61" i="17"/>
  <c r="AI61" i="17"/>
  <c r="Q61" i="17"/>
  <c r="M61" i="17"/>
  <c r="S61" i="17"/>
  <c r="AA61" i="17"/>
  <c r="V61" i="17"/>
  <c r="U61" i="17"/>
  <c r="N61" i="17"/>
  <c r="R61" i="17"/>
  <c r="W61" i="17"/>
  <c r="Z61" i="17"/>
  <c r="E61" i="17"/>
  <c r="AG61" i="17"/>
  <c r="AC61" i="17"/>
  <c r="F61" i="17"/>
  <c r="I61" i="17"/>
  <c r="AH61" i="17"/>
  <c r="AJ61" i="17"/>
  <c r="G61" i="17"/>
  <c r="H63" i="12"/>
  <c r="AJ63" i="12"/>
  <c r="M63" i="12"/>
  <c r="I63" i="12"/>
  <c r="U63" i="12"/>
  <c r="N63" i="12"/>
  <c r="AF63" i="12"/>
  <c r="AB63" i="12"/>
  <c r="E63" i="12"/>
  <c r="O63" i="12"/>
  <c r="Z63" i="12"/>
  <c r="V63" i="12"/>
  <c r="AH63" i="12"/>
  <c r="K63" i="12"/>
  <c r="L63" i="12"/>
  <c r="J63" i="12"/>
  <c r="AI63" i="12"/>
  <c r="AE63" i="12"/>
  <c r="AC63" i="12"/>
  <c r="S63" i="12"/>
  <c r="AD63" i="12"/>
  <c r="G63" i="12"/>
  <c r="X63" i="12"/>
  <c r="Q63" i="12"/>
  <c r="AK63" i="12"/>
  <c r="W63" i="12"/>
  <c r="T63" i="12"/>
  <c r="P63" i="12"/>
  <c r="AA63" i="12"/>
  <c r="F63" i="12"/>
  <c r="Y63" i="12"/>
  <c r="AG63" i="12"/>
  <c r="R63" i="12"/>
  <c r="V26" i="13"/>
  <c r="M26" i="17"/>
  <c r="AE21" i="14"/>
  <c r="AA21" i="13"/>
  <c r="K26" i="15"/>
  <c r="R26" i="14"/>
  <c r="AG90" i="16"/>
  <c r="P90" i="16"/>
  <c r="L90" i="16"/>
  <c r="E90" i="16"/>
  <c r="AJ90" i="16"/>
  <c r="AC90" i="16"/>
  <c r="Y90" i="16"/>
  <c r="R90" i="16"/>
  <c r="H90" i="16"/>
  <c r="AD90" i="16"/>
  <c r="AF90" i="16"/>
  <c r="AI90" i="16"/>
  <c r="N90" i="16"/>
  <c r="W90" i="16"/>
  <c r="S90" i="16"/>
  <c r="T90" i="16"/>
  <c r="G90" i="16"/>
  <c r="AH90" i="16"/>
  <c r="O90" i="16"/>
  <c r="Z90" i="16"/>
  <c r="I90" i="16"/>
  <c r="X90" i="16"/>
  <c r="K90" i="16"/>
  <c r="U90" i="16"/>
  <c r="J90" i="16"/>
  <c r="V90" i="16"/>
  <c r="M90" i="16"/>
  <c r="Q90" i="16"/>
  <c r="AB90" i="16"/>
  <c r="AA90" i="16"/>
  <c r="AK90" i="16"/>
  <c r="F90" i="16"/>
  <c r="AE90" i="16"/>
  <c r="AD21" i="13"/>
  <c r="F26" i="14"/>
  <c r="AH21" i="11"/>
  <c r="O21" i="11"/>
  <c r="Z26" i="13"/>
  <c r="G26" i="13"/>
  <c r="AJ92" i="13"/>
  <c r="AG92" i="13"/>
  <c r="AD92" i="13"/>
  <c r="AE92" i="13"/>
  <c r="H92" i="13"/>
  <c r="E92" i="13"/>
  <c r="AK92" i="13"/>
  <c r="AH92" i="13"/>
  <c r="AI92" i="13"/>
  <c r="X92" i="13"/>
  <c r="U92" i="13"/>
  <c r="R92" i="13"/>
  <c r="S92" i="13"/>
  <c r="AB92" i="13"/>
  <c r="J92" i="13"/>
  <c r="AA92" i="13"/>
  <c r="M92" i="13"/>
  <c r="AF92" i="13"/>
  <c r="N92" i="13"/>
  <c r="Z92" i="13"/>
  <c r="I92" i="13"/>
  <c r="V92" i="13"/>
  <c r="L92" i="13"/>
  <c r="Y92" i="13"/>
  <c r="K92" i="13"/>
  <c r="W92" i="13"/>
  <c r="Q92" i="13"/>
  <c r="P92" i="13"/>
  <c r="AC92" i="13"/>
  <c r="T92" i="13"/>
  <c r="F92" i="13"/>
  <c r="G92" i="13"/>
  <c r="O92" i="13"/>
  <c r="H61" i="11"/>
  <c r="AJ61" i="11"/>
  <c r="O61" i="11"/>
  <c r="N61" i="11"/>
  <c r="Z61" i="11"/>
  <c r="Q61" i="11"/>
  <c r="AC61" i="11"/>
  <c r="AB61" i="11"/>
  <c r="E61" i="11"/>
  <c r="AG61" i="11"/>
  <c r="AI61" i="11"/>
  <c r="AA61" i="11"/>
  <c r="G61" i="11"/>
  <c r="F61" i="11"/>
  <c r="V61" i="11"/>
  <c r="AF61" i="11"/>
  <c r="J61" i="11"/>
  <c r="S61" i="11"/>
  <c r="AD61" i="11"/>
  <c r="W61" i="11"/>
  <c r="M61" i="11"/>
  <c r="Y61" i="11"/>
  <c r="X61" i="11"/>
  <c r="R61" i="11"/>
  <c r="U61" i="11"/>
  <c r="AE61" i="11"/>
  <c r="P61" i="11"/>
  <c r="K61" i="11"/>
  <c r="AH61" i="11"/>
  <c r="I61" i="11"/>
  <c r="L61" i="11"/>
  <c r="T61" i="11"/>
  <c r="AK61" i="11"/>
  <c r="Q26" i="12"/>
  <c r="H26" i="17"/>
  <c r="AJ26" i="11"/>
  <c r="U26" i="11"/>
  <c r="M26" i="16"/>
  <c r="AD21" i="17"/>
  <c r="Q21" i="17"/>
  <c r="V21" i="14"/>
  <c r="Y21" i="14"/>
  <c r="Z21" i="13"/>
  <c r="H21" i="13"/>
  <c r="AD61" i="14"/>
  <c r="O61" i="14"/>
  <c r="Y61" i="14"/>
  <c r="AK61" i="14"/>
  <c r="H61" i="14"/>
  <c r="AI61" i="14"/>
  <c r="R61" i="14"/>
  <c r="K61" i="14"/>
  <c r="W61" i="14"/>
  <c r="T61" i="14"/>
  <c r="AB61" i="14"/>
  <c r="AH61" i="14"/>
  <c r="N61" i="14"/>
  <c r="L61" i="14"/>
  <c r="AC61" i="14"/>
  <c r="Z61" i="14"/>
  <c r="U61" i="14"/>
  <c r="AG61" i="14"/>
  <c r="Q61" i="14"/>
  <c r="V61" i="14"/>
  <c r="M61" i="14"/>
  <c r="E61" i="14"/>
  <c r="AA61" i="14"/>
  <c r="P61" i="14"/>
  <c r="X61" i="14"/>
  <c r="AF61" i="14"/>
  <c r="I61" i="14"/>
  <c r="S61" i="14"/>
  <c r="F61" i="14"/>
  <c r="G61" i="14"/>
  <c r="J61" i="14"/>
  <c r="AJ61" i="14"/>
  <c r="AE61" i="14"/>
  <c r="AH26" i="15"/>
  <c r="H65" i="11"/>
  <c r="N65" i="11"/>
  <c r="K65" i="11"/>
  <c r="G65" i="11"/>
  <c r="S65" i="11"/>
  <c r="AD65" i="11"/>
  <c r="AF65" i="11"/>
  <c r="AB65" i="11"/>
  <c r="E65" i="11"/>
  <c r="T65" i="11"/>
  <c r="M65" i="11"/>
  <c r="AI65" i="11"/>
  <c r="O65" i="11"/>
  <c r="P65" i="11"/>
  <c r="AH65" i="11"/>
  <c r="Q65" i="11"/>
  <c r="W65" i="11"/>
  <c r="R65" i="11"/>
  <c r="Z65" i="11"/>
  <c r="Y65" i="11"/>
  <c r="X65" i="11"/>
  <c r="AA65" i="11"/>
  <c r="U65" i="11"/>
  <c r="V65" i="11"/>
  <c r="J65" i="11"/>
  <c r="F65" i="11"/>
  <c r="AC65" i="11"/>
  <c r="AE65" i="11"/>
  <c r="I65" i="11"/>
  <c r="AG65" i="11"/>
  <c r="L65" i="11"/>
  <c r="AJ65" i="11"/>
  <c r="AK65" i="11"/>
  <c r="AD26" i="14"/>
  <c r="AH26" i="14"/>
  <c r="AF60" i="17"/>
  <c r="AC60" i="17"/>
  <c r="Z60" i="17"/>
  <c r="AA60" i="17"/>
  <c r="T60" i="17"/>
  <c r="Q60" i="17"/>
  <c r="N60" i="17"/>
  <c r="O60" i="17"/>
  <c r="H60" i="17"/>
  <c r="M60" i="17"/>
  <c r="V60" i="17"/>
  <c r="AI60" i="17"/>
  <c r="L60" i="17"/>
  <c r="U60" i="17"/>
  <c r="AD60" i="17"/>
  <c r="P60" i="17"/>
  <c r="Y60" i="17"/>
  <c r="AH60" i="17"/>
  <c r="AJ60" i="17"/>
  <c r="F60" i="17"/>
  <c r="S60" i="17"/>
  <c r="AK60" i="17"/>
  <c r="X60" i="17"/>
  <c r="J60" i="17"/>
  <c r="G60" i="17"/>
  <c r="R60" i="17"/>
  <c r="E60" i="17"/>
  <c r="W60" i="17"/>
  <c r="K60" i="17"/>
  <c r="AE60" i="17"/>
  <c r="AB60" i="17"/>
  <c r="I60" i="17"/>
  <c r="AG60" i="17"/>
  <c r="K21" i="16"/>
  <c r="AF60" i="14"/>
  <c r="Y60" i="14"/>
  <c r="R60" i="14"/>
  <c r="AA60" i="14"/>
  <c r="T60" i="14"/>
  <c r="M60" i="14"/>
  <c r="F60" i="14"/>
  <c r="G60" i="14"/>
  <c r="AB60" i="14"/>
  <c r="AG60" i="14"/>
  <c r="AH60" i="14"/>
  <c r="AJ60" i="14"/>
  <c r="AK60" i="14"/>
  <c r="S60" i="14"/>
  <c r="L60" i="14"/>
  <c r="Q60" i="14"/>
  <c r="V60" i="14"/>
  <c r="O60" i="14"/>
  <c r="Z60" i="14"/>
  <c r="E60" i="14"/>
  <c r="AD60" i="14"/>
  <c r="AE60" i="14"/>
  <c r="I60" i="14"/>
  <c r="W60" i="14"/>
  <c r="U60" i="14"/>
  <c r="H60" i="14"/>
  <c r="K60" i="14"/>
  <c r="J60" i="14"/>
  <c r="N60" i="14"/>
  <c r="AI60" i="14"/>
  <c r="P60" i="14"/>
  <c r="X60" i="14"/>
  <c r="AC60" i="14"/>
  <c r="H91" i="15"/>
  <c r="AJ91" i="15"/>
  <c r="AC91" i="15"/>
  <c r="Y91" i="15"/>
  <c r="AK91" i="15"/>
  <c r="O91" i="15"/>
  <c r="K91" i="15"/>
  <c r="G91" i="15"/>
  <c r="S91" i="15"/>
  <c r="AG91" i="15"/>
  <c r="J91" i="15"/>
  <c r="AB91" i="15"/>
  <c r="Q91" i="15"/>
  <c r="M91" i="15"/>
  <c r="L91" i="15"/>
  <c r="V91" i="15"/>
  <c r="U91" i="15"/>
  <c r="T91" i="15"/>
  <c r="AI91" i="15"/>
  <c r="AF91" i="15"/>
  <c r="AA91" i="15"/>
  <c r="AH91" i="15"/>
  <c r="Z91" i="15"/>
  <c r="R91" i="15"/>
  <c r="E91" i="15"/>
  <c r="AE91" i="15"/>
  <c r="W91" i="15"/>
  <c r="P91" i="15"/>
  <c r="F91" i="15"/>
  <c r="X91" i="15"/>
  <c r="I91" i="15"/>
  <c r="AD91" i="15"/>
  <c r="N91" i="15"/>
  <c r="H87" i="17"/>
  <c r="W87" i="17"/>
  <c r="Q87" i="17"/>
  <c r="AF87" i="17"/>
  <c r="E87" i="17"/>
  <c r="AD87" i="17"/>
  <c r="AB87" i="17"/>
  <c r="J87" i="17"/>
  <c r="R87" i="17"/>
  <c r="AG87" i="17"/>
  <c r="M87" i="17"/>
  <c r="O87" i="17"/>
  <c r="P87" i="17"/>
  <c r="V87" i="17"/>
  <c r="N87" i="17"/>
  <c r="AI87" i="17"/>
  <c r="F87" i="17"/>
  <c r="K87" i="17"/>
  <c r="AK87" i="17"/>
  <c r="Y87" i="17"/>
  <c r="AH87" i="17"/>
  <c r="AE87" i="17"/>
  <c r="AJ87" i="17"/>
  <c r="U87" i="17"/>
  <c r="T87" i="17"/>
  <c r="G87" i="17"/>
  <c r="X87" i="17"/>
  <c r="I87" i="17"/>
  <c r="Z87" i="17"/>
  <c r="S87" i="17"/>
  <c r="L87" i="17"/>
  <c r="AA87" i="17"/>
  <c r="AC87" i="17"/>
  <c r="M21" i="13"/>
  <c r="P21" i="13"/>
  <c r="T21" i="13"/>
  <c r="F21" i="13"/>
  <c r="S26" i="15"/>
  <c r="AI26" i="15"/>
  <c r="AK26" i="15"/>
  <c r="K59" i="11"/>
  <c r="G59" i="11"/>
  <c r="T59" i="11"/>
  <c r="X59" i="11"/>
  <c r="H59" i="11"/>
  <c r="AC59" i="11"/>
  <c r="Y59" i="11"/>
  <c r="AG59" i="11"/>
  <c r="AH59" i="11"/>
  <c r="O59" i="11"/>
  <c r="P59" i="11"/>
  <c r="AD59" i="11"/>
  <c r="N59" i="11"/>
  <c r="E59" i="11"/>
  <c r="AK59" i="11"/>
  <c r="AJ59" i="11"/>
  <c r="W59" i="11"/>
  <c r="U59" i="11"/>
  <c r="Z59" i="11"/>
  <c r="AB59" i="11"/>
  <c r="R59" i="11"/>
  <c r="AA59" i="11"/>
  <c r="S59" i="11"/>
  <c r="F59" i="11"/>
  <c r="J59" i="11"/>
  <c r="I59" i="11"/>
  <c r="V59" i="11"/>
  <c r="AF59" i="11"/>
  <c r="L59" i="11"/>
  <c r="Q59" i="11"/>
  <c r="AE59" i="11"/>
  <c r="M59" i="11"/>
  <c r="AI59" i="11"/>
  <c r="N26" i="14"/>
  <c r="K26" i="14"/>
  <c r="H26" i="14"/>
  <c r="AG26" i="14"/>
  <c r="H63" i="15"/>
  <c r="AE63" i="15"/>
  <c r="AA63" i="15"/>
  <c r="W63" i="15"/>
  <c r="AI63" i="15"/>
  <c r="AJ63" i="15"/>
  <c r="M63" i="15"/>
  <c r="I63" i="15"/>
  <c r="U63" i="15"/>
  <c r="AD63" i="15"/>
  <c r="P63" i="15"/>
  <c r="AH63" i="15"/>
  <c r="N63" i="15"/>
  <c r="G63" i="15"/>
  <c r="R63" i="15"/>
  <c r="T63" i="15"/>
  <c r="V63" i="15"/>
  <c r="AK63" i="15"/>
  <c r="AG63" i="15"/>
  <c r="J63" i="15"/>
  <c r="AB63" i="15"/>
  <c r="Y63" i="15"/>
  <c r="O63" i="15"/>
  <c r="L63" i="15"/>
  <c r="K63" i="15"/>
  <c r="Q63" i="15"/>
  <c r="S63" i="15"/>
  <c r="E63" i="15"/>
  <c r="AC63" i="15"/>
  <c r="AF63" i="15"/>
  <c r="F63" i="15"/>
  <c r="X63" i="15"/>
  <c r="Z63" i="15"/>
  <c r="H63" i="16"/>
  <c r="AH63" i="16"/>
  <c r="U63" i="16"/>
  <c r="Q63" i="16"/>
  <c r="AC63" i="16"/>
  <c r="Y63" i="16"/>
  <c r="O63" i="16"/>
  <c r="K63" i="16"/>
  <c r="W63" i="16"/>
  <c r="AE63" i="16"/>
  <c r="AG63" i="16"/>
  <c r="J63" i="16"/>
  <c r="AD63" i="16"/>
  <c r="Z63" i="16"/>
  <c r="X63" i="16"/>
  <c r="AI63" i="16"/>
  <c r="AK63" i="16"/>
  <c r="AB63" i="16"/>
  <c r="AJ63" i="16"/>
  <c r="P63" i="16"/>
  <c r="G63" i="16"/>
  <c r="I63" i="16"/>
  <c r="N63" i="16"/>
  <c r="F63" i="16"/>
  <c r="R63" i="16"/>
  <c r="T63" i="16"/>
  <c r="M63" i="16"/>
  <c r="E63" i="16"/>
  <c r="AA63" i="16"/>
  <c r="AF63" i="16"/>
  <c r="V63" i="16"/>
  <c r="L63" i="16"/>
  <c r="S63" i="16"/>
  <c r="AI21" i="16"/>
  <c r="P21" i="16"/>
  <c r="AK21" i="16"/>
  <c r="U21" i="16"/>
  <c r="AJ21" i="11"/>
  <c r="AG21" i="11"/>
  <c r="Z21" i="11"/>
  <c r="E21" i="11"/>
  <c r="Z21" i="12"/>
  <c r="V21" i="12"/>
  <c r="G21" i="12"/>
  <c r="E21" i="12"/>
  <c r="AC26" i="13"/>
  <c r="AH26" i="13"/>
  <c r="T26" i="13"/>
  <c r="AE26" i="13"/>
  <c r="M87" i="11"/>
  <c r="Q87" i="11"/>
  <c r="I87" i="11"/>
  <c r="U87" i="11"/>
  <c r="H87" i="11"/>
  <c r="Z87" i="11"/>
  <c r="AD87" i="11"/>
  <c r="V87" i="11"/>
  <c r="AH87" i="11"/>
  <c r="O87" i="11"/>
  <c r="Y87" i="11"/>
  <c r="X87" i="11"/>
  <c r="AA87" i="11"/>
  <c r="N87" i="11"/>
  <c r="AB87" i="11"/>
  <c r="K87" i="11"/>
  <c r="AG87" i="11"/>
  <c r="L87" i="11"/>
  <c r="AF87" i="11"/>
  <c r="W87" i="11"/>
  <c r="R87" i="11"/>
  <c r="AC87" i="11"/>
  <c r="S87" i="11"/>
  <c r="AJ87" i="11"/>
  <c r="P87" i="11"/>
  <c r="AK87" i="11"/>
  <c r="T87" i="11"/>
  <c r="AE87" i="11"/>
  <c r="E87" i="11"/>
  <c r="G87" i="11"/>
  <c r="F87" i="11"/>
  <c r="J87" i="11"/>
  <c r="AI87" i="11"/>
  <c r="F26" i="12"/>
  <c r="E26" i="12"/>
  <c r="AA26" i="12"/>
  <c r="U26" i="12"/>
  <c r="AD26" i="17"/>
  <c r="U26" i="17"/>
  <c r="AE26" i="17"/>
  <c r="AJ26" i="17"/>
  <c r="N26" i="11"/>
  <c r="V26" i="11"/>
  <c r="Q26" i="11"/>
  <c r="H26" i="11"/>
  <c r="AF26" i="16"/>
  <c r="F26" i="16"/>
  <c r="J26" i="16"/>
  <c r="AJ26" i="16"/>
  <c r="L26" i="16"/>
  <c r="N21" i="17"/>
  <c r="AH21" i="17"/>
  <c r="AE21" i="17"/>
  <c r="S21" i="17"/>
  <c r="H88" i="16"/>
  <c r="AG88" i="16"/>
  <c r="K88" i="16"/>
  <c r="G88" i="16"/>
  <c r="S88" i="16"/>
  <c r="N88" i="16"/>
  <c r="AF88" i="16"/>
  <c r="AB88" i="16"/>
  <c r="E88" i="16"/>
  <c r="AJ88" i="16"/>
  <c r="W88" i="16"/>
  <c r="R88" i="16"/>
  <c r="T88" i="16"/>
  <c r="V88" i="16"/>
  <c r="AK88" i="16"/>
  <c r="AA88" i="16"/>
  <c r="F88" i="16"/>
  <c r="U88" i="16"/>
  <c r="O88" i="16"/>
  <c r="AC88" i="16"/>
  <c r="L88" i="16"/>
  <c r="J88" i="16"/>
  <c r="M88" i="16"/>
  <c r="P88" i="16"/>
  <c r="Y88" i="16"/>
  <c r="Q88" i="16"/>
  <c r="AI88" i="16"/>
  <c r="AD88" i="16"/>
  <c r="AH88" i="16"/>
  <c r="X88" i="16"/>
  <c r="Z88" i="16"/>
  <c r="I88" i="16"/>
  <c r="AE88" i="16"/>
  <c r="X21" i="14"/>
  <c r="M21" i="14"/>
  <c r="AH21" i="14"/>
  <c r="Z21" i="14"/>
  <c r="H87" i="13"/>
  <c r="AJ87" i="13"/>
  <c r="M87" i="13"/>
  <c r="I87" i="13"/>
  <c r="U87" i="13"/>
  <c r="N87" i="13"/>
  <c r="AF87" i="13"/>
  <c r="AB87" i="13"/>
  <c r="E87" i="13"/>
  <c r="O87" i="13"/>
  <c r="Z87" i="13"/>
  <c r="V87" i="13"/>
  <c r="AH87" i="13"/>
  <c r="K87" i="13"/>
  <c r="L87" i="13"/>
  <c r="J87" i="13"/>
  <c r="AI87" i="13"/>
  <c r="AG87" i="13"/>
  <c r="AC87" i="13"/>
  <c r="S87" i="13"/>
  <c r="AD87" i="13"/>
  <c r="G87" i="13"/>
  <c r="X87" i="13"/>
  <c r="Q87" i="13"/>
  <c r="AK87" i="13"/>
  <c r="P87" i="13"/>
  <c r="T87" i="13"/>
  <c r="W87" i="13"/>
  <c r="AA87" i="13"/>
  <c r="F87" i="13"/>
  <c r="Y87" i="13"/>
  <c r="AE87" i="13"/>
  <c r="R87" i="13"/>
  <c r="H62" i="14"/>
  <c r="AA62" i="14"/>
  <c r="T62" i="14"/>
  <c r="F62" i="14"/>
  <c r="R62" i="14"/>
  <c r="AD62" i="14"/>
  <c r="O62" i="14"/>
  <c r="W62" i="14"/>
  <c r="AI62" i="14"/>
  <c r="AE62" i="14"/>
  <c r="Q62" i="14"/>
  <c r="I62" i="14"/>
  <c r="X62" i="14"/>
  <c r="AG62" i="14"/>
  <c r="K62" i="14"/>
  <c r="AB62" i="14"/>
  <c r="AF62" i="14"/>
  <c r="G62" i="14"/>
  <c r="AK62" i="14"/>
  <c r="S62" i="14"/>
  <c r="E62" i="14"/>
  <c r="N62" i="14"/>
  <c r="AH62" i="14"/>
  <c r="J62" i="14"/>
  <c r="U62" i="14"/>
  <c r="M62" i="14"/>
  <c r="AJ62" i="14"/>
  <c r="V62" i="14"/>
  <c r="P62" i="14"/>
  <c r="Y62" i="14"/>
  <c r="Z62" i="14"/>
  <c r="AC62" i="14"/>
  <c r="L62" i="14"/>
  <c r="U21" i="12"/>
  <c r="H65" i="12"/>
  <c r="AJ65" i="12"/>
  <c r="M65" i="12"/>
  <c r="I65" i="12"/>
  <c r="U65" i="12"/>
  <c r="N65" i="12"/>
  <c r="AF65" i="12"/>
  <c r="AB65" i="12"/>
  <c r="E65" i="12"/>
  <c r="O65" i="12"/>
  <c r="Z65" i="12"/>
  <c r="V65" i="12"/>
  <c r="AH65" i="12"/>
  <c r="K65" i="12"/>
  <c r="L65" i="12"/>
  <c r="J65" i="12"/>
  <c r="AI65" i="12"/>
  <c r="AE65" i="12"/>
  <c r="AC65" i="12"/>
  <c r="S65" i="12"/>
  <c r="AD65" i="12"/>
  <c r="G65" i="12"/>
  <c r="X65" i="12"/>
  <c r="W65" i="12"/>
  <c r="AG65" i="12"/>
  <c r="AK65" i="12"/>
  <c r="F65" i="12"/>
  <c r="R65" i="12"/>
  <c r="Q65" i="12"/>
  <c r="Y65" i="12"/>
  <c r="T65" i="12"/>
  <c r="AA65" i="12"/>
  <c r="P65" i="12"/>
  <c r="AC26" i="11"/>
  <c r="J21" i="14"/>
  <c r="O26" i="15"/>
  <c r="AC26" i="14"/>
  <c r="Y21" i="16"/>
  <c r="H59" i="16"/>
  <c r="M59" i="16"/>
  <c r="AC59" i="16"/>
  <c r="O59" i="16"/>
  <c r="AH59" i="16"/>
  <c r="AG59" i="16"/>
  <c r="Y59" i="16"/>
  <c r="L59" i="16"/>
  <c r="X59" i="16"/>
  <c r="K59" i="16"/>
  <c r="P59" i="16"/>
  <c r="AK59" i="16"/>
  <c r="V59" i="16"/>
  <c r="AB59" i="16"/>
  <c r="Z59" i="16"/>
  <c r="U59" i="16"/>
  <c r="G59" i="16"/>
  <c r="F59" i="16"/>
  <c r="E59" i="16"/>
  <c r="AA59" i="16"/>
  <c r="AD59" i="16"/>
  <c r="AI59" i="16"/>
  <c r="AE59" i="16"/>
  <c r="AF59" i="16"/>
  <c r="I59" i="16"/>
  <c r="S59" i="16"/>
  <c r="T59" i="16"/>
  <c r="N59" i="16"/>
  <c r="R59" i="16"/>
  <c r="J59" i="16"/>
  <c r="AJ59" i="16"/>
  <c r="Q59" i="16"/>
  <c r="W59" i="16"/>
  <c r="AF21" i="13"/>
  <c r="H88" i="13"/>
  <c r="AJ88" i="13"/>
  <c r="Q88" i="13"/>
  <c r="M88" i="13"/>
  <c r="Y88" i="13"/>
  <c r="R88" i="13"/>
  <c r="AF88" i="13"/>
  <c r="AB88" i="13"/>
  <c r="E88" i="13"/>
  <c r="O88" i="13"/>
  <c r="AD88" i="13"/>
  <c r="Z88" i="13"/>
  <c r="I88" i="13"/>
  <c r="U88" i="13"/>
  <c r="W88" i="13"/>
  <c r="F88" i="13"/>
  <c r="AH88" i="13"/>
  <c r="G88" i="13"/>
  <c r="X88" i="13"/>
  <c r="T88" i="13"/>
  <c r="J88" i="13"/>
  <c r="N88" i="13"/>
  <c r="AI88" i="13"/>
  <c r="K88" i="13"/>
  <c r="AC88" i="13"/>
  <c r="L88" i="13"/>
  <c r="AG88" i="13"/>
  <c r="P88" i="13"/>
  <c r="AE88" i="13"/>
  <c r="S88" i="13"/>
  <c r="AK88" i="13"/>
  <c r="V88" i="13"/>
  <c r="AA88" i="13"/>
  <c r="AB26" i="15"/>
  <c r="I26" i="14"/>
  <c r="AB26" i="14"/>
  <c r="H21" i="16"/>
  <c r="G21" i="11"/>
  <c r="E17" i="17" a="1"/>
  <c r="AA61" i="12"/>
  <c r="K61" i="12"/>
  <c r="N61" i="12"/>
  <c r="V61" i="12"/>
  <c r="Z61" i="12"/>
  <c r="J61" i="12"/>
  <c r="AF61" i="12"/>
  <c r="F61" i="12"/>
  <c r="AH61" i="12"/>
  <c r="R61" i="12"/>
  <c r="AE61" i="12"/>
  <c r="E61" i="12"/>
  <c r="S61" i="12"/>
  <c r="P61" i="12"/>
  <c r="T61" i="12"/>
  <c r="AK61" i="12"/>
  <c r="AG61" i="12"/>
  <c r="I61" i="12"/>
  <c r="U61" i="12"/>
  <c r="H61" i="12"/>
  <c r="Y61" i="12"/>
  <c r="M61" i="12"/>
  <c r="X61" i="12"/>
  <c r="AC61" i="12"/>
  <c r="AI61" i="12"/>
  <c r="AJ61" i="12"/>
  <c r="O61" i="12"/>
  <c r="W61" i="12"/>
  <c r="G61" i="12"/>
  <c r="AD61" i="12"/>
  <c r="AB61" i="12"/>
  <c r="Q61" i="12"/>
  <c r="L61" i="12"/>
  <c r="Z88" i="15"/>
  <c r="J88" i="15"/>
  <c r="I88" i="15"/>
  <c r="U88" i="15"/>
  <c r="AG88" i="15"/>
  <c r="Q88" i="15"/>
  <c r="V88" i="15"/>
  <c r="AH88" i="15"/>
  <c r="AD88" i="15"/>
  <c r="K88" i="15"/>
  <c r="L88" i="15"/>
  <c r="AJ88" i="15"/>
  <c r="M88" i="15"/>
  <c r="AI88" i="15"/>
  <c r="O88" i="15"/>
  <c r="F88" i="15"/>
  <c r="E88" i="15"/>
  <c r="P88" i="15"/>
  <c r="X88" i="15"/>
  <c r="W88" i="15"/>
  <c r="AA88" i="15"/>
  <c r="H88" i="15"/>
  <c r="AE88" i="15"/>
  <c r="G88" i="15"/>
  <c r="Y88" i="15"/>
  <c r="AF88" i="15"/>
  <c r="S88" i="15"/>
  <c r="N88" i="15"/>
  <c r="R88" i="15"/>
  <c r="AK88" i="15"/>
  <c r="T88" i="15"/>
  <c r="AB88" i="15"/>
  <c r="AC88" i="15"/>
  <c r="M21" i="12"/>
  <c r="AK26" i="13"/>
  <c r="H91" i="14"/>
  <c r="Q91" i="14"/>
  <c r="J91" i="14"/>
  <c r="F91" i="14"/>
  <c r="R91" i="14"/>
  <c r="AE91" i="14"/>
  <c r="AA91" i="14"/>
  <c r="W91" i="14"/>
  <c r="AI91" i="14"/>
  <c r="Z91" i="14"/>
  <c r="I91" i="14"/>
  <c r="X91" i="14"/>
  <c r="AG91" i="14"/>
  <c r="AC91" i="14"/>
  <c r="AB91" i="14"/>
  <c r="N91" i="14"/>
  <c r="G91" i="14"/>
  <c r="AK91" i="14"/>
  <c r="O91" i="14"/>
  <c r="V91" i="14"/>
  <c r="T91" i="14"/>
  <c r="AD91" i="14"/>
  <c r="Y91" i="14"/>
  <c r="AJ91" i="14"/>
  <c r="L91" i="14"/>
  <c r="S91" i="14"/>
  <c r="M91" i="14"/>
  <c r="U91" i="14"/>
  <c r="P91" i="14"/>
  <c r="AH91" i="14"/>
  <c r="E91" i="14"/>
  <c r="K91" i="14"/>
  <c r="AF91" i="14"/>
  <c r="AF26" i="12"/>
  <c r="X26" i="12"/>
  <c r="AH26" i="17"/>
  <c r="Y26" i="11"/>
  <c r="AE26" i="16"/>
  <c r="U26" i="16"/>
  <c r="AC21" i="17"/>
  <c r="AJ21" i="14"/>
  <c r="AB86" i="11"/>
  <c r="Y86" i="11"/>
  <c r="R86" i="11"/>
  <c r="W86" i="11"/>
  <c r="P86" i="11"/>
  <c r="M86" i="11"/>
  <c r="F86" i="11"/>
  <c r="G86" i="11"/>
  <c r="I86" i="11"/>
  <c r="N86" i="11"/>
  <c r="AE86" i="11"/>
  <c r="H86" i="11"/>
  <c r="Q86" i="11"/>
  <c r="V86" i="11"/>
  <c r="AI86" i="11"/>
  <c r="L86" i="11"/>
  <c r="U86" i="11"/>
  <c r="Z86" i="11"/>
  <c r="AF86" i="11"/>
  <c r="AK86" i="11"/>
  <c r="O86" i="11"/>
  <c r="AG86" i="11"/>
  <c r="AD86" i="11"/>
  <c r="X86" i="11"/>
  <c r="K86" i="11"/>
  <c r="T86" i="11"/>
  <c r="AH86" i="11"/>
  <c r="J86" i="11"/>
  <c r="AJ86" i="11"/>
  <c r="S86" i="11"/>
  <c r="E86" i="11"/>
  <c r="AA86" i="11"/>
  <c r="AC86" i="11"/>
  <c r="O21" i="13"/>
  <c r="Y21" i="13"/>
  <c r="AE26" i="15"/>
  <c r="P26" i="15"/>
  <c r="P26" i="14"/>
  <c r="L61" i="13"/>
  <c r="O61" i="13"/>
  <c r="Q61" i="13"/>
  <c r="F61" i="13"/>
  <c r="P61" i="13"/>
  <c r="S61" i="13"/>
  <c r="U61" i="13"/>
  <c r="J61" i="13"/>
  <c r="AF61" i="13"/>
  <c r="E61" i="13"/>
  <c r="AK61" i="13"/>
  <c r="Z61" i="13"/>
  <c r="H61" i="13"/>
  <c r="AI61" i="13"/>
  <c r="N61" i="13"/>
  <c r="AB61" i="13"/>
  <c r="T61" i="13"/>
  <c r="I61" i="13"/>
  <c r="R61" i="13"/>
  <c r="Y61" i="13"/>
  <c r="X61" i="13"/>
  <c r="M61" i="13"/>
  <c r="V61" i="13"/>
  <c r="AD61" i="13"/>
  <c r="G61" i="13"/>
  <c r="AG61" i="13"/>
  <c r="AE61" i="13"/>
  <c r="AJ61" i="13"/>
  <c r="W61" i="13"/>
  <c r="AH61" i="13"/>
  <c r="AA61" i="13"/>
  <c r="AC61" i="13"/>
  <c r="K61" i="13"/>
  <c r="E17" i="13" a="1"/>
  <c r="AG21" i="13"/>
  <c r="V21" i="13"/>
  <c r="W21" i="13"/>
  <c r="I21" i="13"/>
  <c r="L61" i="16"/>
  <c r="E61" i="16"/>
  <c r="AK61" i="16"/>
  <c r="AD61" i="16"/>
  <c r="AF61" i="16"/>
  <c r="Y61" i="16"/>
  <c r="R61" i="16"/>
  <c r="AA61" i="16"/>
  <c r="O61" i="16"/>
  <c r="F61" i="16"/>
  <c r="W61" i="16"/>
  <c r="I61" i="16"/>
  <c r="J61" i="16"/>
  <c r="AE61" i="16"/>
  <c r="H61" i="16"/>
  <c r="M61" i="16"/>
  <c r="N61" i="16"/>
  <c r="AI61" i="16"/>
  <c r="X61" i="16"/>
  <c r="AC61" i="16"/>
  <c r="AH61" i="16"/>
  <c r="U61" i="16"/>
  <c r="V61" i="16"/>
  <c r="AG61" i="16"/>
  <c r="P61" i="16"/>
  <c r="K61" i="16"/>
  <c r="AB61" i="16"/>
  <c r="G61" i="16"/>
  <c r="Q61" i="16"/>
  <c r="T61" i="16"/>
  <c r="Z61" i="16"/>
  <c r="AJ61" i="16"/>
  <c r="S61" i="16"/>
  <c r="H65" i="14"/>
  <c r="Z65" i="14"/>
  <c r="J65" i="14"/>
  <c r="I65" i="14"/>
  <c r="U65" i="14"/>
  <c r="AD65" i="14"/>
  <c r="Q65" i="14"/>
  <c r="V65" i="14"/>
  <c r="AH65" i="14"/>
  <c r="AJ65" i="14"/>
  <c r="K65" i="14"/>
  <c r="L65" i="14"/>
  <c r="AG65" i="14"/>
  <c r="M65" i="14"/>
  <c r="AI65" i="14"/>
  <c r="O65" i="14"/>
  <c r="F65" i="14"/>
  <c r="E65" i="14"/>
  <c r="AA65" i="14"/>
  <c r="Y65" i="14"/>
  <c r="R65" i="14"/>
  <c r="AC65" i="14"/>
  <c r="AB65" i="14"/>
  <c r="N65" i="14"/>
  <c r="AF65" i="14"/>
  <c r="S65" i="14"/>
  <c r="P65" i="14"/>
  <c r="X65" i="14"/>
  <c r="AE65" i="14"/>
  <c r="AK65" i="14"/>
  <c r="T65" i="14"/>
  <c r="G65" i="14"/>
  <c r="W65" i="14"/>
  <c r="Z26" i="15"/>
  <c r="W26" i="15"/>
  <c r="M26" i="15"/>
  <c r="E26" i="15"/>
  <c r="AG64" i="11"/>
  <c r="N64" i="11"/>
  <c r="W64" i="11"/>
  <c r="S64" i="11"/>
  <c r="H64" i="11"/>
  <c r="AC64" i="11"/>
  <c r="J64" i="11"/>
  <c r="AB64" i="11"/>
  <c r="E64" i="11"/>
  <c r="AJ64" i="11"/>
  <c r="G64" i="11"/>
  <c r="AI64" i="11"/>
  <c r="O64" i="11"/>
  <c r="M64" i="11"/>
  <c r="AH64" i="11"/>
  <c r="Z64" i="11"/>
  <c r="P64" i="11"/>
  <c r="R64" i="11"/>
  <c r="Q64" i="11"/>
  <c r="Y64" i="11"/>
  <c r="X64" i="11"/>
  <c r="F64" i="11"/>
  <c r="AK64" i="11"/>
  <c r="K64" i="11"/>
  <c r="AA64" i="11"/>
  <c r="I64" i="11"/>
  <c r="AF64" i="11"/>
  <c r="U64" i="11"/>
  <c r="AD64" i="11"/>
  <c r="L64" i="11"/>
  <c r="T64" i="11"/>
  <c r="AE64" i="11"/>
  <c r="V64" i="11"/>
  <c r="AK26" i="14"/>
  <c r="AJ26" i="14"/>
  <c r="V26" i="14"/>
  <c r="AI26" i="14"/>
  <c r="X60" i="15"/>
  <c r="U60" i="15"/>
  <c r="R60" i="15"/>
  <c r="S60" i="15"/>
  <c r="L60" i="15"/>
  <c r="I60" i="15"/>
  <c r="F60" i="15"/>
  <c r="G60" i="15"/>
  <c r="Q60" i="15"/>
  <c r="Z60" i="15"/>
  <c r="AI60" i="15"/>
  <c r="P60" i="15"/>
  <c r="Y60" i="15"/>
  <c r="AD60" i="15"/>
  <c r="AJ60" i="15"/>
  <c r="J60" i="15"/>
  <c r="W60" i="15"/>
  <c r="H60" i="15"/>
  <c r="AK60" i="15"/>
  <c r="AH60" i="15"/>
  <c r="T60" i="15"/>
  <c r="N60" i="15"/>
  <c r="AB60" i="15"/>
  <c r="V60" i="15"/>
  <c r="AF60" i="15"/>
  <c r="M60" i="15"/>
  <c r="O60" i="15"/>
  <c r="AG60" i="15"/>
  <c r="AE60" i="15"/>
  <c r="K60" i="15"/>
  <c r="AA60" i="15"/>
  <c r="E60" i="15"/>
  <c r="AC60" i="15"/>
  <c r="J21" i="16"/>
  <c r="M21" i="16"/>
  <c r="AD21" i="16"/>
  <c r="AF21" i="16"/>
  <c r="X21" i="16"/>
  <c r="X21" i="11"/>
  <c r="AA21" i="11"/>
  <c r="N21" i="11"/>
  <c r="AF21" i="11"/>
  <c r="H21" i="11"/>
  <c r="Z65" i="17"/>
  <c r="AD65" i="17"/>
  <c r="G65" i="17"/>
  <c r="S65" i="17"/>
  <c r="O65" i="17"/>
  <c r="M65" i="17"/>
  <c r="AB65" i="17"/>
  <c r="E65" i="17"/>
  <c r="AA65" i="17"/>
  <c r="J65" i="17"/>
  <c r="AI65" i="17"/>
  <c r="N65" i="17"/>
  <c r="P65" i="17"/>
  <c r="AH65" i="17"/>
  <c r="H65" i="17"/>
  <c r="AJ65" i="17"/>
  <c r="W65" i="17"/>
  <c r="R65" i="17"/>
  <c r="AC65" i="17"/>
  <c r="Y65" i="17"/>
  <c r="X65" i="17"/>
  <c r="AF65" i="17"/>
  <c r="U65" i="17"/>
  <c r="V65" i="17"/>
  <c r="T65" i="17"/>
  <c r="K65" i="17"/>
  <c r="AE65" i="17"/>
  <c r="I65" i="17"/>
  <c r="F65" i="17"/>
  <c r="L65" i="17"/>
  <c r="AK65" i="17"/>
  <c r="Q65" i="17"/>
  <c r="AG65" i="17"/>
  <c r="G65" i="16"/>
  <c r="S65" i="16"/>
  <c r="F65" i="16"/>
  <c r="K65" i="16"/>
  <c r="Q65" i="16"/>
  <c r="I65" i="16"/>
  <c r="L65" i="16"/>
  <c r="AF65" i="16"/>
  <c r="P65" i="16"/>
  <c r="AG65" i="16"/>
  <c r="O65" i="16"/>
  <c r="AC65" i="16"/>
  <c r="J65" i="16"/>
  <c r="U65" i="16"/>
  <c r="M65" i="16"/>
  <c r="AK65" i="16"/>
  <c r="T65" i="16"/>
  <c r="AH65" i="16"/>
  <c r="Z65" i="16"/>
  <c r="X65" i="16"/>
  <c r="E65" i="16"/>
  <c r="R65" i="16"/>
  <c r="H65" i="16"/>
  <c r="V65" i="16"/>
  <c r="W65" i="16"/>
  <c r="AA65" i="16"/>
  <c r="AD65" i="16"/>
  <c r="N65" i="16"/>
  <c r="AJ65" i="16"/>
  <c r="AI65" i="16"/>
  <c r="AB65" i="16"/>
  <c r="AE65" i="16"/>
  <c r="Y65" i="16"/>
  <c r="AE64" i="15"/>
  <c r="W64" i="15"/>
  <c r="AA64" i="15"/>
  <c r="AI64" i="15"/>
  <c r="AJ64" i="15"/>
  <c r="AK64" i="15"/>
  <c r="I64" i="15"/>
  <c r="Q64" i="15"/>
  <c r="Z64" i="15"/>
  <c r="L64" i="15"/>
  <c r="AD64" i="15"/>
  <c r="J64" i="15"/>
  <c r="G64" i="15"/>
  <c r="N64" i="15"/>
  <c r="H64" i="15"/>
  <c r="T64" i="15"/>
  <c r="V64" i="15"/>
  <c r="AG64" i="15"/>
  <c r="AC64" i="15"/>
  <c r="AB64" i="15"/>
  <c r="AF64" i="15"/>
  <c r="U64" i="15"/>
  <c r="X64" i="15"/>
  <c r="F64" i="15"/>
  <c r="AH64" i="15"/>
  <c r="E64" i="15"/>
  <c r="O64" i="15"/>
  <c r="P64" i="15"/>
  <c r="R64" i="15"/>
  <c r="Y64" i="15"/>
  <c r="M64" i="15"/>
  <c r="S64" i="15"/>
  <c r="K64" i="15"/>
  <c r="AA21" i="12"/>
  <c r="AD21" i="12"/>
  <c r="T21" i="12"/>
  <c r="Y21" i="12"/>
  <c r="AF26" i="13"/>
  <c r="Y26" i="13"/>
  <c r="AG26" i="13"/>
  <c r="F26" i="13"/>
  <c r="H87" i="15"/>
  <c r="AJ87" i="15"/>
  <c r="AC87" i="15"/>
  <c r="Y87" i="15"/>
  <c r="AK87" i="15"/>
  <c r="O87" i="15"/>
  <c r="K87" i="15"/>
  <c r="G87" i="15"/>
  <c r="S87" i="15"/>
  <c r="AG87" i="15"/>
  <c r="J87" i="15"/>
  <c r="AB87" i="15"/>
  <c r="Q87" i="15"/>
  <c r="M87" i="15"/>
  <c r="L87" i="15"/>
  <c r="V87" i="15"/>
  <c r="U87" i="15"/>
  <c r="P87" i="15"/>
  <c r="X87" i="15"/>
  <c r="N87" i="15"/>
  <c r="AE87" i="15"/>
  <c r="W87" i="15"/>
  <c r="I87" i="15"/>
  <c r="AD87" i="15"/>
  <c r="F87" i="15"/>
  <c r="AA87" i="15"/>
  <c r="AH87" i="15"/>
  <c r="AI87" i="15"/>
  <c r="R87" i="15"/>
  <c r="E87" i="15"/>
  <c r="T87" i="15"/>
  <c r="Z87" i="15"/>
  <c r="AF87" i="15"/>
  <c r="AJ62" i="12"/>
  <c r="M62" i="12"/>
  <c r="I62" i="12"/>
  <c r="U62" i="12"/>
  <c r="R62" i="12"/>
  <c r="AF62" i="12"/>
  <c r="AB62" i="12"/>
  <c r="E62" i="12"/>
  <c r="AG62" i="12"/>
  <c r="AD62" i="12"/>
  <c r="Z62" i="12"/>
  <c r="G62" i="12"/>
  <c r="Q62" i="12"/>
  <c r="AA62" i="12"/>
  <c r="AK62" i="12"/>
  <c r="AH62" i="12"/>
  <c r="K62" i="12"/>
  <c r="X62" i="12"/>
  <c r="T62" i="12"/>
  <c r="F62" i="12"/>
  <c r="J62" i="12"/>
  <c r="N62" i="12"/>
  <c r="L62" i="12"/>
  <c r="AE62" i="12"/>
  <c r="AI62" i="12"/>
  <c r="W62" i="12"/>
  <c r="H62" i="12"/>
  <c r="O62" i="12"/>
  <c r="S62" i="12"/>
  <c r="V62" i="12"/>
  <c r="AC62" i="12"/>
  <c r="P62" i="12"/>
  <c r="Y62" i="12"/>
  <c r="E17" i="11" a="1"/>
  <c r="L87" i="16"/>
  <c r="Q87" i="16"/>
  <c r="N87" i="16"/>
  <c r="K87" i="16"/>
  <c r="AF87" i="16"/>
  <c r="AK87" i="16"/>
  <c r="AH87" i="16"/>
  <c r="AE87" i="16"/>
  <c r="AB87" i="16"/>
  <c r="J87" i="16"/>
  <c r="S87" i="16"/>
  <c r="AJ87" i="16"/>
  <c r="R87" i="16"/>
  <c r="W87" i="16"/>
  <c r="E87" i="16"/>
  <c r="V87" i="16"/>
  <c r="AA87" i="16"/>
  <c r="P87" i="16"/>
  <c r="AC87" i="16"/>
  <c r="I87" i="16"/>
  <c r="H87" i="16"/>
  <c r="AD87" i="16"/>
  <c r="U87" i="16"/>
  <c r="T87" i="16"/>
  <c r="G87" i="16"/>
  <c r="AI87" i="16"/>
  <c r="X87" i="16"/>
  <c r="O87" i="16"/>
  <c r="AG87" i="16"/>
  <c r="M87" i="16"/>
  <c r="Y87" i="16"/>
  <c r="F87" i="16"/>
  <c r="Z87" i="16"/>
  <c r="R26" i="12"/>
  <c r="AB26" i="12"/>
  <c r="M26" i="12"/>
  <c r="V26" i="12"/>
  <c r="R26" i="17"/>
  <c r="T26" i="17"/>
  <c r="F26" i="17"/>
  <c r="O26" i="17"/>
  <c r="P26" i="11"/>
  <c r="AF26" i="11"/>
  <c r="AI26" i="11"/>
  <c r="K26" i="11"/>
  <c r="G26" i="16"/>
  <c r="T26" i="16"/>
  <c r="I26" i="16"/>
  <c r="R26" i="16"/>
  <c r="I21" i="17"/>
  <c r="M21" i="17"/>
  <c r="Z21" i="17"/>
  <c r="R21" i="17"/>
  <c r="H86" i="12"/>
  <c r="AF86" i="12"/>
  <c r="AD86" i="12"/>
  <c r="G86" i="12"/>
  <c r="S86" i="12"/>
  <c r="AA86" i="12"/>
  <c r="Q86" i="12"/>
  <c r="AB86" i="12"/>
  <c r="E86" i="12"/>
  <c r="AE86" i="12"/>
  <c r="N86" i="12"/>
  <c r="AI86" i="12"/>
  <c r="M86" i="12"/>
  <c r="T86" i="12"/>
  <c r="AH86" i="12"/>
  <c r="W86" i="12"/>
  <c r="R86" i="12"/>
  <c r="K86" i="12"/>
  <c r="AC86" i="12"/>
  <c r="Y86" i="12"/>
  <c r="X86" i="12"/>
  <c r="F86" i="12"/>
  <c r="J86" i="12"/>
  <c r="U86" i="12"/>
  <c r="I86" i="12"/>
  <c r="AK86" i="12"/>
  <c r="AJ86" i="12"/>
  <c r="L86" i="12"/>
  <c r="AG86" i="12"/>
  <c r="P86" i="12"/>
  <c r="Z86" i="12"/>
  <c r="O86" i="12"/>
  <c r="V86" i="12"/>
  <c r="O21" i="14"/>
  <c r="H21" i="14"/>
  <c r="U21" i="14"/>
  <c r="AC21" i="14"/>
  <c r="H92" i="12"/>
  <c r="AC92" i="12"/>
  <c r="AF92" i="12"/>
  <c r="F92" i="12"/>
  <c r="R92" i="12"/>
  <c r="AD92" i="12"/>
  <c r="O92" i="12"/>
  <c r="Y92" i="12"/>
  <c r="AA92" i="12"/>
  <c r="P92" i="12"/>
  <c r="W92" i="12"/>
  <c r="AI92" i="12"/>
  <c r="AJ92" i="12"/>
  <c r="Q92" i="12"/>
  <c r="AH92" i="12"/>
  <c r="Z92" i="12"/>
  <c r="T92" i="12"/>
  <c r="AK92" i="12"/>
  <c r="M92" i="12"/>
  <c r="G92" i="12"/>
  <c r="U92" i="12"/>
  <c r="K92" i="12"/>
  <c r="AB92" i="12"/>
  <c r="I92" i="12"/>
  <c r="E92" i="12"/>
  <c r="J92" i="12"/>
  <c r="L92" i="12"/>
  <c r="AE92" i="12"/>
  <c r="X92" i="12"/>
  <c r="S92" i="12"/>
  <c r="AG92" i="12"/>
  <c r="N92" i="12"/>
  <c r="V92" i="12"/>
  <c r="Q21" i="12"/>
  <c r="AE86" i="16"/>
  <c r="AA86" i="16"/>
  <c r="W86" i="16"/>
  <c r="AI86" i="16"/>
  <c r="AJ86" i="16"/>
  <c r="M86" i="16"/>
  <c r="I86" i="16"/>
  <c r="U86" i="16"/>
  <c r="AD86" i="16"/>
  <c r="P86" i="16"/>
  <c r="AH86" i="16"/>
  <c r="H86" i="16"/>
  <c r="N86" i="16"/>
  <c r="G86" i="16"/>
  <c r="R86" i="16"/>
  <c r="T86" i="16"/>
  <c r="V86" i="16"/>
  <c r="AK86" i="16"/>
  <c r="AG86" i="16"/>
  <c r="J86" i="16"/>
  <c r="AB86" i="16"/>
  <c r="Z86" i="16"/>
  <c r="X86" i="16"/>
  <c r="F86" i="16"/>
  <c r="AC86" i="16"/>
  <c r="AF86" i="16"/>
  <c r="O86" i="16"/>
  <c r="L86" i="16"/>
  <c r="Q86" i="16"/>
  <c r="Y86" i="16"/>
  <c r="S86" i="16"/>
  <c r="K86" i="16"/>
  <c r="E86" i="16"/>
  <c r="AJ86" i="15"/>
  <c r="AC86" i="15"/>
  <c r="S86" i="15"/>
  <c r="E86" i="15"/>
  <c r="H86" i="15"/>
  <c r="M86" i="15"/>
  <c r="AI86" i="15"/>
  <c r="K86" i="15"/>
  <c r="AE86" i="15"/>
  <c r="Q86" i="15"/>
  <c r="J86" i="15"/>
  <c r="L86" i="15"/>
  <c r="Z86" i="15"/>
  <c r="AA86" i="15"/>
  <c r="AH86" i="15"/>
  <c r="AD86" i="15"/>
  <c r="N86" i="15"/>
  <c r="Y86" i="15"/>
  <c r="G86" i="15"/>
  <c r="F86" i="15"/>
  <c r="AF86" i="15"/>
  <c r="W86" i="15"/>
  <c r="I86" i="15"/>
  <c r="O86" i="15"/>
  <c r="AB86" i="15"/>
  <c r="R86" i="15"/>
  <c r="T86" i="15"/>
  <c r="U86" i="15"/>
  <c r="AG86" i="15"/>
  <c r="P86" i="15"/>
  <c r="V86" i="15"/>
  <c r="AK86" i="15"/>
  <c r="X86" i="15"/>
  <c r="AH26" i="16"/>
  <c r="X21" i="17"/>
  <c r="AC21" i="13"/>
  <c r="Q21" i="13"/>
  <c r="X26" i="15"/>
  <c r="O26" i="14"/>
  <c r="AF92" i="16"/>
  <c r="Y92" i="16"/>
  <c r="AD92" i="16"/>
  <c r="AE92" i="16"/>
  <c r="T92" i="16"/>
  <c r="M92" i="16"/>
  <c r="R92" i="16"/>
  <c r="S92" i="16"/>
  <c r="P92" i="16"/>
  <c r="U92" i="16"/>
  <c r="G92" i="16"/>
  <c r="X92" i="16"/>
  <c r="AC92" i="16"/>
  <c r="K92" i="16"/>
  <c r="AB92" i="16"/>
  <c r="AG92" i="16"/>
  <c r="O92" i="16"/>
  <c r="E92" i="16"/>
  <c r="V92" i="16"/>
  <c r="AI92" i="16"/>
  <c r="J92" i="16"/>
  <c r="AA92" i="16"/>
  <c r="I92" i="16"/>
  <c r="N92" i="16"/>
  <c r="AK92" i="16"/>
  <c r="Q92" i="16"/>
  <c r="H92" i="16"/>
  <c r="Z92" i="16"/>
  <c r="F92" i="16"/>
  <c r="AH92" i="16"/>
  <c r="W92" i="16"/>
  <c r="L92" i="16"/>
  <c r="AJ92" i="16"/>
  <c r="P21" i="11"/>
  <c r="AG92" i="14"/>
  <c r="T92" i="14"/>
  <c r="F92" i="14"/>
  <c r="R92" i="14"/>
  <c r="AD92" i="14"/>
  <c r="O92" i="14"/>
  <c r="W92" i="14"/>
  <c r="AI92" i="14"/>
  <c r="Q92" i="14"/>
  <c r="I92" i="14"/>
  <c r="X92" i="14"/>
  <c r="AE92" i="14"/>
  <c r="K92" i="14"/>
  <c r="AB92" i="14"/>
  <c r="AC92" i="14"/>
  <c r="G92" i="14"/>
  <c r="AK92" i="14"/>
  <c r="P92" i="14"/>
  <c r="H92" i="14"/>
  <c r="AJ92" i="14"/>
  <c r="V92" i="14"/>
  <c r="L92" i="14"/>
  <c r="AA92" i="14"/>
  <c r="Y92" i="14"/>
  <c r="Z92" i="14"/>
  <c r="N92" i="14"/>
  <c r="AH92" i="14"/>
  <c r="AF92" i="14"/>
  <c r="S92" i="14"/>
  <c r="J92" i="14"/>
  <c r="U92" i="14"/>
  <c r="M92" i="14"/>
  <c r="E92" i="14"/>
  <c r="F21" i="12"/>
  <c r="AJ90" i="15"/>
  <c r="J90" i="15"/>
  <c r="I90" i="15"/>
  <c r="U90" i="15"/>
  <c r="AC90" i="15"/>
  <c r="Q90" i="15"/>
  <c r="V90" i="15"/>
  <c r="AH90" i="15"/>
  <c r="AG90" i="15"/>
  <c r="K90" i="15"/>
  <c r="L90" i="15"/>
  <c r="AA90" i="15"/>
  <c r="M90" i="15"/>
  <c r="AI90" i="15"/>
  <c r="H90" i="15"/>
  <c r="AE90" i="15"/>
  <c r="O90" i="15"/>
  <c r="F90" i="15"/>
  <c r="E90" i="15"/>
  <c r="N90" i="15"/>
  <c r="R90" i="15"/>
  <c r="T90" i="15"/>
  <c r="AK90" i="15"/>
  <c r="W90" i="15"/>
  <c r="P90" i="15"/>
  <c r="X90" i="15"/>
  <c r="AD90" i="15"/>
  <c r="Y90" i="15"/>
  <c r="S90" i="15"/>
  <c r="Z90" i="15"/>
  <c r="AF90" i="15"/>
  <c r="G90" i="15"/>
  <c r="AB90" i="15"/>
  <c r="H62" i="11"/>
  <c r="R62" i="11"/>
  <c r="P62" i="11"/>
  <c r="L62" i="11"/>
  <c r="E62" i="11"/>
  <c r="AJ62" i="11"/>
  <c r="AC62" i="11"/>
  <c r="Y62" i="11"/>
  <c r="W62" i="11"/>
  <c r="Q62" i="11"/>
  <c r="O62" i="11"/>
  <c r="AB62" i="11"/>
  <c r="M62" i="11"/>
  <c r="AI62" i="11"/>
  <c r="AF62" i="11"/>
  <c r="K62" i="11"/>
  <c r="AD62" i="11"/>
  <c r="AA62" i="11"/>
  <c r="AK62" i="11"/>
  <c r="J62" i="11"/>
  <c r="S62" i="11"/>
  <c r="F62" i="11"/>
  <c r="AH62" i="11"/>
  <c r="G62" i="11"/>
  <c r="V62" i="11"/>
  <c r="T62" i="11"/>
  <c r="AG62" i="11"/>
  <c r="I62" i="11"/>
  <c r="N62" i="11"/>
  <c r="U62" i="11"/>
  <c r="AE62" i="11"/>
  <c r="X62" i="11"/>
  <c r="Z62" i="11"/>
  <c r="U21" i="13"/>
  <c r="N21" i="13"/>
  <c r="L21" i="13"/>
  <c r="G26" i="15"/>
  <c r="AJ26" i="15"/>
  <c r="AD26" i="15"/>
  <c r="L26" i="15"/>
  <c r="T26" i="15"/>
  <c r="U26" i="14"/>
  <c r="J26" i="14"/>
  <c r="Q26" i="14"/>
  <c r="X26" i="14"/>
  <c r="AE21" i="16"/>
  <c r="Q21" i="16"/>
  <c r="W21" i="16"/>
  <c r="AB91" i="13"/>
  <c r="Y91" i="13"/>
  <c r="V91" i="13"/>
  <c r="W91" i="13"/>
  <c r="AF91" i="13"/>
  <c r="AC91" i="13"/>
  <c r="Z91" i="13"/>
  <c r="AA91" i="13"/>
  <c r="P91" i="13"/>
  <c r="M91" i="13"/>
  <c r="J91" i="13"/>
  <c r="K91" i="13"/>
  <c r="I91" i="13"/>
  <c r="AD91" i="13"/>
  <c r="AG91" i="13"/>
  <c r="Q91" i="13"/>
  <c r="AH91" i="13"/>
  <c r="H91" i="13"/>
  <c r="U91" i="13"/>
  <c r="G91" i="13"/>
  <c r="L91" i="13"/>
  <c r="X91" i="13"/>
  <c r="F91" i="13"/>
  <c r="AE91" i="13"/>
  <c r="S91" i="13"/>
  <c r="AK91" i="13"/>
  <c r="T91" i="13"/>
  <c r="AI91" i="13"/>
  <c r="E91" i="13"/>
  <c r="AJ91" i="13"/>
  <c r="N91" i="13"/>
  <c r="R91" i="13"/>
  <c r="O91" i="13"/>
  <c r="H89" i="16"/>
  <c r="AJ89" i="16"/>
  <c r="V89" i="16"/>
  <c r="K89" i="16"/>
  <c r="S89" i="16"/>
  <c r="O89" i="16"/>
  <c r="I89" i="16"/>
  <c r="AF89" i="16"/>
  <c r="E89" i="16"/>
  <c r="T89" i="16"/>
  <c r="AA89" i="16"/>
  <c r="R89" i="16"/>
  <c r="Q89" i="16"/>
  <c r="Z89" i="16"/>
  <c r="AK89" i="16"/>
  <c r="W89" i="16"/>
  <c r="J89" i="16"/>
  <c r="U89" i="16"/>
  <c r="G89" i="16"/>
  <c r="P89" i="16"/>
  <c r="M89" i="16"/>
  <c r="Y89" i="16"/>
  <c r="AG89" i="16"/>
  <c r="AI89" i="16"/>
  <c r="X89" i="16"/>
  <c r="N89" i="16"/>
  <c r="AH89" i="16"/>
  <c r="F89" i="16"/>
  <c r="AB89" i="16"/>
  <c r="AD89" i="16"/>
  <c r="L89" i="16"/>
  <c r="AC89" i="16"/>
  <c r="AE89" i="16"/>
  <c r="W21" i="11"/>
  <c r="U21" i="11"/>
  <c r="T21" i="11"/>
  <c r="K21" i="11"/>
  <c r="AB60" i="12"/>
  <c r="Y60" i="12"/>
  <c r="R60" i="12"/>
  <c r="W60" i="12"/>
  <c r="AF60" i="12"/>
  <c r="AC60" i="12"/>
  <c r="V60" i="12"/>
  <c r="AA60" i="12"/>
  <c r="P60" i="12"/>
  <c r="M60" i="12"/>
  <c r="F60" i="12"/>
  <c r="G60" i="12"/>
  <c r="T60" i="12"/>
  <c r="AK60" i="12"/>
  <c r="S60" i="12"/>
  <c r="X60" i="12"/>
  <c r="K60" i="12"/>
  <c r="AE60" i="12"/>
  <c r="AJ60" i="12"/>
  <c r="J60" i="12"/>
  <c r="AI60" i="12"/>
  <c r="Q60" i="12"/>
  <c r="AD60" i="12"/>
  <c r="I60" i="12"/>
  <c r="N60" i="12"/>
  <c r="Z60" i="12"/>
  <c r="U60" i="12"/>
  <c r="AG60" i="12"/>
  <c r="H60" i="12"/>
  <c r="AH60" i="12"/>
  <c r="L60" i="12"/>
  <c r="O60" i="12"/>
  <c r="E60" i="12"/>
  <c r="E60" i="11"/>
  <c r="AK60" i="11"/>
  <c r="AH60" i="11"/>
  <c r="AI60" i="11"/>
  <c r="AB60" i="11"/>
  <c r="Y60" i="11"/>
  <c r="V60" i="11"/>
  <c r="W60" i="11"/>
  <c r="P60" i="11"/>
  <c r="U60" i="11"/>
  <c r="AD60" i="11"/>
  <c r="T60" i="11"/>
  <c r="AC60" i="11"/>
  <c r="G60" i="11"/>
  <c r="X60" i="11"/>
  <c r="AG60" i="11"/>
  <c r="K60" i="11"/>
  <c r="I60" i="11"/>
  <c r="N60" i="11"/>
  <c r="AA60" i="11"/>
  <c r="J60" i="11"/>
  <c r="O60" i="11"/>
  <c r="AJ60" i="11"/>
  <c r="H60" i="11"/>
  <c r="R60" i="11"/>
  <c r="AF60" i="11"/>
  <c r="S60" i="11"/>
  <c r="L60" i="11"/>
  <c r="Z60" i="11"/>
  <c r="M60" i="11"/>
  <c r="AE60" i="11"/>
  <c r="Q60" i="11"/>
  <c r="F60" i="11"/>
  <c r="T87" i="14"/>
  <c r="Q87" i="14"/>
  <c r="N87" i="14"/>
  <c r="O87" i="14"/>
  <c r="X87" i="14"/>
  <c r="U87" i="14"/>
  <c r="R87" i="14"/>
  <c r="S87" i="14"/>
  <c r="H87" i="14"/>
  <c r="E87" i="14"/>
  <c r="AK87" i="14"/>
  <c r="AH87" i="14"/>
  <c r="AI87" i="14"/>
  <c r="P87" i="14"/>
  <c r="AG87" i="14"/>
  <c r="W87" i="14"/>
  <c r="V87" i="14"/>
  <c r="AB87" i="14"/>
  <c r="F87" i="14"/>
  <c r="AA87" i="14"/>
  <c r="AF87" i="14"/>
  <c r="J87" i="14"/>
  <c r="AE87" i="14"/>
  <c r="AJ87" i="14"/>
  <c r="M87" i="14"/>
  <c r="AD87" i="14"/>
  <c r="AC87" i="14"/>
  <c r="Z87" i="14"/>
  <c r="K87" i="14"/>
  <c r="G87" i="14"/>
  <c r="L87" i="14"/>
  <c r="I87" i="14"/>
  <c r="Y87" i="14"/>
  <c r="H91" i="17"/>
  <c r="N91" i="17"/>
  <c r="AF91" i="17"/>
  <c r="AB91" i="17"/>
  <c r="E91" i="17"/>
  <c r="Q91" i="17"/>
  <c r="J91" i="17"/>
  <c r="F91" i="17"/>
  <c r="R91" i="17"/>
  <c r="AE91" i="17"/>
  <c r="Z91" i="17"/>
  <c r="I91" i="17"/>
  <c r="AG91" i="17"/>
  <c r="AC91" i="17"/>
  <c r="L91" i="17"/>
  <c r="O91" i="17"/>
  <c r="M91" i="17"/>
  <c r="AI91" i="17"/>
  <c r="T91" i="17"/>
  <c r="G91" i="17"/>
  <c r="AK91" i="17"/>
  <c r="AJ91" i="17"/>
  <c r="AH91" i="17"/>
  <c r="P91" i="17"/>
  <c r="AA91" i="17"/>
  <c r="U91" i="17"/>
  <c r="K91" i="17"/>
  <c r="X91" i="17"/>
  <c r="V91" i="17"/>
  <c r="AD91" i="17"/>
  <c r="W91" i="17"/>
  <c r="Y91" i="17"/>
  <c r="S91" i="17"/>
  <c r="X87" i="12"/>
  <c r="U87" i="12"/>
  <c r="W87" i="12"/>
  <c r="V87" i="12"/>
  <c r="L87" i="12"/>
  <c r="I87" i="12"/>
  <c r="K87" i="12"/>
  <c r="J87" i="12"/>
  <c r="E87" i="12"/>
  <c r="S87" i="12"/>
  <c r="AD87" i="12"/>
  <c r="M87" i="12"/>
  <c r="AA87" i="12"/>
  <c r="AH87" i="12"/>
  <c r="H87" i="12"/>
  <c r="Q87" i="12"/>
  <c r="AE87" i="12"/>
  <c r="G87" i="12"/>
  <c r="AB87" i="12"/>
  <c r="AG87" i="12"/>
  <c r="N87" i="12"/>
  <c r="T87" i="12"/>
  <c r="F87" i="12"/>
  <c r="Y87" i="12"/>
  <c r="AC87" i="12"/>
  <c r="AF87" i="12"/>
  <c r="R87" i="12"/>
  <c r="AJ87" i="12"/>
  <c r="Z87" i="12"/>
  <c r="AK87" i="12"/>
  <c r="O87" i="12"/>
  <c r="P87" i="12"/>
  <c r="AI87" i="12"/>
  <c r="X65" i="13"/>
  <c r="U65" i="13"/>
  <c r="R65" i="13"/>
  <c r="S65" i="13"/>
  <c r="AB65" i="13"/>
  <c r="Y65" i="13"/>
  <c r="V65" i="13"/>
  <c r="W65" i="13"/>
  <c r="L65" i="13"/>
  <c r="I65" i="13"/>
  <c r="F65" i="13"/>
  <c r="G65" i="13"/>
  <c r="T65" i="13"/>
  <c r="AK65" i="13"/>
  <c r="AA65" i="13"/>
  <c r="E65" i="13"/>
  <c r="AF65" i="13"/>
  <c r="J65" i="13"/>
  <c r="AE65" i="13"/>
  <c r="Z65" i="13"/>
  <c r="AJ65" i="13"/>
  <c r="N65" i="13"/>
  <c r="AI65" i="13"/>
  <c r="Q65" i="13"/>
  <c r="AH65" i="13"/>
  <c r="AD65" i="13"/>
  <c r="H65" i="13"/>
  <c r="P65" i="13"/>
  <c r="K65" i="13"/>
  <c r="O65" i="13"/>
  <c r="M65" i="13"/>
  <c r="AC65" i="13"/>
  <c r="AG65" i="13"/>
  <c r="K21" i="12"/>
  <c r="AF21" i="12"/>
  <c r="W21" i="12"/>
  <c r="AC21" i="12"/>
  <c r="X26" i="13"/>
  <c r="O26" i="13"/>
  <c r="W26" i="13"/>
  <c r="I26" i="13"/>
  <c r="H64" i="17"/>
  <c r="Q64" i="17"/>
  <c r="AE64" i="17"/>
  <c r="G64" i="17"/>
  <c r="S64" i="17"/>
  <c r="K64" i="17"/>
  <c r="M64" i="17"/>
  <c r="AB64" i="17"/>
  <c r="E64" i="17"/>
  <c r="O64" i="17"/>
  <c r="J64" i="17"/>
  <c r="AI64" i="17"/>
  <c r="N64" i="17"/>
  <c r="P64" i="17"/>
  <c r="AH64" i="17"/>
  <c r="AJ64" i="17"/>
  <c r="W64" i="17"/>
  <c r="R64" i="17"/>
  <c r="AD64" i="17"/>
  <c r="Y64" i="17"/>
  <c r="X64" i="17"/>
  <c r="F64" i="17"/>
  <c r="AK64" i="17"/>
  <c r="Z64" i="17"/>
  <c r="I64" i="17"/>
  <c r="AG64" i="17"/>
  <c r="AA64" i="17"/>
  <c r="L64" i="17"/>
  <c r="AC64" i="17"/>
  <c r="AF64" i="17"/>
  <c r="T64" i="17"/>
  <c r="V64" i="17"/>
  <c r="U64" i="17"/>
  <c r="H64" i="12"/>
  <c r="Z64" i="12"/>
  <c r="J64" i="12"/>
  <c r="I64" i="12"/>
  <c r="U64" i="12"/>
  <c r="AC64" i="12"/>
  <c r="M64" i="12"/>
  <c r="AB64" i="12"/>
  <c r="E64" i="12"/>
  <c r="AG64" i="12"/>
  <c r="Q64" i="12"/>
  <c r="V64" i="12"/>
  <c r="AH64" i="12"/>
  <c r="AJ64" i="12"/>
  <c r="W64" i="12"/>
  <c r="AK64" i="12"/>
  <c r="AA64" i="12"/>
  <c r="G64" i="12"/>
  <c r="X64" i="12"/>
  <c r="AF64" i="12"/>
  <c r="F64" i="12"/>
  <c r="T64" i="12"/>
  <c r="AI64" i="12"/>
  <c r="N64" i="12"/>
  <c r="Y64" i="12"/>
  <c r="K64" i="12"/>
  <c r="L64" i="12"/>
  <c r="P64" i="12"/>
  <c r="AE64" i="12"/>
  <c r="S64" i="12"/>
  <c r="AD64" i="12"/>
  <c r="R64" i="12"/>
  <c r="O64" i="12"/>
  <c r="P62" i="13"/>
  <c r="M62" i="13"/>
  <c r="J62" i="13"/>
  <c r="K62" i="13"/>
  <c r="T62" i="13"/>
  <c r="Q62" i="13"/>
  <c r="N62" i="13"/>
  <c r="O62" i="13"/>
  <c r="AJ62" i="13"/>
  <c r="AG62" i="13"/>
  <c r="AD62" i="13"/>
  <c r="AE62" i="13"/>
  <c r="E62" i="13"/>
  <c r="V62" i="13"/>
  <c r="H62" i="13"/>
  <c r="I62" i="13"/>
  <c r="Z62" i="13"/>
  <c r="Y62" i="13"/>
  <c r="U62" i="13"/>
  <c r="AH62" i="13"/>
  <c r="G62" i="13"/>
  <c r="X62" i="13"/>
  <c r="AK62" i="13"/>
  <c r="W62" i="13"/>
  <c r="S62" i="13"/>
  <c r="AA62" i="13"/>
  <c r="AB62" i="13"/>
  <c r="AF62" i="13"/>
  <c r="L62" i="13"/>
  <c r="AI62" i="13"/>
  <c r="AC62" i="13"/>
  <c r="F62" i="13"/>
  <c r="R62" i="13"/>
  <c r="O26" i="12"/>
  <c r="AK26" i="12"/>
  <c r="G26" i="12"/>
  <c r="AJ26" i="12"/>
  <c r="T26" i="12"/>
  <c r="Z26" i="17"/>
  <c r="G26" i="17"/>
  <c r="AB26" i="17"/>
  <c r="AK26" i="17"/>
  <c r="T89" i="14"/>
  <c r="Q89" i="14"/>
  <c r="N89" i="14"/>
  <c r="O89" i="14"/>
  <c r="H89" i="14"/>
  <c r="E89" i="14"/>
  <c r="AK89" i="14"/>
  <c r="AH89" i="14"/>
  <c r="AI89" i="14"/>
  <c r="M89" i="14"/>
  <c r="V89" i="14"/>
  <c r="AE89" i="14"/>
  <c r="L89" i="14"/>
  <c r="U89" i="14"/>
  <c r="Z89" i="14"/>
  <c r="AF89" i="14"/>
  <c r="F89" i="14"/>
  <c r="S89" i="14"/>
  <c r="AB89" i="14"/>
  <c r="AD89" i="14"/>
  <c r="W89" i="14"/>
  <c r="AJ89" i="14"/>
  <c r="G89" i="14"/>
  <c r="I89" i="14"/>
  <c r="K89" i="14"/>
  <c r="Y89" i="14"/>
  <c r="AG89" i="14"/>
  <c r="P89" i="14"/>
  <c r="J89" i="14"/>
  <c r="X89" i="14"/>
  <c r="R89" i="14"/>
  <c r="AC89" i="14"/>
  <c r="AA89" i="14"/>
  <c r="AE26" i="11"/>
  <c r="AA26" i="11"/>
  <c r="AD26" i="11"/>
  <c r="F26" i="11"/>
  <c r="Q26" i="16"/>
  <c r="O26" i="16"/>
  <c r="X26" i="16"/>
  <c r="Y26" i="16"/>
  <c r="E21" i="17"/>
  <c r="W21" i="17"/>
  <c r="Y21" i="17"/>
  <c r="U21" i="17"/>
  <c r="K21" i="14"/>
  <c r="AB21" i="14"/>
  <c r="W21" i="14"/>
  <c r="P21" i="14"/>
  <c r="AF21" i="14"/>
  <c r="M21" i="7" l="1"/>
  <c r="M14" i="7" s="1"/>
  <c r="W17" i="15"/>
  <c r="O17" i="15"/>
  <c r="H17" i="15"/>
  <c r="I17" i="15"/>
  <c r="V17" i="15"/>
  <c r="J17" i="15"/>
  <c r="K17" i="15"/>
  <c r="AG17" i="15"/>
  <c r="F17" i="15"/>
  <c r="E17" i="15"/>
  <c r="T17" i="15"/>
  <c r="S17" i="15"/>
  <c r="AJ17" i="15"/>
  <c r="P17" i="15"/>
  <c r="V22" i="16"/>
  <c r="X17" i="15"/>
  <c r="AF17" i="15"/>
  <c r="Y17" i="15"/>
  <c r="AK17" i="15"/>
  <c r="AB17" i="15"/>
  <c r="R17" i="15"/>
  <c r="Z17" i="15"/>
  <c r="Q17" i="15"/>
  <c r="AA17" i="15"/>
  <c r="AH17" i="15"/>
  <c r="AC17" i="15"/>
  <c r="AE22" i="11"/>
  <c r="U27" i="17"/>
  <c r="Y22" i="16"/>
  <c r="AD17" i="15"/>
  <c r="AE17" i="15"/>
  <c r="L17" i="15"/>
  <c r="AH27" i="15"/>
  <c r="Y27" i="17"/>
  <c r="AF27" i="17"/>
  <c r="AK27" i="17"/>
  <c r="AD27" i="17"/>
  <c r="AJ27" i="17"/>
  <c r="AE22" i="16"/>
  <c r="Z22" i="16"/>
  <c r="H22" i="15"/>
  <c r="AA27" i="11"/>
  <c r="G27" i="11"/>
  <c r="R27" i="13"/>
  <c r="Q22" i="12"/>
  <c r="AI27" i="15"/>
  <c r="T27" i="16"/>
  <c r="Z27" i="12"/>
  <c r="E27" i="11"/>
  <c r="E14" i="11" a="1"/>
  <c r="AE14" i="11" s="1"/>
  <c r="N27" i="17"/>
  <c r="W27" i="14"/>
  <c r="E22" i="14"/>
  <c r="X27" i="17"/>
  <c r="V27" i="17"/>
  <c r="AK22" i="17"/>
  <c r="Q22" i="13"/>
  <c r="AE27" i="17"/>
  <c r="M22" i="13"/>
  <c r="E14" i="14" a="1"/>
  <c r="AH14" i="14" s="1"/>
  <c r="X27" i="11"/>
  <c r="W27" i="13"/>
  <c r="F27" i="16"/>
  <c r="AD27" i="11"/>
  <c r="K27" i="17"/>
  <c r="L27" i="17"/>
  <c r="AB27" i="17"/>
  <c r="N22" i="14"/>
  <c r="I27" i="17"/>
  <c r="AH27" i="17"/>
  <c r="Z27" i="17"/>
  <c r="P27" i="17"/>
  <c r="E27" i="17"/>
  <c r="AC27" i="14"/>
  <c r="W27" i="17"/>
  <c r="AG27" i="17"/>
  <c r="N17" i="15"/>
  <c r="G17" i="15"/>
  <c r="U17" i="15"/>
  <c r="M17" i="15"/>
  <c r="L27" i="11"/>
  <c r="AI22" i="16"/>
  <c r="M27" i="17"/>
  <c r="Q27" i="13"/>
  <c r="X22" i="12"/>
  <c r="V27" i="15"/>
  <c r="U27" i="16"/>
  <c r="R22" i="16"/>
  <c r="G27" i="13"/>
  <c r="E14" i="17" a="1"/>
  <c r="Y14" i="17" s="1"/>
  <c r="S27" i="17"/>
  <c r="AA27" i="15"/>
  <c r="M27" i="15"/>
  <c r="V27" i="11"/>
  <c r="AI22" i="11"/>
  <c r="J22" i="11"/>
  <c r="W22" i="11"/>
  <c r="K22" i="11"/>
  <c r="AC27" i="17"/>
  <c r="T27" i="17"/>
  <c r="F27" i="17"/>
  <c r="R27" i="17"/>
  <c r="H27" i="17"/>
  <c r="Q27" i="17"/>
  <c r="U27" i="13"/>
  <c r="L22" i="12"/>
  <c r="K27" i="16"/>
  <c r="AH27" i="12"/>
  <c r="G27" i="17"/>
  <c r="K27" i="13"/>
  <c r="AC22" i="12"/>
  <c r="O27" i="17"/>
  <c r="AF27" i="15"/>
  <c r="Z27" i="15"/>
  <c r="AG27" i="12"/>
  <c r="AG22" i="11"/>
  <c r="AA27" i="17"/>
  <c r="AI27" i="17"/>
  <c r="J27" i="17"/>
  <c r="AJ17" i="16"/>
  <c r="E17" i="16"/>
  <c r="Y17" i="16"/>
  <c r="X17" i="16"/>
  <c r="T17" i="16"/>
  <c r="J17" i="16"/>
  <c r="AI17" i="16"/>
  <c r="AF17" i="16"/>
  <c r="S17" i="16"/>
  <c r="G17" i="16"/>
  <c r="Z17" i="16"/>
  <c r="R17" i="16"/>
  <c r="AD17" i="16"/>
  <c r="F17" i="16"/>
  <c r="AC17" i="16"/>
  <c r="U17" i="16"/>
  <c r="AE17" i="16"/>
  <c r="I17" i="16"/>
  <c r="W17" i="16"/>
  <c r="O17" i="16"/>
  <c r="AG17" i="16"/>
  <c r="AK17" i="16"/>
  <c r="AB17" i="16"/>
  <c r="K17" i="16"/>
  <c r="N17" i="16"/>
  <c r="M17" i="16"/>
  <c r="Q17" i="16"/>
  <c r="L17" i="16"/>
  <c r="AH17" i="16"/>
  <c r="P17" i="16"/>
  <c r="H17" i="16"/>
  <c r="AA17" i="16"/>
  <c r="V17" i="16"/>
  <c r="E14" i="13" a="1"/>
  <c r="AF22" i="14"/>
  <c r="F27" i="13"/>
  <c r="R22" i="17"/>
  <c r="W22" i="13"/>
  <c r="G22" i="12"/>
  <c r="R27" i="16"/>
  <c r="AA27" i="12"/>
  <c r="F22" i="11"/>
  <c r="I27" i="14"/>
  <c r="G22" i="14"/>
  <c r="I27" i="13"/>
  <c r="L22" i="17"/>
  <c r="T22" i="13"/>
  <c r="W22" i="12"/>
  <c r="R22" i="15"/>
  <c r="Y27" i="16"/>
  <c r="S27" i="12"/>
  <c r="S27" i="11"/>
  <c r="M27" i="11"/>
  <c r="AD22" i="16"/>
  <c r="Y22" i="11"/>
  <c r="J22" i="14"/>
  <c r="L27" i="13"/>
  <c r="E22" i="17"/>
  <c r="Y22" i="13"/>
  <c r="M22" i="12"/>
  <c r="AG22" i="15"/>
  <c r="F27" i="15"/>
  <c r="AB27" i="16"/>
  <c r="AI27" i="12"/>
  <c r="P27" i="11"/>
  <c r="AK22" i="16"/>
  <c r="E22" i="11"/>
  <c r="Z27" i="14"/>
  <c r="H22" i="14"/>
  <c r="AH27" i="13"/>
  <c r="W22" i="17"/>
  <c r="R22" i="13"/>
  <c r="P22" i="12"/>
  <c r="AB22" i="15"/>
  <c r="G27" i="15"/>
  <c r="S27" i="15"/>
  <c r="H27" i="16"/>
  <c r="AJ27" i="12"/>
  <c r="N27" i="12"/>
  <c r="J27" i="11"/>
  <c r="AK27" i="11"/>
  <c r="H27" i="11"/>
  <c r="W27" i="11"/>
  <c r="T22" i="16"/>
  <c r="E22" i="16"/>
  <c r="P22" i="16"/>
  <c r="AC22" i="16"/>
  <c r="L22" i="11"/>
  <c r="R22" i="11"/>
  <c r="N22" i="11"/>
  <c r="H22" i="11"/>
  <c r="AJ27" i="14"/>
  <c r="R27" i="14"/>
  <c r="Q27" i="14"/>
  <c r="AK27" i="14"/>
  <c r="AK22" i="14"/>
  <c r="O22" i="14"/>
  <c r="M22" i="14"/>
  <c r="AE22" i="14"/>
  <c r="AK27" i="13"/>
  <c r="T27" i="13"/>
  <c r="AJ27" i="13"/>
  <c r="M27" i="13"/>
  <c r="S22" i="17"/>
  <c r="O22" i="17"/>
  <c r="M22" i="17"/>
  <c r="AF22" i="17"/>
  <c r="AD22" i="13"/>
  <c r="AJ22" i="13"/>
  <c r="P22" i="13"/>
  <c r="G22" i="13"/>
  <c r="H22" i="13"/>
  <c r="E14" i="16" a="1"/>
  <c r="AI22" i="12"/>
  <c r="AA22" i="12"/>
  <c r="E22" i="12"/>
  <c r="AB22" i="12"/>
  <c r="M22" i="15"/>
  <c r="X22" i="15"/>
  <c r="K22" i="15"/>
  <c r="W22" i="15"/>
  <c r="J27" i="12"/>
  <c r="Q27" i="12"/>
  <c r="AH22" i="11"/>
  <c r="X27" i="14"/>
  <c r="U27" i="14"/>
  <c r="H27" i="14"/>
  <c r="AG22" i="14"/>
  <c r="AE22" i="17"/>
  <c r="AG22" i="13"/>
  <c r="P22" i="15"/>
  <c r="I27" i="16"/>
  <c r="T27" i="12"/>
  <c r="F27" i="11"/>
  <c r="J22" i="16"/>
  <c r="AB22" i="16"/>
  <c r="T27" i="14"/>
  <c r="Y22" i="14"/>
  <c r="L22" i="14"/>
  <c r="AG27" i="13"/>
  <c r="H22" i="17"/>
  <c r="V22" i="13"/>
  <c r="H22" i="12"/>
  <c r="O22" i="15"/>
  <c r="AG27" i="15"/>
  <c r="H27" i="15"/>
  <c r="M27" i="16"/>
  <c r="AG27" i="11"/>
  <c r="AH22" i="16"/>
  <c r="S22" i="11"/>
  <c r="AF17" i="14"/>
  <c r="X17" i="14"/>
  <c r="AK17" i="14"/>
  <c r="AB17" i="14"/>
  <c r="F17" i="14"/>
  <c r="K17" i="14"/>
  <c r="S17" i="14"/>
  <c r="Y17" i="14"/>
  <c r="H17" i="14"/>
  <c r="AD17" i="14"/>
  <c r="M17" i="14"/>
  <c r="J17" i="14"/>
  <c r="E17" i="14"/>
  <c r="O17" i="14"/>
  <c r="AA17" i="14"/>
  <c r="AE17" i="14"/>
  <c r="AH17" i="14"/>
  <c r="N17" i="14"/>
  <c r="L17" i="14"/>
  <c r="AG17" i="14"/>
  <c r="AJ17" i="14"/>
  <c r="V17" i="14"/>
  <c r="Q17" i="14"/>
  <c r="W17" i="14"/>
  <c r="R17" i="14"/>
  <c r="Z17" i="14"/>
  <c r="G17" i="14"/>
  <c r="T17" i="14"/>
  <c r="AI17" i="14"/>
  <c r="I17" i="14"/>
  <c r="P17" i="14"/>
  <c r="U17" i="14"/>
  <c r="AC17" i="14"/>
  <c r="AF27" i="14"/>
  <c r="U22" i="14"/>
  <c r="AB27" i="13"/>
  <c r="AG22" i="17"/>
  <c r="AE22" i="13"/>
  <c r="J22" i="12"/>
  <c r="AD22" i="15"/>
  <c r="L27" i="15"/>
  <c r="N27" i="16"/>
  <c r="L27" i="12"/>
  <c r="G27" i="12"/>
  <c r="Q27" i="11"/>
  <c r="AA22" i="16"/>
  <c r="AC22" i="11"/>
  <c r="E27" i="14"/>
  <c r="AE27" i="14"/>
  <c r="Z22" i="14"/>
  <c r="X22" i="14"/>
  <c r="AE27" i="13"/>
  <c r="AA27" i="13"/>
  <c r="AB22" i="17"/>
  <c r="E22" i="13"/>
  <c r="F22" i="12"/>
  <c r="V22" i="12"/>
  <c r="U22" i="15"/>
  <c r="T27" i="15"/>
  <c r="J27" i="15"/>
  <c r="L27" i="16"/>
  <c r="J27" i="16"/>
  <c r="AI27" i="16"/>
  <c r="AC27" i="12"/>
  <c r="AD27" i="12"/>
  <c r="K17" i="11"/>
  <c r="U17" i="11"/>
  <c r="AB17" i="11"/>
  <c r="I17" i="11"/>
  <c r="AD17" i="11"/>
  <c r="E17" i="11"/>
  <c r="AF17" i="11"/>
  <c r="J17" i="11"/>
  <c r="X17" i="11"/>
  <c r="Q17" i="11"/>
  <c r="AG17" i="11"/>
  <c r="L17" i="11"/>
  <c r="Z17" i="11"/>
  <c r="W17" i="11"/>
  <c r="P17" i="11"/>
  <c r="T17" i="11"/>
  <c r="AJ17" i="11"/>
  <c r="AI17" i="11"/>
  <c r="AC17" i="11"/>
  <c r="V17" i="11"/>
  <c r="AH17" i="11"/>
  <c r="Y17" i="11"/>
  <c r="F17" i="11"/>
  <c r="G17" i="11"/>
  <c r="H17" i="11"/>
  <c r="O17" i="11"/>
  <c r="N17" i="11"/>
  <c r="AE17" i="11"/>
  <c r="M17" i="11"/>
  <c r="S17" i="11"/>
  <c r="R17" i="11"/>
  <c r="AA17" i="11"/>
  <c r="AK17" i="11"/>
  <c r="R27" i="15"/>
  <c r="Y27" i="15"/>
  <c r="Q27" i="15"/>
  <c r="AC27" i="15"/>
  <c r="O27" i="16"/>
  <c r="AG27" i="16"/>
  <c r="AH27" i="16"/>
  <c r="W27" i="16"/>
  <c r="AK27" i="12"/>
  <c r="K27" i="12"/>
  <c r="AE27" i="12"/>
  <c r="AF27" i="12"/>
  <c r="AH27" i="11"/>
  <c r="AF27" i="11"/>
  <c r="AE27" i="11"/>
  <c r="R27" i="11"/>
  <c r="S22" i="16"/>
  <c r="F22" i="16"/>
  <c r="K22" i="16"/>
  <c r="M22" i="16"/>
  <c r="AF22" i="11"/>
  <c r="AB22" i="11"/>
  <c r="AD22" i="11"/>
  <c r="X22" i="11"/>
  <c r="AB27" i="14"/>
  <c r="AH27" i="14"/>
  <c r="S27" i="14"/>
  <c r="Y27" i="14"/>
  <c r="AA22" i="14"/>
  <c r="I22" i="14"/>
  <c r="AB22" i="14"/>
  <c r="R22" i="14"/>
  <c r="J27" i="13"/>
  <c r="Y27" i="13"/>
  <c r="N27" i="13"/>
  <c r="E27" i="13"/>
  <c r="AA22" i="17"/>
  <c r="I22" i="17"/>
  <c r="T22" i="17"/>
  <c r="AH22" i="17"/>
  <c r="V22" i="17"/>
  <c r="Z22" i="13"/>
  <c r="AA22" i="13"/>
  <c r="J22" i="13"/>
  <c r="F22" i="13"/>
  <c r="AJ22" i="12"/>
  <c r="AK22" i="12"/>
  <c r="AH22" i="12"/>
  <c r="S22" i="12"/>
  <c r="AA22" i="15"/>
  <c r="S22" i="15"/>
  <c r="I22" i="15"/>
  <c r="AK22" i="15"/>
  <c r="I27" i="15"/>
  <c r="P17" i="13"/>
  <c r="AI17" i="13"/>
  <c r="L17" i="13"/>
  <c r="J17" i="13"/>
  <c r="W17" i="13"/>
  <c r="I17" i="13"/>
  <c r="Q17" i="13"/>
  <c r="Z17" i="13"/>
  <c r="AC17" i="13"/>
  <c r="K17" i="13"/>
  <c r="X17" i="13"/>
  <c r="AE17" i="13"/>
  <c r="U17" i="13"/>
  <c r="AK17" i="13"/>
  <c r="G17" i="13"/>
  <c r="AD17" i="13"/>
  <c r="AB17" i="13"/>
  <c r="S17" i="13"/>
  <c r="H17" i="13"/>
  <c r="T17" i="13"/>
  <c r="O17" i="13"/>
  <c r="M17" i="13"/>
  <c r="AH17" i="13"/>
  <c r="F17" i="13"/>
  <c r="AG17" i="13"/>
  <c r="Y17" i="13"/>
  <c r="N17" i="13"/>
  <c r="AF17" i="13"/>
  <c r="AJ17" i="13"/>
  <c r="AA17" i="13"/>
  <c r="V17" i="13"/>
  <c r="E17" i="13"/>
  <c r="R17" i="13"/>
  <c r="AJ22" i="16"/>
  <c r="AI27" i="14"/>
  <c r="P22" i="17"/>
  <c r="AI22" i="13"/>
  <c r="AF22" i="12"/>
  <c r="Q22" i="15"/>
  <c r="T22" i="15"/>
  <c r="W27" i="15"/>
  <c r="X27" i="16"/>
  <c r="P27" i="12"/>
  <c r="AI27" i="11"/>
  <c r="M22" i="11"/>
  <c r="O27" i="14"/>
  <c r="T22" i="14"/>
  <c r="U22" i="17"/>
  <c r="AH22" i="13"/>
  <c r="G22" i="15"/>
  <c r="Z27" i="16"/>
  <c r="X27" i="12"/>
  <c r="J27" i="14"/>
  <c r="AH22" i="14"/>
  <c r="P27" i="13"/>
  <c r="AJ22" i="17"/>
  <c r="AK22" i="13"/>
  <c r="R22" i="12"/>
  <c r="V22" i="15"/>
  <c r="F22" i="15"/>
  <c r="E27" i="15"/>
  <c r="AJ27" i="16"/>
  <c r="Y27" i="12"/>
  <c r="O27" i="11"/>
  <c r="N22" i="16"/>
  <c r="E14" i="12" a="1"/>
  <c r="AA22" i="11"/>
  <c r="L27" i="14"/>
  <c r="AJ22" i="14"/>
  <c r="V27" i="13"/>
  <c r="X22" i="17"/>
  <c r="AC22" i="13"/>
  <c r="AB22" i="13"/>
  <c r="Y22" i="12"/>
  <c r="AJ22" i="15"/>
  <c r="AF22" i="15"/>
  <c r="X27" i="15"/>
  <c r="AB27" i="15"/>
  <c r="N27" i="15"/>
  <c r="AE27" i="15"/>
  <c r="AJ27" i="15"/>
  <c r="AF27" i="16"/>
  <c r="AK27" i="16"/>
  <c r="P27" i="16"/>
  <c r="AA27" i="16"/>
  <c r="V27" i="12"/>
  <c r="I27" i="12"/>
  <c r="R27" i="12"/>
  <c r="E27" i="12"/>
  <c r="H27" i="12"/>
  <c r="E14" i="15" a="1"/>
  <c r="T27" i="11"/>
  <c r="Z27" i="11"/>
  <c r="N27" i="11"/>
  <c r="Y27" i="11"/>
  <c r="AB17" i="17"/>
  <c r="N17" i="17"/>
  <c r="K17" i="17"/>
  <c r="T17" i="17"/>
  <c r="I17" i="17"/>
  <c r="AJ17" i="17"/>
  <c r="AC17" i="17"/>
  <c r="Q17" i="17"/>
  <c r="S17" i="17"/>
  <c r="M17" i="17"/>
  <c r="AH17" i="17"/>
  <c r="AG17" i="17"/>
  <c r="R17" i="17"/>
  <c r="P17" i="17"/>
  <c r="AK17" i="17"/>
  <c r="G17" i="17"/>
  <c r="U17" i="17"/>
  <c r="E17" i="17"/>
  <c r="F17" i="17"/>
  <c r="AF17" i="17"/>
  <c r="Y17" i="17"/>
  <c r="Z17" i="17"/>
  <c r="V17" i="17"/>
  <c r="O17" i="17"/>
  <c r="L17" i="17"/>
  <c r="AE17" i="17"/>
  <c r="AD17" i="17"/>
  <c r="J17" i="17"/>
  <c r="AI17" i="17"/>
  <c r="X17" i="17"/>
  <c r="H17" i="17"/>
  <c r="AA17" i="17"/>
  <c r="W17" i="17"/>
  <c r="W22" i="16"/>
  <c r="I22" i="16"/>
  <c r="G22" i="16"/>
  <c r="X22" i="16"/>
  <c r="H22" i="16"/>
  <c r="V22" i="11"/>
  <c r="Z22" i="11"/>
  <c r="P22" i="11"/>
  <c r="T22" i="11"/>
  <c r="AD27" i="14"/>
  <c r="M27" i="14"/>
  <c r="G27" i="14"/>
  <c r="K27" i="14"/>
  <c r="AI22" i="14"/>
  <c r="AD22" i="14"/>
  <c r="F22" i="14"/>
  <c r="S22" i="14"/>
  <c r="Z27" i="13"/>
  <c r="AF27" i="13"/>
  <c r="O27" i="13"/>
  <c r="S27" i="13"/>
  <c r="G22" i="17"/>
  <c r="Y22" i="17"/>
  <c r="F22" i="17"/>
  <c r="Z22" i="17"/>
  <c r="N22" i="13"/>
  <c r="X22" i="13"/>
  <c r="K22" i="13"/>
  <c r="I22" i="13"/>
  <c r="AG22" i="12"/>
  <c r="T22" i="12"/>
  <c r="K22" i="12"/>
  <c r="N22" i="12"/>
  <c r="Z22" i="15"/>
  <c r="N22" i="15"/>
  <c r="AH22" i="15"/>
  <c r="AE22" i="15"/>
  <c r="J22" i="15"/>
  <c r="P27" i="15"/>
  <c r="S27" i="16"/>
  <c r="F27" i="12"/>
  <c r="AG22" i="16"/>
  <c r="AJ22" i="11"/>
  <c r="V27" i="14"/>
  <c r="P22" i="14"/>
  <c r="H27" i="13"/>
  <c r="K22" i="17"/>
  <c r="Z22" i="12"/>
  <c r="AC22" i="15"/>
  <c r="G27" i="16"/>
  <c r="M27" i="12"/>
  <c r="AK22" i="11"/>
  <c r="P27" i="14"/>
  <c r="AC22" i="14"/>
  <c r="AD22" i="17"/>
  <c r="O22" i="13"/>
  <c r="O22" i="12"/>
  <c r="U27" i="15"/>
  <c r="Q27" i="16"/>
  <c r="AJ27" i="11"/>
  <c r="O22" i="16"/>
  <c r="Q22" i="11"/>
  <c r="J22" i="17"/>
  <c r="AK27" i="15"/>
  <c r="O27" i="15"/>
  <c r="AD27" i="15"/>
  <c r="K27" i="15"/>
  <c r="E27" i="16"/>
  <c r="AC27" i="16"/>
  <c r="V27" i="16"/>
  <c r="AD27" i="16"/>
  <c r="AE27" i="16"/>
  <c r="O27" i="12"/>
  <c r="U27" i="12"/>
  <c r="W27" i="12"/>
  <c r="AB27" i="12"/>
  <c r="AC27" i="11"/>
  <c r="K27" i="11"/>
  <c r="U27" i="11"/>
  <c r="I27" i="11"/>
  <c r="AB27" i="11"/>
  <c r="Q22" i="16"/>
  <c r="AF22" i="16"/>
  <c r="U22" i="16"/>
  <c r="L22" i="16"/>
  <c r="I22" i="11"/>
  <c r="U22" i="11"/>
  <c r="O22" i="11"/>
  <c r="G22" i="11"/>
  <c r="U17" i="12"/>
  <c r="AC17" i="12"/>
  <c r="O17" i="12"/>
  <c r="R17" i="12"/>
  <c r="AA17" i="12"/>
  <c r="E17" i="12"/>
  <c r="AI17" i="12"/>
  <c r="W17" i="12"/>
  <c r="V17" i="12"/>
  <c r="F17" i="12"/>
  <c r="AH17" i="12"/>
  <c r="AF17" i="12"/>
  <c r="T17" i="12"/>
  <c r="I17" i="12"/>
  <c r="AK17" i="12"/>
  <c r="AE17" i="12"/>
  <c r="K17" i="12"/>
  <c r="G17" i="12"/>
  <c r="S17" i="12"/>
  <c r="Y17" i="12"/>
  <c r="M17" i="12"/>
  <c r="J17" i="12"/>
  <c r="Q17" i="12"/>
  <c r="AJ17" i="12"/>
  <c r="P17" i="12"/>
  <c r="N17" i="12"/>
  <c r="AD17" i="12"/>
  <c r="AB17" i="12"/>
  <c r="L17" i="12"/>
  <c r="Z17" i="12"/>
  <c r="X17" i="12"/>
  <c r="AG17" i="12"/>
  <c r="H17" i="12"/>
  <c r="F27" i="14"/>
  <c r="AG27" i="14"/>
  <c r="N27" i="14"/>
  <c r="AA27" i="14"/>
  <c r="W22" i="14"/>
  <c r="K22" i="14"/>
  <c r="V22" i="14"/>
  <c r="Q22" i="14"/>
  <c r="AD27" i="13"/>
  <c r="X27" i="13"/>
  <c r="AI27" i="13"/>
  <c r="AC27" i="13"/>
  <c r="AC22" i="17"/>
  <c r="AI22" i="17"/>
  <c r="Q22" i="17"/>
  <c r="N22" i="17"/>
  <c r="AF22" i="13"/>
  <c r="S22" i="13"/>
  <c r="U22" i="13"/>
  <c r="L22" i="13"/>
  <c r="AE22" i="12"/>
  <c r="AD22" i="12"/>
  <c r="I22" i="12"/>
  <c r="U22" i="12"/>
  <c r="Y22" i="15"/>
  <c r="L22" i="15"/>
  <c r="AI22" i="15"/>
  <c r="E22" i="15"/>
  <c r="N21" i="7" l="1"/>
  <c r="N14" i="7" s="1"/>
  <c r="X14" i="11"/>
  <c r="E14" i="11"/>
  <c r="AA14" i="11"/>
  <c r="AB14" i="11"/>
  <c r="J14" i="14"/>
  <c r="AI14" i="14"/>
  <c r="F14" i="14"/>
  <c r="AK14" i="14"/>
  <c r="G14" i="17"/>
  <c r="F14" i="17"/>
  <c r="N14" i="17"/>
  <c r="F14" i="11"/>
  <c r="AI14" i="11"/>
  <c r="G14" i="11"/>
  <c r="I14" i="11"/>
  <c r="AH14" i="17"/>
  <c r="J14" i="17"/>
  <c r="H14" i="17"/>
  <c r="S14" i="11"/>
  <c r="AJ14" i="11"/>
  <c r="AK14" i="11"/>
  <c r="AF14" i="11"/>
  <c r="W14" i="17"/>
  <c r="AE14" i="17"/>
  <c r="M14" i="17"/>
  <c r="Q14" i="11"/>
  <c r="K14" i="17"/>
  <c r="O14" i="11"/>
  <c r="L14" i="11"/>
  <c r="V14" i="11"/>
  <c r="U14" i="11"/>
  <c r="Z14" i="17"/>
  <c r="AI14" i="17"/>
  <c r="L14" i="17"/>
  <c r="AH14" i="11"/>
  <c r="Y14" i="11"/>
  <c r="AC14" i="11"/>
  <c r="AD14" i="11"/>
  <c r="H14" i="11"/>
  <c r="AC14" i="17"/>
  <c r="AA14" i="17"/>
  <c r="V14" i="17"/>
  <c r="E9" i="15" a="1"/>
  <c r="S9" i="15" s="1"/>
  <c r="W14" i="11"/>
  <c r="P14" i="11"/>
  <c r="T14" i="11"/>
  <c r="T14" i="17"/>
  <c r="AJ14" i="17"/>
  <c r="M14" i="11"/>
  <c r="AG14" i="11"/>
  <c r="Z14" i="11"/>
  <c r="K14" i="11"/>
  <c r="X14" i="17"/>
  <c r="P14" i="17"/>
  <c r="AG14" i="17"/>
  <c r="R14" i="17"/>
  <c r="N14" i="11"/>
  <c r="R14" i="11"/>
  <c r="J14" i="11"/>
  <c r="AB14" i="17"/>
  <c r="U14" i="17"/>
  <c r="S14" i="17"/>
  <c r="N14" i="14"/>
  <c r="AB14" i="14"/>
  <c r="L14" i="14"/>
  <c r="AJ14" i="14"/>
  <c r="Z14" i="14"/>
  <c r="AD14" i="14"/>
  <c r="E14" i="17"/>
  <c r="AK14" i="17"/>
  <c r="O14" i="17"/>
  <c r="AD14" i="17"/>
  <c r="M14" i="14"/>
  <c r="E14" i="14"/>
  <c r="O14" i="14"/>
  <c r="X14" i="14"/>
  <c r="AF14" i="14"/>
  <c r="Y14" i="14"/>
  <c r="H14" i="14"/>
  <c r="T14" i="14"/>
  <c r="E15" i="14" a="1"/>
  <c r="N15" i="14" s="1"/>
  <c r="U14" i="14"/>
  <c r="AE14" i="14"/>
  <c r="Q14" i="14"/>
  <c r="E15" i="15" a="1"/>
  <c r="AK15" i="15" s="1"/>
  <c r="I14" i="17"/>
  <c r="Q14" i="17"/>
  <c r="AF14" i="17"/>
  <c r="R14" i="14"/>
  <c r="P14" i="14"/>
  <c r="V14" i="14"/>
  <c r="K14" i="14"/>
  <c r="S14" i="14"/>
  <c r="I14" i="14"/>
  <c r="AA14" i="14"/>
  <c r="AG14" i="14"/>
  <c r="AC14" i="14"/>
  <c r="W14" i="14"/>
  <c r="G14" i="14"/>
  <c r="E9" i="11" a="1"/>
  <c r="E15" i="16" a="1"/>
  <c r="E15" i="12" a="1"/>
  <c r="N14" i="15"/>
  <c r="AB14" i="15"/>
  <c r="H14" i="15"/>
  <c r="Q14" i="15"/>
  <c r="T14" i="15"/>
  <c r="V14" i="15"/>
  <c r="O14" i="15"/>
  <c r="J14" i="15"/>
  <c r="S14" i="15"/>
  <c r="K14" i="15"/>
  <c r="AC14" i="15"/>
  <c r="X14" i="15"/>
  <c r="F14" i="15"/>
  <c r="AH14" i="15"/>
  <c r="AD14" i="15"/>
  <c r="AF14" i="15"/>
  <c r="P14" i="15"/>
  <c r="Y14" i="15"/>
  <c r="R14" i="15"/>
  <c r="M14" i="15"/>
  <c r="AA14" i="15"/>
  <c r="G14" i="15"/>
  <c r="AE14" i="15"/>
  <c r="AJ14" i="15"/>
  <c r="W14" i="15"/>
  <c r="I14" i="15"/>
  <c r="AG14" i="15"/>
  <c r="L14" i="15"/>
  <c r="Z14" i="15"/>
  <c r="U14" i="15"/>
  <c r="AI14" i="15"/>
  <c r="AK14" i="15"/>
  <c r="E14" i="15"/>
  <c r="E9" i="14" a="1"/>
  <c r="E15" i="11" a="1"/>
  <c r="AA14" i="12"/>
  <c r="W14" i="12"/>
  <c r="AG14" i="12"/>
  <c r="S14" i="12"/>
  <c r="O14" i="12"/>
  <c r="E14" i="12"/>
  <c r="I14" i="12"/>
  <c r="Y14" i="12"/>
  <c r="AJ14" i="12"/>
  <c r="R14" i="12"/>
  <c r="N14" i="12"/>
  <c r="K14" i="12"/>
  <c r="AB14" i="12"/>
  <c r="G14" i="12"/>
  <c r="AH14" i="12"/>
  <c r="U14" i="12"/>
  <c r="Q14" i="12"/>
  <c r="J14" i="12"/>
  <c r="AC14" i="12"/>
  <c r="AI14" i="12"/>
  <c r="AK14" i="12"/>
  <c r="X14" i="12"/>
  <c r="M14" i="12"/>
  <c r="H14" i="12"/>
  <c r="L14" i="12"/>
  <c r="T14" i="12"/>
  <c r="P14" i="12"/>
  <c r="AF14" i="12"/>
  <c r="AE14" i="12"/>
  <c r="AD14" i="12"/>
  <c r="Z14" i="12"/>
  <c r="V14" i="12"/>
  <c r="F14" i="12"/>
  <c r="E15" i="17" a="1"/>
  <c r="Z14" i="13"/>
  <c r="H14" i="13"/>
  <c r="T14" i="13"/>
  <c r="AB14" i="13"/>
  <c r="AK14" i="13"/>
  <c r="L14" i="13"/>
  <c r="U14" i="13"/>
  <c r="X14" i="13"/>
  <c r="S14" i="13"/>
  <c r="G14" i="13"/>
  <c r="K14" i="13"/>
  <c r="N14" i="13"/>
  <c r="AI14" i="13"/>
  <c r="R14" i="13"/>
  <c r="Y14" i="13"/>
  <c r="E14" i="13"/>
  <c r="F14" i="13"/>
  <c r="W14" i="13"/>
  <c r="M14" i="13"/>
  <c r="V14" i="13"/>
  <c r="AH14" i="13"/>
  <c r="Q14" i="13"/>
  <c r="O14" i="13"/>
  <c r="AJ14" i="13"/>
  <c r="AF14" i="13"/>
  <c r="P14" i="13"/>
  <c r="AG14" i="13"/>
  <c r="I14" i="13"/>
  <c r="AE14" i="13"/>
  <c r="AD14" i="13"/>
  <c r="AA14" i="13"/>
  <c r="J14" i="13"/>
  <c r="AC14" i="13"/>
  <c r="E9" i="16" a="1"/>
  <c r="E9" i="17" a="1"/>
  <c r="AJ14" i="16"/>
  <c r="F14" i="16"/>
  <c r="AH14" i="16"/>
  <c r="N14" i="16"/>
  <c r="U14" i="16"/>
  <c r="Z14" i="16"/>
  <c r="M14" i="16"/>
  <c r="AE14" i="16"/>
  <c r="T14" i="16"/>
  <c r="Q14" i="16"/>
  <c r="AI14" i="16"/>
  <c r="V14" i="16"/>
  <c r="L14" i="16"/>
  <c r="AK14" i="16"/>
  <c r="AF14" i="16"/>
  <c r="G14" i="16"/>
  <c r="J14" i="16"/>
  <c r="AA14" i="16"/>
  <c r="K14" i="16"/>
  <c r="O14" i="16"/>
  <c r="I14" i="16"/>
  <c r="W14" i="16"/>
  <c r="R14" i="16"/>
  <c r="AB14" i="16"/>
  <c r="AD14" i="16"/>
  <c r="Y14" i="16"/>
  <c r="P14" i="16"/>
  <c r="X14" i="16"/>
  <c r="E14" i="16"/>
  <c r="AC14" i="16"/>
  <c r="AG14" i="16"/>
  <c r="H14" i="16"/>
  <c r="S14" i="16"/>
  <c r="E15" i="13" a="1"/>
  <c r="E9" i="12" a="1"/>
  <c r="E9" i="13" a="1"/>
  <c r="O21" i="7" l="1"/>
  <c r="O14" i="7" s="1"/>
  <c r="AF9" i="15"/>
  <c r="W9" i="15"/>
  <c r="K9" i="15"/>
  <c r="I15" i="15"/>
  <c r="E6" i="11" a="1"/>
  <c r="I6" i="11" s="1"/>
  <c r="Y9" i="15"/>
  <c r="AB9" i="15"/>
  <c r="Q9" i="15"/>
  <c r="L9" i="15"/>
  <c r="Z9" i="15"/>
  <c r="AA9" i="15"/>
  <c r="I15" i="14"/>
  <c r="F9" i="15"/>
  <c r="X15" i="14"/>
  <c r="AE9" i="15"/>
  <c r="U9" i="15"/>
  <c r="S15" i="15"/>
  <c r="L15" i="14"/>
  <c r="AH9" i="15"/>
  <c r="AJ9" i="15"/>
  <c r="V15" i="14"/>
  <c r="H9" i="15"/>
  <c r="M15" i="14"/>
  <c r="G9" i="15"/>
  <c r="X9" i="15"/>
  <c r="AJ15" i="14"/>
  <c r="V9" i="15"/>
  <c r="AG9" i="15"/>
  <c r="P9" i="15"/>
  <c r="T9" i="15"/>
  <c r="Z15" i="15"/>
  <c r="W15" i="14"/>
  <c r="I9" i="15"/>
  <c r="AD9" i="15"/>
  <c r="E9" i="15"/>
  <c r="AK9" i="15"/>
  <c r="R9" i="15"/>
  <c r="N9" i="15"/>
  <c r="AC9" i="15"/>
  <c r="AI9" i="15"/>
  <c r="AC15" i="14"/>
  <c r="R15" i="14"/>
  <c r="O9" i="15"/>
  <c r="J9" i="15"/>
  <c r="M9" i="15"/>
  <c r="Y15" i="14"/>
  <c r="V15" i="15"/>
  <c r="F15" i="15"/>
  <c r="AI15" i="15"/>
  <c r="AB15" i="15"/>
  <c r="AC15" i="15"/>
  <c r="AJ15" i="15"/>
  <c r="AB15" i="14"/>
  <c r="AD15" i="14"/>
  <c r="L15" i="15"/>
  <c r="O15" i="15"/>
  <c r="W15" i="15"/>
  <c r="J15" i="14"/>
  <c r="AI15" i="14"/>
  <c r="AD15" i="15"/>
  <c r="R15" i="15"/>
  <c r="AE15" i="15"/>
  <c r="T15" i="15"/>
  <c r="Q15" i="15"/>
  <c r="X15" i="15"/>
  <c r="AH15" i="14"/>
  <c r="Q15" i="14"/>
  <c r="P15" i="15"/>
  <c r="AG15" i="15"/>
  <c r="E6" i="14" a="1"/>
  <c r="T6" i="14" s="1"/>
  <c r="K15" i="15"/>
  <c r="G15" i="15"/>
  <c r="Y15" i="15"/>
  <c r="O15" i="14"/>
  <c r="S15" i="14"/>
  <c r="AG15" i="14"/>
  <c r="U15" i="14"/>
  <c r="E6" i="17" a="1"/>
  <c r="AF15" i="15"/>
  <c r="J15" i="15"/>
  <c r="H15" i="15"/>
  <c r="U15" i="15"/>
  <c r="AF15" i="14"/>
  <c r="H15" i="14"/>
  <c r="G15" i="14"/>
  <c r="K15" i="14"/>
  <c r="AE15" i="14"/>
  <c r="AH15" i="15"/>
  <c r="N15" i="15"/>
  <c r="E15" i="15"/>
  <c r="AA15" i="15"/>
  <c r="AK15" i="14"/>
  <c r="F15" i="14"/>
  <c r="Z15" i="14"/>
  <c r="P15" i="14"/>
  <c r="M15" i="15"/>
  <c r="AA15" i="14"/>
  <c r="T15" i="14"/>
  <c r="E15" i="14"/>
  <c r="J9" i="17"/>
  <c r="R9" i="17"/>
  <c r="Z9" i="17"/>
  <c r="AH9" i="17"/>
  <c r="K9" i="17"/>
  <c r="AA9" i="17"/>
  <c r="AI9" i="17"/>
  <c r="S9" i="17"/>
  <c r="L9" i="17"/>
  <c r="T9" i="17"/>
  <c r="AB9" i="17"/>
  <c r="G9" i="17"/>
  <c r="O9" i="17"/>
  <c r="W9" i="17"/>
  <c r="AE9" i="17"/>
  <c r="E9" i="17"/>
  <c r="U9" i="17"/>
  <c r="V9" i="17"/>
  <c r="I9" i="17"/>
  <c r="AJ9" i="17"/>
  <c r="M9" i="17"/>
  <c r="Q9" i="17"/>
  <c r="F9" i="17"/>
  <c r="AC9" i="17"/>
  <c r="AG9" i="17"/>
  <c r="H9" i="17"/>
  <c r="X9" i="17"/>
  <c r="AK9" i="17"/>
  <c r="Y9" i="17"/>
  <c r="N9" i="17"/>
  <c r="AD9" i="17"/>
  <c r="P9" i="17"/>
  <c r="AF9" i="17"/>
  <c r="E6" i="15" a="1"/>
  <c r="U15" i="12"/>
  <c r="AK15" i="12"/>
  <c r="AA15" i="12"/>
  <c r="M15" i="12"/>
  <c r="L15" i="12"/>
  <c r="H15" i="12"/>
  <c r="AJ15" i="12"/>
  <c r="W15" i="12"/>
  <c r="Q15" i="12"/>
  <c r="X15" i="12"/>
  <c r="AF15" i="12"/>
  <c r="P15" i="12"/>
  <c r="V15" i="12"/>
  <c r="S15" i="12"/>
  <c r="G15" i="12"/>
  <c r="AB15" i="12"/>
  <c r="N15" i="12"/>
  <c r="AI15" i="12"/>
  <c r="AE15" i="12"/>
  <c r="Y15" i="12"/>
  <c r="J15" i="12"/>
  <c r="K15" i="12"/>
  <c r="I15" i="12"/>
  <c r="R15" i="12"/>
  <c r="AH15" i="12"/>
  <c r="E15" i="12"/>
  <c r="O15" i="12"/>
  <c r="T15" i="12"/>
  <c r="AD15" i="12"/>
  <c r="AC15" i="12"/>
  <c r="F15" i="12"/>
  <c r="AG15" i="12"/>
  <c r="Z15" i="12"/>
  <c r="E6" i="16" a="1"/>
  <c r="AF15" i="17"/>
  <c r="Q15" i="17"/>
  <c r="F15" i="17"/>
  <c r="X15" i="17"/>
  <c r="T15" i="17"/>
  <c r="V15" i="17"/>
  <c r="R15" i="17"/>
  <c r="Y15" i="17"/>
  <c r="P15" i="17"/>
  <c r="L15" i="17"/>
  <c r="J15" i="17"/>
  <c r="N15" i="17"/>
  <c r="AK15" i="17"/>
  <c r="AD15" i="17"/>
  <c r="Z15" i="17"/>
  <c r="U15" i="17"/>
  <c r="I15" i="17"/>
  <c r="AI15" i="17"/>
  <c r="AB15" i="17"/>
  <c r="G15" i="17"/>
  <c r="W15" i="17"/>
  <c r="K15" i="17"/>
  <c r="AH15" i="17"/>
  <c r="AE15" i="17"/>
  <c r="H15" i="17"/>
  <c r="AG15" i="17"/>
  <c r="S15" i="17"/>
  <c r="AJ15" i="17"/>
  <c r="M15" i="17"/>
  <c r="O15" i="17"/>
  <c r="AA15" i="17"/>
  <c r="E15" i="17"/>
  <c r="AC15" i="17"/>
  <c r="K9" i="12"/>
  <c r="S9" i="12"/>
  <c r="AA9" i="12"/>
  <c r="AI9" i="12"/>
  <c r="L9" i="12"/>
  <c r="T9" i="12"/>
  <c r="AB9" i="12"/>
  <c r="AJ9" i="12"/>
  <c r="M9" i="12"/>
  <c r="U9" i="12"/>
  <c r="AC9" i="12"/>
  <c r="H9" i="12"/>
  <c r="P9" i="12"/>
  <c r="X9" i="12"/>
  <c r="AF9" i="12"/>
  <c r="J9" i="12"/>
  <c r="Z9" i="12"/>
  <c r="N9" i="12"/>
  <c r="AD9" i="12"/>
  <c r="Q9" i="12"/>
  <c r="AG9" i="12"/>
  <c r="Y9" i="12"/>
  <c r="R9" i="12"/>
  <c r="I9" i="12"/>
  <c r="O9" i="12"/>
  <c r="AE9" i="12"/>
  <c r="AH9" i="12"/>
  <c r="F9" i="12"/>
  <c r="V9" i="12"/>
  <c r="E9" i="12"/>
  <c r="G9" i="12"/>
  <c r="W9" i="12"/>
  <c r="AK9" i="12"/>
  <c r="K15" i="16"/>
  <c r="V15" i="16"/>
  <c r="S15" i="16"/>
  <c r="O15" i="16"/>
  <c r="Y15" i="16"/>
  <c r="R15" i="16"/>
  <c r="N15" i="16"/>
  <c r="AK15" i="16"/>
  <c r="P15" i="16"/>
  <c r="F15" i="16"/>
  <c r="AB15" i="16"/>
  <c r="U15" i="16"/>
  <c r="Q15" i="16"/>
  <c r="E15" i="16"/>
  <c r="AG15" i="16"/>
  <c r="J15" i="16"/>
  <c r="X15" i="16"/>
  <c r="AE15" i="16"/>
  <c r="AF15" i="16"/>
  <c r="AH15" i="16"/>
  <c r="G15" i="16"/>
  <c r="T15" i="16"/>
  <c r="H15" i="16"/>
  <c r="M15" i="16"/>
  <c r="AD15" i="16"/>
  <c r="L15" i="16"/>
  <c r="Z15" i="16"/>
  <c r="AJ15" i="16"/>
  <c r="I15" i="16"/>
  <c r="AA15" i="16"/>
  <c r="AC15" i="16"/>
  <c r="AI15" i="16"/>
  <c r="W15" i="16"/>
  <c r="K9" i="16"/>
  <c r="S9" i="16"/>
  <c r="AA9" i="16"/>
  <c r="AI9" i="16"/>
  <c r="T9" i="16"/>
  <c r="AB9" i="16"/>
  <c r="L9" i="16"/>
  <c r="M9" i="16"/>
  <c r="U9" i="16"/>
  <c r="AC9" i="16"/>
  <c r="H9" i="16"/>
  <c r="P9" i="16"/>
  <c r="X9" i="16"/>
  <c r="AF9" i="16"/>
  <c r="AJ9" i="16"/>
  <c r="J9" i="16"/>
  <c r="Z9" i="16"/>
  <c r="E9" i="16"/>
  <c r="N9" i="16"/>
  <c r="AD9" i="16"/>
  <c r="Q9" i="16"/>
  <c r="AH9" i="16"/>
  <c r="Y9" i="16"/>
  <c r="AK9" i="16"/>
  <c r="O9" i="16"/>
  <c r="AE9" i="16"/>
  <c r="AG9" i="16"/>
  <c r="R9" i="16"/>
  <c r="I9" i="16"/>
  <c r="F9" i="16"/>
  <c r="V9" i="16"/>
  <c r="G9" i="16"/>
  <c r="W9" i="16"/>
  <c r="E6" i="13" a="1"/>
  <c r="K9" i="13"/>
  <c r="S9" i="13"/>
  <c r="AA9" i="13"/>
  <c r="AI9" i="13"/>
  <c r="L9" i="13"/>
  <c r="T9" i="13"/>
  <c r="AB9" i="13"/>
  <c r="M9" i="13"/>
  <c r="U9" i="13"/>
  <c r="AC9" i="13"/>
  <c r="H9" i="13"/>
  <c r="P9" i="13"/>
  <c r="X9" i="13"/>
  <c r="AF9" i="13"/>
  <c r="AK9" i="13"/>
  <c r="J9" i="13"/>
  <c r="Z9" i="13"/>
  <c r="N9" i="13"/>
  <c r="AD9" i="13"/>
  <c r="AJ9" i="13"/>
  <c r="Q9" i="13"/>
  <c r="R9" i="13"/>
  <c r="AG9" i="13"/>
  <c r="O9" i="13"/>
  <c r="AE9" i="13"/>
  <c r="E9" i="13"/>
  <c r="AH9" i="13"/>
  <c r="Y9" i="13"/>
  <c r="F9" i="13"/>
  <c r="V9" i="13"/>
  <c r="G9" i="13"/>
  <c r="W9" i="13"/>
  <c r="I9" i="13"/>
  <c r="AD15" i="13"/>
  <c r="F15" i="13"/>
  <c r="Z15" i="13"/>
  <c r="I15" i="13"/>
  <c r="N15" i="13"/>
  <c r="AC15" i="13"/>
  <c r="U15" i="13"/>
  <c r="O15" i="13"/>
  <c r="K15" i="13"/>
  <c r="AJ15" i="13"/>
  <c r="Q15" i="13"/>
  <c r="AF15" i="13"/>
  <c r="V15" i="13"/>
  <c r="J15" i="13"/>
  <c r="AI15" i="13"/>
  <c r="AB15" i="13"/>
  <c r="R15" i="13"/>
  <c r="AE15" i="13"/>
  <c r="L15" i="13"/>
  <c r="M15" i="13"/>
  <c r="E15" i="13"/>
  <c r="T15" i="13"/>
  <c r="AK15" i="13"/>
  <c r="Y15" i="13"/>
  <c r="P15" i="13"/>
  <c r="AG15" i="13"/>
  <c r="S15" i="13"/>
  <c r="W15" i="13"/>
  <c r="X15" i="13"/>
  <c r="AH15" i="13"/>
  <c r="G15" i="13"/>
  <c r="AA15" i="13"/>
  <c r="H15" i="13"/>
  <c r="E15" i="11"/>
  <c r="G15" i="11"/>
  <c r="AD15" i="11"/>
  <c r="AA15" i="11"/>
  <c r="P15" i="11"/>
  <c r="Q15" i="11"/>
  <c r="I15" i="11"/>
  <c r="AF15" i="11"/>
  <c r="X15" i="11"/>
  <c r="K15" i="11"/>
  <c r="H15" i="11"/>
  <c r="W15" i="11"/>
  <c r="S15" i="11"/>
  <c r="AI15" i="11"/>
  <c r="Z15" i="11"/>
  <c r="V15" i="11"/>
  <c r="N15" i="11"/>
  <c r="AG15" i="11"/>
  <c r="R15" i="11"/>
  <c r="AB15" i="11"/>
  <c r="AK15" i="11"/>
  <c r="F15" i="11"/>
  <c r="AH15" i="11"/>
  <c r="Y15" i="11"/>
  <c r="O15" i="11"/>
  <c r="L15" i="11"/>
  <c r="U15" i="11"/>
  <c r="T15" i="11"/>
  <c r="AE15" i="11"/>
  <c r="J15" i="11"/>
  <c r="M15" i="11"/>
  <c r="AC15" i="11"/>
  <c r="AJ15" i="11"/>
  <c r="K9" i="11"/>
  <c r="S9" i="11"/>
  <c r="AA9" i="11"/>
  <c r="AI9" i="11"/>
  <c r="AK9" i="11"/>
  <c r="L9" i="11"/>
  <c r="T9" i="11"/>
  <c r="AB9" i="11"/>
  <c r="M9" i="11"/>
  <c r="U9" i="11"/>
  <c r="AC9" i="11"/>
  <c r="H9" i="11"/>
  <c r="P9" i="11"/>
  <c r="X9" i="11"/>
  <c r="AF9" i="11"/>
  <c r="J9" i="11"/>
  <c r="Z9" i="11"/>
  <c r="N9" i="11"/>
  <c r="AD9" i="11"/>
  <c r="Q9" i="11"/>
  <c r="AG9" i="11"/>
  <c r="E9" i="11"/>
  <c r="R9" i="11"/>
  <c r="Y9" i="11"/>
  <c r="AJ9" i="11"/>
  <c r="O9" i="11"/>
  <c r="AE9" i="11"/>
  <c r="AH9" i="11"/>
  <c r="I9" i="11"/>
  <c r="F9" i="11"/>
  <c r="V9" i="11"/>
  <c r="G9" i="11"/>
  <c r="W9" i="11"/>
  <c r="E6" i="12" a="1"/>
  <c r="K9" i="14"/>
  <c r="S9" i="14"/>
  <c r="AA9" i="14"/>
  <c r="AI9" i="14"/>
  <c r="AK9" i="14"/>
  <c r="L9" i="14"/>
  <c r="T9" i="14"/>
  <c r="AB9" i="14"/>
  <c r="AJ9" i="14"/>
  <c r="M9" i="14"/>
  <c r="U9" i="14"/>
  <c r="AC9" i="14"/>
  <c r="E9" i="14"/>
  <c r="H9" i="14"/>
  <c r="P9" i="14"/>
  <c r="X9" i="14"/>
  <c r="AF9" i="14"/>
  <c r="J9" i="14"/>
  <c r="Z9" i="14"/>
  <c r="N9" i="14"/>
  <c r="AD9" i="14"/>
  <c r="Q9" i="14"/>
  <c r="AG9" i="14"/>
  <c r="Y9" i="14"/>
  <c r="O9" i="14"/>
  <c r="AE9" i="14"/>
  <c r="R9" i="14"/>
  <c r="AH9" i="14"/>
  <c r="I9" i="14"/>
  <c r="F9" i="14"/>
  <c r="V9" i="14"/>
  <c r="G9" i="14"/>
  <c r="W9" i="14"/>
  <c r="P21" i="7" l="1"/>
  <c r="P14" i="7" s="1"/>
  <c r="I9" i="18"/>
  <c r="I8" i="18" s="1"/>
  <c r="J9" i="18"/>
  <c r="J8" i="18" s="1"/>
  <c r="K9" i="18"/>
  <c r="K8" i="18" s="1"/>
  <c r="N9" i="18"/>
  <c r="N8" i="18" s="1"/>
  <c r="M9" i="18"/>
  <c r="M8" i="18" s="1"/>
  <c r="H9" i="18"/>
  <c r="L9" i="18"/>
  <c r="L8" i="18" s="1"/>
  <c r="J6" i="11"/>
  <c r="O6" i="11"/>
  <c r="K6" i="11"/>
  <c r="AB6" i="11"/>
  <c r="V6" i="11"/>
  <c r="AG6" i="11"/>
  <c r="W6" i="11"/>
  <c r="AA6" i="11"/>
  <c r="P6" i="11"/>
  <c r="Y6" i="11"/>
  <c r="H6" i="11"/>
  <c r="AD6" i="11"/>
  <c r="AK6" i="11"/>
  <c r="E6" i="11"/>
  <c r="L6" i="11"/>
  <c r="G6" i="11"/>
  <c r="S6" i="11"/>
  <c r="T6" i="11"/>
  <c r="M6" i="11"/>
  <c r="AC6" i="11"/>
  <c r="AI6" i="11"/>
  <c r="Q6" i="11"/>
  <c r="AJ6" i="11"/>
  <c r="AH6" i="11"/>
  <c r="AE6" i="11"/>
  <c r="U6" i="11"/>
  <c r="X6" i="11"/>
  <c r="N6" i="11"/>
  <c r="AF6" i="11"/>
  <c r="R6" i="11"/>
  <c r="Z6" i="11"/>
  <c r="F6" i="11"/>
  <c r="E7" i="14" a="1"/>
  <c r="Q7" i="14" s="1"/>
  <c r="AJ6" i="14"/>
  <c r="G6" i="14"/>
  <c r="AC6" i="14"/>
  <c r="Y6" i="14"/>
  <c r="F6" i="14"/>
  <c r="S6" i="14"/>
  <c r="AB6" i="14"/>
  <c r="AA6" i="14"/>
  <c r="E7" i="15" a="1"/>
  <c r="O7" i="15" s="1"/>
  <c r="AI6" i="14"/>
  <c r="AH6" i="14"/>
  <c r="J6" i="14"/>
  <c r="I6" i="14"/>
  <c r="AD6" i="14"/>
  <c r="U6" i="14"/>
  <c r="M6" i="14"/>
  <c r="W6" i="14"/>
  <c r="AG6" i="14"/>
  <c r="L6" i="14"/>
  <c r="R6" i="14"/>
  <c r="AF6" i="14"/>
  <c r="K6" i="14"/>
  <c r="H6" i="14"/>
  <c r="E13" i="15" a="1"/>
  <c r="AC13" i="15" s="1"/>
  <c r="E6" i="14"/>
  <c r="Q6" i="14"/>
  <c r="Z6" i="14"/>
  <c r="N6" i="14"/>
  <c r="AE6" i="14"/>
  <c r="P6" i="14"/>
  <c r="E13" i="14" a="1"/>
  <c r="AD13" i="14" s="1"/>
  <c r="O6" i="14"/>
  <c r="X6" i="14"/>
  <c r="AK6" i="14"/>
  <c r="V6" i="14"/>
  <c r="AG6" i="17"/>
  <c r="AJ6" i="17"/>
  <c r="AI6" i="17"/>
  <c r="V6" i="17"/>
  <c r="X6" i="17"/>
  <c r="Z6" i="17"/>
  <c r="L6" i="17"/>
  <c r="N6" i="17"/>
  <c r="H6" i="17"/>
  <c r="J6" i="17"/>
  <c r="K6" i="17"/>
  <c r="G6" i="17"/>
  <c r="AK6" i="17"/>
  <c r="P6" i="17"/>
  <c r="R6" i="17"/>
  <c r="AA6" i="17"/>
  <c r="W6" i="17"/>
  <c r="AH6" i="17"/>
  <c r="AB6" i="17"/>
  <c r="AD6" i="17"/>
  <c r="I6" i="17"/>
  <c r="M6" i="17"/>
  <c r="O6" i="17"/>
  <c r="T6" i="17"/>
  <c r="Q6" i="17"/>
  <c r="U6" i="17"/>
  <c r="AE6" i="17"/>
  <c r="E6" i="17"/>
  <c r="Y6" i="17"/>
  <c r="AC6" i="17"/>
  <c r="S6" i="17"/>
  <c r="F6" i="17"/>
  <c r="AF6" i="17"/>
  <c r="N6" i="13"/>
  <c r="AB6" i="13"/>
  <c r="P6" i="13"/>
  <c r="AA6" i="13"/>
  <c r="AI6" i="13"/>
  <c r="AE6" i="13"/>
  <c r="M6" i="13"/>
  <c r="AC6" i="13"/>
  <c r="AD6" i="13"/>
  <c r="Z6" i="13"/>
  <c r="F6" i="13"/>
  <c r="I6" i="13"/>
  <c r="Y6" i="13"/>
  <c r="G6" i="13"/>
  <c r="Q6" i="13"/>
  <c r="H6" i="13"/>
  <c r="AJ6" i="13"/>
  <c r="W6" i="13"/>
  <c r="K6" i="13"/>
  <c r="T6" i="13"/>
  <c r="U6" i="13"/>
  <c r="AK6" i="13"/>
  <c r="S6" i="13"/>
  <c r="AH6" i="13"/>
  <c r="E6" i="13"/>
  <c r="AF6" i="13"/>
  <c r="V6" i="13"/>
  <c r="O6" i="13"/>
  <c r="AG6" i="13"/>
  <c r="J6" i="13"/>
  <c r="R6" i="13"/>
  <c r="X6" i="13"/>
  <c r="L6" i="13"/>
  <c r="S6" i="12"/>
  <c r="I6" i="12"/>
  <c r="AA6" i="12"/>
  <c r="V6" i="12"/>
  <c r="P6" i="12"/>
  <c r="W6" i="12"/>
  <c r="Y6" i="12"/>
  <c r="F6" i="12"/>
  <c r="J6" i="12"/>
  <c r="K6" i="12"/>
  <c r="AC6" i="12"/>
  <c r="T6" i="12"/>
  <c r="Q6" i="12"/>
  <c r="Z6" i="12"/>
  <c r="AB6" i="12"/>
  <c r="AG6" i="12"/>
  <c r="AF6" i="12"/>
  <c r="AK6" i="12"/>
  <c r="AI6" i="12"/>
  <c r="R6" i="12"/>
  <c r="E6" i="12"/>
  <c r="X6" i="12"/>
  <c r="AH6" i="12"/>
  <c r="AD6" i="12"/>
  <c r="U6" i="12"/>
  <c r="L6" i="12"/>
  <c r="O6" i="12"/>
  <c r="H6" i="12"/>
  <c r="G6" i="12"/>
  <c r="M6" i="12"/>
  <c r="AE6" i="12"/>
  <c r="AJ6" i="12"/>
  <c r="N6" i="12"/>
  <c r="E7" i="13" a="1"/>
  <c r="E13" i="13" a="1"/>
  <c r="S6" i="16"/>
  <c r="R6" i="16"/>
  <c r="AF6" i="16"/>
  <c r="M6" i="16"/>
  <c r="Y6" i="16"/>
  <c r="AI6" i="16"/>
  <c r="AG6" i="16"/>
  <c r="T6" i="16"/>
  <c r="AB6" i="16"/>
  <c r="AH6" i="16"/>
  <c r="AK6" i="16"/>
  <c r="AJ6" i="16"/>
  <c r="X6" i="16"/>
  <c r="P6" i="16"/>
  <c r="F6" i="16"/>
  <c r="N6" i="16"/>
  <c r="K6" i="16"/>
  <c r="V6" i="16"/>
  <c r="AD6" i="16"/>
  <c r="AA6" i="16"/>
  <c r="L6" i="16"/>
  <c r="O6" i="16"/>
  <c r="E6" i="16"/>
  <c r="AC6" i="16"/>
  <c r="U6" i="16"/>
  <c r="G6" i="16"/>
  <c r="H6" i="16"/>
  <c r="I6" i="16"/>
  <c r="Q6" i="16"/>
  <c r="Z6" i="16"/>
  <c r="J6" i="16"/>
  <c r="W6" i="16"/>
  <c r="AE6" i="16"/>
  <c r="E7" i="12" a="1"/>
  <c r="E13" i="12" a="1"/>
  <c r="E13" i="11" a="1"/>
  <c r="E7" i="11" a="1"/>
  <c r="E13" i="16" a="1"/>
  <c r="E7" i="16" a="1"/>
  <c r="Y6" i="15"/>
  <c r="V6" i="15"/>
  <c r="N6" i="15"/>
  <c r="K6" i="15"/>
  <c r="P6" i="15"/>
  <c r="R6" i="15"/>
  <c r="H6" i="15"/>
  <c r="M6" i="15"/>
  <c r="AE6" i="15"/>
  <c r="X6" i="15"/>
  <c r="T6" i="15"/>
  <c r="F6" i="15"/>
  <c r="AB6" i="15"/>
  <c r="E6" i="15"/>
  <c r="AI6" i="15"/>
  <c r="AJ6" i="15"/>
  <c r="I6" i="15"/>
  <c r="AG6" i="15"/>
  <c r="G6" i="15"/>
  <c r="L6" i="15"/>
  <c r="AH6" i="15"/>
  <c r="AD6" i="15"/>
  <c r="S6" i="15"/>
  <c r="U6" i="15"/>
  <c r="O6" i="15"/>
  <c r="W6" i="15"/>
  <c r="Z6" i="15"/>
  <c r="AF6" i="15"/>
  <c r="AK6" i="15"/>
  <c r="J6" i="15"/>
  <c r="AC6" i="15"/>
  <c r="Q6" i="15"/>
  <c r="AA6" i="15"/>
  <c r="E13" i="17" a="1"/>
  <c r="E7" i="17" a="1"/>
  <c r="Q21" i="7" l="1"/>
  <c r="Q14" i="7" s="1"/>
  <c r="N6" i="18"/>
  <c r="H8" i="18"/>
  <c r="O8" i="18" s="1"/>
  <c r="O9" i="18"/>
  <c r="M6" i="18"/>
  <c r="K6" i="18"/>
  <c r="L6" i="18"/>
  <c r="J6" i="18"/>
  <c r="H6" i="18"/>
  <c r="I6" i="18"/>
  <c r="AH7" i="14"/>
  <c r="M7" i="14"/>
  <c r="AK7" i="14"/>
  <c r="AB7" i="15"/>
  <c r="R7" i="14"/>
  <c r="Y7" i="14"/>
  <c r="E7" i="14"/>
  <c r="F7" i="14"/>
  <c r="Z7" i="14"/>
  <c r="N7" i="14"/>
  <c r="R7" i="15"/>
  <c r="AA7" i="14"/>
  <c r="V7" i="14"/>
  <c r="AD7" i="15"/>
  <c r="AF7" i="15"/>
  <c r="Z13" i="14"/>
  <c r="AH7" i="15"/>
  <c r="S7" i="15"/>
  <c r="AA7" i="15"/>
  <c r="AC7" i="15"/>
  <c r="F7" i="15"/>
  <c r="H7" i="15"/>
  <c r="T13" i="14"/>
  <c r="T7" i="15"/>
  <c r="Y13" i="14"/>
  <c r="AF13" i="14"/>
  <c r="T7" i="14"/>
  <c r="O7" i="14"/>
  <c r="AJ7" i="14"/>
  <c r="P7" i="14"/>
  <c r="Q13" i="14"/>
  <c r="J7" i="14"/>
  <c r="AE7" i="14"/>
  <c r="AC7" i="14"/>
  <c r="F13" i="14"/>
  <c r="AE13" i="14"/>
  <c r="E13" i="14"/>
  <c r="I7" i="14"/>
  <c r="U7" i="14"/>
  <c r="AG7" i="14"/>
  <c r="U13" i="14"/>
  <c r="S13" i="14"/>
  <c r="R13" i="14"/>
  <c r="X13" i="14"/>
  <c r="AF7" i="14"/>
  <c r="G7" i="14"/>
  <c r="H7" i="14"/>
  <c r="AD7" i="14"/>
  <c r="G13" i="14"/>
  <c r="V13" i="14"/>
  <c r="AA13" i="14"/>
  <c r="P13" i="14"/>
  <c r="AB7" i="14"/>
  <c r="X7" i="14"/>
  <c r="L7" i="14"/>
  <c r="K7" i="14"/>
  <c r="I13" i="14"/>
  <c r="H13" i="14"/>
  <c r="AB13" i="14"/>
  <c r="AJ7" i="15"/>
  <c r="AI7" i="15"/>
  <c r="AE7" i="15"/>
  <c r="AI13" i="14"/>
  <c r="N13" i="14"/>
  <c r="AF13" i="15"/>
  <c r="AJ13" i="15"/>
  <c r="O13" i="14"/>
  <c r="J13" i="14"/>
  <c r="M13" i="14"/>
  <c r="AH13" i="14"/>
  <c r="Z13" i="15"/>
  <c r="W7" i="14"/>
  <c r="AI7" i="14"/>
  <c r="S7" i="14"/>
  <c r="V7" i="15"/>
  <c r="AG7" i="15"/>
  <c r="AJ13" i="14"/>
  <c r="AC13" i="14"/>
  <c r="AG13" i="14"/>
  <c r="W13" i="14"/>
  <c r="L13" i="14"/>
  <c r="AK13" i="14"/>
  <c r="K13" i="14"/>
  <c r="AK13" i="15"/>
  <c r="J7" i="15"/>
  <c r="N7" i="15"/>
  <c r="X7" i="15"/>
  <c r="W7" i="15"/>
  <c r="I13" i="15"/>
  <c r="L13" i="15"/>
  <c r="U13" i="15"/>
  <c r="O13" i="15"/>
  <c r="AD13" i="15"/>
  <c r="V13" i="15"/>
  <c r="E13" i="15"/>
  <c r="N13" i="15"/>
  <c r="AK7" i="15"/>
  <c r="I7" i="15"/>
  <c r="E7" i="15"/>
  <c r="G7" i="15"/>
  <c r="Z7" i="15"/>
  <c r="G13" i="15"/>
  <c r="S13" i="15"/>
  <c r="M7" i="15"/>
  <c r="Q7" i="15"/>
  <c r="L7" i="15"/>
  <c r="K7" i="15"/>
  <c r="J13" i="15"/>
  <c r="AG13" i="15"/>
  <c r="U7" i="15"/>
  <c r="Y7" i="15"/>
  <c r="P7" i="15"/>
  <c r="K13" i="15"/>
  <c r="AA13" i="15"/>
  <c r="R13" i="15"/>
  <c r="W13" i="15"/>
  <c r="F13" i="15"/>
  <c r="T13" i="15"/>
  <c r="P13" i="15"/>
  <c r="AI13" i="15"/>
  <c r="M13" i="15"/>
  <c r="X13" i="15"/>
  <c r="AH13" i="15"/>
  <c r="Q13" i="15"/>
  <c r="AE13" i="15"/>
  <c r="H13" i="15"/>
  <c r="AB13" i="15"/>
  <c r="Y13" i="15"/>
  <c r="AG13" i="16"/>
  <c r="S13" i="16"/>
  <c r="AK13" i="16"/>
  <c r="P13" i="16"/>
  <c r="X13" i="16"/>
  <c r="L13" i="16"/>
  <c r="U13" i="16"/>
  <c r="AF13" i="16"/>
  <c r="Z13" i="16"/>
  <c r="E13" i="16"/>
  <c r="W13" i="16"/>
  <c r="Q13" i="16"/>
  <c r="V13" i="16"/>
  <c r="T13" i="16"/>
  <c r="AA13" i="16"/>
  <c r="AE13" i="16"/>
  <c r="I13" i="16"/>
  <c r="F13" i="16"/>
  <c r="G13" i="16"/>
  <c r="H13" i="16"/>
  <c r="AC13" i="16"/>
  <c r="K13" i="16"/>
  <c r="R13" i="16"/>
  <c r="AB13" i="16"/>
  <c r="AH13" i="16"/>
  <c r="AI13" i="16"/>
  <c r="AD13" i="16"/>
  <c r="AJ13" i="16"/>
  <c r="M13" i="16"/>
  <c r="N13" i="16"/>
  <c r="J13" i="16"/>
  <c r="Y13" i="16"/>
  <c r="O13" i="16"/>
  <c r="S13" i="11"/>
  <c r="L13" i="11"/>
  <c r="X13" i="11"/>
  <c r="AE13" i="11"/>
  <c r="V13" i="11"/>
  <c r="AJ13" i="11"/>
  <c r="K13" i="11"/>
  <c r="Q13" i="11"/>
  <c r="AD13" i="11"/>
  <c r="W13" i="11"/>
  <c r="AG13" i="11"/>
  <c r="U13" i="11"/>
  <c r="H13" i="11"/>
  <c r="O13" i="11"/>
  <c r="AB13" i="11"/>
  <c r="AF13" i="11"/>
  <c r="AA13" i="11"/>
  <c r="AC13" i="11"/>
  <c r="E13" i="11"/>
  <c r="P13" i="11"/>
  <c r="AH13" i="11"/>
  <c r="Z13" i="11"/>
  <c r="M13" i="11"/>
  <c r="J13" i="11"/>
  <c r="AK13" i="11"/>
  <c r="R13" i="11"/>
  <c r="G13" i="11"/>
  <c r="I13" i="11"/>
  <c r="F13" i="11"/>
  <c r="T13" i="11"/>
  <c r="N13" i="11"/>
  <c r="AI13" i="11"/>
  <c r="Y13" i="11"/>
  <c r="I7" i="17"/>
  <c r="Q7" i="17"/>
  <c r="Y7" i="17"/>
  <c r="AG7" i="17"/>
  <c r="J7" i="17"/>
  <c r="R7" i="17"/>
  <c r="Z7" i="17"/>
  <c r="AH7" i="17"/>
  <c r="K7" i="17"/>
  <c r="S7" i="17"/>
  <c r="AA7" i="17"/>
  <c r="AI7" i="17"/>
  <c r="AK7" i="17"/>
  <c r="F7" i="17"/>
  <c r="N7" i="17"/>
  <c r="V7" i="17"/>
  <c r="AD7" i="17"/>
  <c r="L7" i="17"/>
  <c r="AB7" i="17"/>
  <c r="AJ7" i="17"/>
  <c r="M7" i="17"/>
  <c r="AC7" i="17"/>
  <c r="E7" i="17"/>
  <c r="P7" i="17"/>
  <c r="AF7" i="17"/>
  <c r="T7" i="17"/>
  <c r="H7" i="17"/>
  <c r="X7" i="17"/>
  <c r="O7" i="17"/>
  <c r="AE7" i="17"/>
  <c r="U7" i="17"/>
  <c r="G7" i="17"/>
  <c r="W7" i="17"/>
  <c r="AK13" i="17"/>
  <c r="AA13" i="17"/>
  <c r="V13" i="17"/>
  <c r="K13" i="17"/>
  <c r="F13" i="17"/>
  <c r="H13" i="17"/>
  <c r="U13" i="17"/>
  <c r="E13" i="17"/>
  <c r="W13" i="17"/>
  <c r="AE13" i="17"/>
  <c r="Y13" i="17"/>
  <c r="S13" i="17"/>
  <c r="N13" i="17"/>
  <c r="M13" i="17"/>
  <c r="AF13" i="17"/>
  <c r="J13" i="17"/>
  <c r="AH13" i="17"/>
  <c r="Z13" i="17"/>
  <c r="T13" i="17"/>
  <c r="X13" i="17"/>
  <c r="R13" i="17"/>
  <c r="G13" i="17"/>
  <c r="O13" i="17"/>
  <c r="AI13" i="17"/>
  <c r="AC13" i="17"/>
  <c r="AG13" i="17"/>
  <c r="I13" i="17"/>
  <c r="L13" i="17"/>
  <c r="Q13" i="17"/>
  <c r="AJ13" i="17"/>
  <c r="AB13" i="17"/>
  <c r="AD13" i="17"/>
  <c r="P13" i="17"/>
  <c r="O7" i="12"/>
  <c r="AK7" i="12"/>
  <c r="AD7" i="12"/>
  <c r="Z7" i="12"/>
  <c r="AE7" i="12"/>
  <c r="P7" i="12"/>
  <c r="M7" i="12"/>
  <c r="AC7" i="12"/>
  <c r="AB7" i="12"/>
  <c r="V7" i="12"/>
  <c r="AF7" i="12"/>
  <c r="T7" i="12"/>
  <c r="N7" i="12"/>
  <c r="I7" i="12"/>
  <c r="R7" i="12"/>
  <c r="Y7" i="12"/>
  <c r="H7" i="12"/>
  <c r="G7" i="12"/>
  <c r="X7" i="12"/>
  <c r="AH7" i="12"/>
  <c r="L7" i="12"/>
  <c r="AJ7" i="12"/>
  <c r="W7" i="12"/>
  <c r="F7" i="12"/>
  <c r="S7" i="12"/>
  <c r="U7" i="12"/>
  <c r="J7" i="12"/>
  <c r="Q7" i="12"/>
  <c r="AA7" i="12"/>
  <c r="E7" i="12"/>
  <c r="AI7" i="12"/>
  <c r="AG7" i="12"/>
  <c r="K7" i="12"/>
  <c r="O7" i="16"/>
  <c r="I7" i="16"/>
  <c r="AD7" i="16"/>
  <c r="W7" i="16"/>
  <c r="AG7" i="16"/>
  <c r="R7" i="16"/>
  <c r="X7" i="16"/>
  <c r="L7" i="16"/>
  <c r="V7" i="16"/>
  <c r="U7" i="16"/>
  <c r="K7" i="16"/>
  <c r="AI7" i="16"/>
  <c r="AJ7" i="16"/>
  <c r="Y7" i="16"/>
  <c r="N7" i="16"/>
  <c r="T7" i="16"/>
  <c r="P7" i="16"/>
  <c r="E7" i="16"/>
  <c r="AC7" i="16"/>
  <c r="F7" i="16"/>
  <c r="H7" i="16"/>
  <c r="AF7" i="16"/>
  <c r="S7" i="16"/>
  <c r="AH7" i="16"/>
  <c r="AK7" i="16"/>
  <c r="Q7" i="16"/>
  <c r="AE7" i="16"/>
  <c r="G7" i="16"/>
  <c r="J7" i="16"/>
  <c r="AA7" i="16"/>
  <c r="M7" i="16"/>
  <c r="Z7" i="16"/>
  <c r="AB7" i="16"/>
  <c r="H7" i="13"/>
  <c r="AE7" i="13"/>
  <c r="R7" i="13"/>
  <c r="N7" i="13"/>
  <c r="F7" i="13"/>
  <c r="AI7" i="13"/>
  <c r="AD7" i="13"/>
  <c r="Q7" i="13"/>
  <c r="M7" i="13"/>
  <c r="I7" i="13"/>
  <c r="AJ7" i="13"/>
  <c r="AC7" i="13"/>
  <c r="T7" i="13"/>
  <c r="P7" i="13"/>
  <c r="L7" i="13"/>
  <c r="V7" i="13"/>
  <c r="Z7" i="13"/>
  <c r="AG7" i="13"/>
  <c r="O7" i="13"/>
  <c r="AB7" i="13"/>
  <c r="U7" i="13"/>
  <c r="AF7" i="13"/>
  <c r="S7" i="13"/>
  <c r="E7" i="13"/>
  <c r="AK7" i="13"/>
  <c r="W7" i="13"/>
  <c r="X7" i="13"/>
  <c r="K7" i="13"/>
  <c r="Y7" i="13"/>
  <c r="J7" i="13"/>
  <c r="G7" i="13"/>
  <c r="AH7" i="13"/>
  <c r="AA7" i="13"/>
  <c r="P7" i="11"/>
  <c r="AG7" i="11"/>
  <c r="R7" i="11"/>
  <c r="V7" i="11"/>
  <c r="O7" i="11"/>
  <c r="Y7" i="11"/>
  <c r="N7" i="11"/>
  <c r="X7" i="11"/>
  <c r="G7" i="11"/>
  <c r="AI7" i="11"/>
  <c r="AB7" i="11"/>
  <c r="Q7" i="11"/>
  <c r="AJ7" i="11"/>
  <c r="L7" i="11"/>
  <c r="E7" i="11"/>
  <c r="AC7" i="11"/>
  <c r="M7" i="11"/>
  <c r="AD7" i="11"/>
  <c r="S7" i="11"/>
  <c r="W7" i="11"/>
  <c r="U7" i="11"/>
  <c r="AE7" i="11"/>
  <c r="F7" i="11"/>
  <c r="T7" i="11"/>
  <c r="I7" i="11"/>
  <c r="H7" i="11"/>
  <c r="AF7" i="11"/>
  <c r="AH7" i="11"/>
  <c r="AA7" i="11"/>
  <c r="K7" i="11"/>
  <c r="AK7" i="11"/>
  <c r="Z7" i="11"/>
  <c r="J7" i="11"/>
  <c r="P13" i="13"/>
  <c r="F13" i="13"/>
  <c r="H13" i="13"/>
  <c r="AJ13" i="13"/>
  <c r="M13" i="13"/>
  <c r="L13" i="13"/>
  <c r="R13" i="13"/>
  <c r="AI13" i="13"/>
  <c r="AB13" i="13"/>
  <c r="Q13" i="13"/>
  <c r="X13" i="13"/>
  <c r="Z13" i="13"/>
  <c r="T13" i="13"/>
  <c r="AK13" i="13"/>
  <c r="AF13" i="13"/>
  <c r="AG13" i="13"/>
  <c r="W13" i="13"/>
  <c r="U13" i="13"/>
  <c r="N13" i="13"/>
  <c r="J13" i="13"/>
  <c r="Y13" i="13"/>
  <c r="AD13" i="13"/>
  <c r="AH13" i="13"/>
  <c r="I13" i="13"/>
  <c r="V13" i="13"/>
  <c r="AA13" i="13"/>
  <c r="S13" i="13"/>
  <c r="K13" i="13"/>
  <c r="G13" i="13"/>
  <c r="E13" i="13"/>
  <c r="O13" i="13"/>
  <c r="AC13" i="13"/>
  <c r="AE13" i="13"/>
  <c r="G13" i="12"/>
  <c r="Q13" i="12"/>
  <c r="AB13" i="12"/>
  <c r="AE13" i="12"/>
  <c r="P13" i="12"/>
  <c r="K13" i="12"/>
  <c r="O13" i="12"/>
  <c r="R13" i="12"/>
  <c r="H13" i="12"/>
  <c r="AC13" i="12"/>
  <c r="L13" i="12"/>
  <c r="J13" i="12"/>
  <c r="AF13" i="12"/>
  <c r="AA13" i="12"/>
  <c r="N13" i="12"/>
  <c r="M13" i="12"/>
  <c r="F13" i="12"/>
  <c r="T13" i="12"/>
  <c r="X13" i="12"/>
  <c r="W13" i="12"/>
  <c r="I13" i="12"/>
  <c r="AK13" i="12"/>
  <c r="S13" i="12"/>
  <c r="Y13" i="12"/>
  <c r="Z13" i="12"/>
  <c r="AJ13" i="12"/>
  <c r="E13" i="12"/>
  <c r="AG13" i="12"/>
  <c r="AD13" i="12"/>
  <c r="AH13" i="12"/>
  <c r="AI13" i="12"/>
  <c r="U13" i="12"/>
  <c r="V13" i="12"/>
  <c r="R21" i="7" l="1"/>
  <c r="R14" i="7" s="1"/>
  <c r="O6" i="18"/>
  <c r="N7" i="18"/>
  <c r="N5" i="18" s="1"/>
  <c r="J7" i="18"/>
  <c r="J5" i="18" s="1"/>
  <c r="M7" i="18"/>
  <c r="M5" i="18" s="1"/>
  <c r="L7" i="18"/>
  <c r="L5" i="18" s="1"/>
  <c r="I7" i="18"/>
  <c r="I5" i="18" s="1"/>
  <c r="H7" i="18"/>
  <c r="K7" i="18"/>
  <c r="K5" i="18" s="1"/>
  <c r="E5" i="14" a="1"/>
  <c r="J5" i="14" s="1"/>
  <c r="E5" i="15" a="1"/>
  <c r="Q5" i="15" s="1"/>
  <c r="E5" i="13" a="1"/>
  <c r="E5" i="16" a="1"/>
  <c r="E5" i="12" a="1"/>
  <c r="E5" i="11" a="1"/>
  <c r="E5" i="17" a="1"/>
  <c r="S21" i="7" l="1"/>
  <c r="S14" i="7" s="1"/>
  <c r="H5" i="18"/>
  <c r="O5" i="18" s="1"/>
  <c r="O7" i="18"/>
  <c r="I5" i="14"/>
  <c r="R5" i="14"/>
  <c r="N5" i="14"/>
  <c r="S5" i="14"/>
  <c r="AG5" i="14"/>
  <c r="V5" i="14"/>
  <c r="T5" i="14"/>
  <c r="G5" i="14"/>
  <c r="AD5" i="14"/>
  <c r="Z5" i="14"/>
  <c r="L5" i="14"/>
  <c r="H5" i="14"/>
  <c r="J5" i="15"/>
  <c r="AI5" i="14"/>
  <c r="AH5" i="14"/>
  <c r="E5" i="14"/>
  <c r="AB5" i="14"/>
  <c r="AC5" i="15"/>
  <c r="P5" i="14"/>
  <c r="AC5" i="14"/>
  <c r="AK5" i="14"/>
  <c r="M5" i="14"/>
  <c r="W5" i="14"/>
  <c r="U5" i="14"/>
  <c r="AA5" i="14"/>
  <c r="Y5" i="14"/>
  <c r="AE5" i="14"/>
  <c r="AF5" i="14"/>
  <c r="F5" i="14"/>
  <c r="AJ5" i="14"/>
  <c r="X5" i="14"/>
  <c r="K5" i="15"/>
  <c r="U5" i="15"/>
  <c r="Q5" i="14"/>
  <c r="K5" i="14"/>
  <c r="O5" i="14"/>
  <c r="AH5" i="15"/>
  <c r="X5" i="15"/>
  <c r="AJ5" i="15"/>
  <c r="G5" i="15"/>
  <c r="H5" i="15"/>
  <c r="E5" i="15"/>
  <c r="L5" i="15"/>
  <c r="AD5" i="15"/>
  <c r="Y5" i="15"/>
  <c r="I5" i="15"/>
  <c r="AG5" i="15"/>
  <c r="AE5" i="15"/>
  <c r="V5" i="15"/>
  <c r="R5" i="15"/>
  <c r="P5" i="15"/>
  <c r="T5" i="15"/>
  <c r="O5" i="15"/>
  <c r="AI5" i="15"/>
  <c r="Z5" i="15"/>
  <c r="W5" i="15"/>
  <c r="F5" i="15"/>
  <c r="S5" i="15"/>
  <c r="AA5" i="15"/>
  <c r="AK5" i="15"/>
  <c r="AF5" i="15"/>
  <c r="M5" i="15"/>
  <c r="N5" i="15"/>
  <c r="AB5" i="15"/>
  <c r="AG5" i="11"/>
  <c r="J5" i="11"/>
  <c r="U5" i="11"/>
  <c r="AK5" i="11"/>
  <c r="Y5" i="11"/>
  <c r="S5" i="11"/>
  <c r="AH5" i="11"/>
  <c r="AI5" i="11"/>
  <c r="E5" i="11"/>
  <c r="R5" i="11"/>
  <c r="AD5" i="11"/>
  <c r="AF5" i="11"/>
  <c r="V5" i="11"/>
  <c r="Q5" i="11"/>
  <c r="W5" i="11"/>
  <c r="AE5" i="11"/>
  <c r="Z5" i="11"/>
  <c r="K5" i="11"/>
  <c r="AB5" i="11"/>
  <c r="N5" i="11"/>
  <c r="L5" i="11"/>
  <c r="I5" i="11"/>
  <c r="M5" i="11"/>
  <c r="X5" i="11"/>
  <c r="O5" i="11"/>
  <c r="AC5" i="11"/>
  <c r="T5" i="11"/>
  <c r="F5" i="11"/>
  <c r="H5" i="11"/>
  <c r="P5" i="11"/>
  <c r="G5" i="11"/>
  <c r="AA5" i="11"/>
  <c r="AJ5" i="11"/>
  <c r="E5" i="12"/>
  <c r="T5" i="12"/>
  <c r="AG5" i="12"/>
  <c r="V5" i="12"/>
  <c r="W5" i="12"/>
  <c r="G5" i="12"/>
  <c r="Y5" i="12"/>
  <c r="AD5" i="12"/>
  <c r="AC5" i="12"/>
  <c r="Z5" i="12"/>
  <c r="AF5" i="12"/>
  <c r="K5" i="12"/>
  <c r="S5" i="12"/>
  <c r="AB5" i="12"/>
  <c r="AJ5" i="12"/>
  <c r="L5" i="12"/>
  <c r="F5" i="12"/>
  <c r="I5" i="12"/>
  <c r="R5" i="12"/>
  <c r="X5" i="12"/>
  <c r="AI5" i="12"/>
  <c r="J5" i="12"/>
  <c r="U5" i="12"/>
  <c r="Q5" i="12"/>
  <c r="H5" i="12"/>
  <c r="M5" i="12"/>
  <c r="O5" i="12"/>
  <c r="AK5" i="12"/>
  <c r="AA5" i="12"/>
  <c r="AE5" i="12"/>
  <c r="AH5" i="12"/>
  <c r="P5" i="12"/>
  <c r="N5" i="12"/>
  <c r="AK5" i="17"/>
  <c r="AB5" i="17"/>
  <c r="L5" i="17"/>
  <c r="K5" i="17"/>
  <c r="T5" i="17"/>
  <c r="U5" i="17"/>
  <c r="AG5" i="17"/>
  <c r="G5" i="17"/>
  <c r="P5" i="17"/>
  <c r="Z5" i="17"/>
  <c r="W5" i="17"/>
  <c r="M5" i="17"/>
  <c r="Y5" i="17"/>
  <c r="Q5" i="17"/>
  <c r="V5" i="17"/>
  <c r="I5" i="17"/>
  <c r="R5" i="17"/>
  <c r="AA5" i="17"/>
  <c r="H5" i="17"/>
  <c r="AE5" i="17"/>
  <c r="X5" i="17"/>
  <c r="AC5" i="17"/>
  <c r="AD5" i="17"/>
  <c r="F5" i="17"/>
  <c r="E5" i="17"/>
  <c r="N5" i="17"/>
  <c r="AJ5" i="17"/>
  <c r="J5" i="17"/>
  <c r="AF5" i="17"/>
  <c r="AH5" i="17"/>
  <c r="AI5" i="17"/>
  <c r="O5" i="17"/>
  <c r="S5" i="17"/>
  <c r="N5" i="16"/>
  <c r="AA5" i="16"/>
  <c r="M5" i="16"/>
  <c r="R5" i="16"/>
  <c r="AI5" i="16"/>
  <c r="AJ5" i="16"/>
  <c r="W5" i="16"/>
  <c r="F5" i="16"/>
  <c r="AG5" i="16"/>
  <c r="X5" i="16"/>
  <c r="P5" i="16"/>
  <c r="L5" i="16"/>
  <c r="AK5" i="16"/>
  <c r="Z5" i="16"/>
  <c r="AE5" i="16"/>
  <c r="O5" i="16"/>
  <c r="E5" i="16"/>
  <c r="AH5" i="16"/>
  <c r="G5" i="16"/>
  <c r="H5" i="16"/>
  <c r="I5" i="16"/>
  <c r="Q5" i="16"/>
  <c r="AB5" i="16"/>
  <c r="Y5" i="16"/>
  <c r="K5" i="16"/>
  <c r="T5" i="16"/>
  <c r="V5" i="16"/>
  <c r="AC5" i="16"/>
  <c r="S5" i="16"/>
  <c r="AD5" i="16"/>
  <c r="AF5" i="16"/>
  <c r="J5" i="16"/>
  <c r="U5" i="16"/>
  <c r="E5" i="13"/>
  <c r="U5" i="13"/>
  <c r="O5" i="13"/>
  <c r="Q5" i="13"/>
  <c r="AF5" i="13"/>
  <c r="W5" i="13"/>
  <c r="AG5" i="13"/>
  <c r="AD5" i="13"/>
  <c r="L5" i="13"/>
  <c r="V5" i="13"/>
  <c r="S5" i="13"/>
  <c r="N5" i="13"/>
  <c r="AC5" i="13"/>
  <c r="M5" i="13"/>
  <c r="X5" i="13"/>
  <c r="AK5" i="13"/>
  <c r="F5" i="13"/>
  <c r="AJ5" i="13"/>
  <c r="Z5" i="13"/>
  <c r="J5" i="13"/>
  <c r="G5" i="13"/>
  <c r="P5" i="13"/>
  <c r="R5" i="13"/>
  <c r="AH5" i="13"/>
  <c r="AI5" i="13"/>
  <c r="K5" i="13"/>
  <c r="I5" i="13"/>
  <c r="AA5" i="13"/>
  <c r="T5" i="13"/>
  <c r="H5" i="13"/>
  <c r="AE5" i="13"/>
  <c r="Y5" i="13"/>
  <c r="AB5" i="13"/>
  <c r="T21" i="7" l="1"/>
  <c r="T14" i="7" s="1"/>
  <c r="U21" i="7" l="1"/>
  <c r="U14" i="7" s="1"/>
  <c r="V21" i="7" l="1"/>
  <c r="V14" i="7" s="1"/>
  <c r="W21" i="7" l="1"/>
  <c r="W14" i="7" s="1"/>
  <c r="X21" i="7" l="1"/>
  <c r="X14" i="7" s="1"/>
  <c r="Y21" i="7" l="1"/>
  <c r="Y14" i="7" s="1"/>
  <c r="Z21" i="7" l="1"/>
  <c r="Z14" i="7" s="1"/>
  <c r="AA21" i="7" l="1"/>
  <c r="AA14" i="7" s="1"/>
  <c r="AB21" i="7" l="1"/>
  <c r="AB14" i="7" s="1"/>
  <c r="AC21" i="7" l="1"/>
  <c r="AC14" i="7" s="1"/>
  <c r="AD21" i="7" l="1"/>
  <c r="AD14" i="7" s="1"/>
  <c r="AE21" i="7" l="1"/>
  <c r="AE14" i="7" s="1"/>
  <c r="AF21" i="7" l="1"/>
  <c r="AF14" i="7" s="1"/>
  <c r="AG21" i="7" l="1"/>
  <c r="AG14" i="7" s="1"/>
  <c r="AH21" i="7" l="1"/>
  <c r="AH14" i="7" s="1"/>
  <c r="AI21" i="7" l="1"/>
  <c r="AI14" i="7" s="1"/>
  <c r="AJ21" i="7" l="1"/>
  <c r="AJ14" i="7" s="1"/>
</calcChain>
</file>

<file path=xl/sharedStrings.xml><?xml version="1.0" encoding="utf-8"?>
<sst xmlns="http://schemas.openxmlformats.org/spreadsheetml/2006/main" count="1926" uniqueCount="153">
  <si>
    <t>Design Option Names</t>
  </si>
  <si>
    <t>Long Names</t>
  </si>
  <si>
    <t>EL 0</t>
  </si>
  <si>
    <t>EL 1</t>
  </si>
  <si>
    <t>EL 2</t>
  </si>
  <si>
    <t>EL 3</t>
  </si>
  <si>
    <t>EL 4</t>
  </si>
  <si>
    <t>EL 5</t>
  </si>
  <si>
    <t>EL 6</t>
  </si>
  <si>
    <t>Axial Housed</t>
  </si>
  <si>
    <t>Axial Unhoused</t>
  </si>
  <si>
    <t>Centrif Housed</t>
  </si>
  <si>
    <t>Centrif Unhous</t>
  </si>
  <si>
    <t>Inline-Mixed</t>
  </si>
  <si>
    <t>Radial</t>
  </si>
  <si>
    <t>Power Roof Vent</t>
  </si>
  <si>
    <t>Short Names</t>
  </si>
  <si>
    <t>Electricity</t>
  </si>
  <si>
    <t>NIAplus (load)</t>
  </si>
  <si>
    <t>TSL Configuration</t>
  </si>
  <si>
    <t>1st Year</t>
  </si>
  <si>
    <t>#Years</t>
  </si>
  <si>
    <t>Discount factor</t>
  </si>
  <si>
    <t>Energy Index Scen</t>
  </si>
  <si>
    <t>Reference</t>
  </si>
  <si>
    <t>Prc Index Scen</t>
  </si>
  <si>
    <t>NIAplus (benefits)</t>
  </si>
  <si>
    <t>Refence Benefits</t>
  </si>
  <si>
    <t>Low Benefits</t>
  </si>
  <si>
    <t>High Benefits</t>
  </si>
  <si>
    <t>Energy Prices: High Growth</t>
  </si>
  <si>
    <t>$/kWh</t>
  </si>
  <si>
    <t>Energy Prices: Low Growth</t>
  </si>
  <si>
    <t>Energy Prices: Reference</t>
  </si>
  <si>
    <t>All Product Classes</t>
  </si>
  <si>
    <t>%</t>
  </si>
  <si>
    <t>Shipments</t>
  </si>
  <si>
    <t>th units</t>
  </si>
  <si>
    <t>Shipments by PC</t>
  </si>
  <si>
    <t>Equipment Costs</t>
  </si>
  <si>
    <t>MSP</t>
  </si>
  <si>
    <t>Value-added</t>
  </si>
  <si>
    <t>Installation</t>
  </si>
  <si>
    <t>Maint &amp; Repair</t>
  </si>
  <si>
    <t>Energy Consumption</t>
  </si>
  <si>
    <t>kWh</t>
  </si>
  <si>
    <t>BC Eff Dist</t>
  </si>
  <si>
    <t>Energy Costs</t>
  </si>
  <si>
    <t>MMBtu</t>
  </si>
  <si>
    <t>[POL] Energy Consumption: Elec</t>
  </si>
  <si>
    <t>[POL] Energy Costs</t>
  </si>
  <si>
    <t>[POL] Equipment Costs</t>
  </si>
  <si>
    <t>[BC] Energy Consumption: Elec</t>
  </si>
  <si>
    <t>[BC] Energy Costs</t>
  </si>
  <si>
    <t>[BC] Equipment Costs</t>
  </si>
  <si>
    <t>Basecase (BAU) Efficiency Distribution</t>
  </si>
  <si>
    <t>Std Case Efficiency Distribution</t>
  </si>
  <si>
    <t>Net-Benefits</t>
  </si>
  <si>
    <t>Incr Equipment Costs</t>
  </si>
  <si>
    <t>Energy Cost Savings</t>
  </si>
  <si>
    <t>Energy Savings</t>
  </si>
  <si>
    <t>th MMBtu</t>
  </si>
  <si>
    <t>Economic Growth</t>
  </si>
  <si>
    <t>Discount Rate</t>
  </si>
  <si>
    <t>Analysis Period</t>
  </si>
  <si>
    <t>Price Trend</t>
  </si>
  <si>
    <t>Compliance Year</t>
  </si>
  <si>
    <t>Number of Years</t>
  </si>
  <si>
    <t>National</t>
  </si>
  <si>
    <t>NPV</t>
  </si>
  <si>
    <t>quads</t>
  </si>
  <si>
    <t>Total</t>
  </si>
  <si>
    <t>Com</t>
  </si>
  <si>
    <t>Constant</t>
  </si>
  <si>
    <t xml:space="preserve">Constant </t>
  </si>
  <si>
    <t>Low</t>
  </si>
  <si>
    <t>High</t>
  </si>
  <si>
    <t>Analysis Period: Full</t>
  </si>
  <si>
    <t xml:space="preserve">Price Trend: Constant </t>
  </si>
  <si>
    <t>Energy Trend: Constant</t>
  </si>
  <si>
    <t>Shipment Trend: AEO</t>
  </si>
  <si>
    <t>AEO Scen</t>
  </si>
  <si>
    <t>Disc Rate</t>
  </si>
  <si>
    <t>Data</t>
  </si>
  <si>
    <t>Sum of NPV</t>
  </si>
  <si>
    <t>Notes</t>
  </si>
  <si>
    <t>Introduction</t>
  </si>
  <si>
    <t>Summary</t>
  </si>
  <si>
    <t>Lifetime</t>
  </si>
  <si>
    <t>Energy Prices</t>
  </si>
  <si>
    <t>Price Index</t>
  </si>
  <si>
    <t>Tables</t>
  </si>
  <si>
    <t xml:space="preserve">Shipments  </t>
  </si>
  <si>
    <t xml:space="preserve">National energy price projection. </t>
  </si>
  <si>
    <t>LCC inputs</t>
  </si>
  <si>
    <t xml:space="preserve">Fan lifetime distributions used in the NIA. </t>
  </si>
  <si>
    <t>* Note: in this spreadsheet: CSL and EL are used interchangeably (Efficiency Level or Candidate Standard Level)</t>
  </si>
  <si>
    <t>All Scenarios</t>
  </si>
  <si>
    <t>Summary of the main NIA results for all scenarios.</t>
  </si>
  <si>
    <t>Per Unit</t>
  </si>
  <si>
    <t xml:space="preserve">Total </t>
  </si>
  <si>
    <t>Efficiency Level</t>
  </si>
  <si>
    <t>Stock (Affected Shipments)</t>
  </si>
  <si>
    <t>Stock by Fan Group</t>
  </si>
  <si>
    <t xml:space="preserve">The Price Index is used to project current equipment price to future years. In the reference scenario, DOE uses a constant price index. In addition, DOE provides two alternative price projections (low and high) to be used as a sensitivity analysis.
Sources:
Energy Information Administration. Annual Energy Outlook 2014 (2014) DOE/EIA-0383(2014). “Chained price index—industrial equipment” 
Producer price index (PPI) for industrial and commercial fans, Series ID PCU3334133334132; http://www.bls.gov/ppi/ </t>
  </si>
  <si>
    <t>Market Shares</t>
  </si>
  <si>
    <t>kWh/yr</t>
  </si>
  <si>
    <t>Share of fans sold with Controls</t>
  </si>
  <si>
    <t>Per unit energy use decrease</t>
  </si>
  <si>
    <t>Market penetration increase:</t>
  </si>
  <si>
    <t>Market Penetration</t>
  </si>
  <si>
    <t>Site</t>
  </si>
  <si>
    <t>Primary</t>
  </si>
  <si>
    <t>FFC</t>
  </si>
  <si>
    <t>Site-to-Primary</t>
  </si>
  <si>
    <t>Sector</t>
  </si>
  <si>
    <t>End-use load</t>
  </si>
  <si>
    <t>Commercial</t>
  </si>
  <si>
    <t>Other Uses</t>
  </si>
  <si>
    <t>Multiplier</t>
  </si>
  <si>
    <t>Energy Conversion Factor</t>
  </si>
  <si>
    <t>MMBtu/kWh</t>
  </si>
  <si>
    <t>MMBtu/MWh</t>
  </si>
  <si>
    <t>MMBtu/MMBtu</t>
  </si>
  <si>
    <t>Full</t>
  </si>
  <si>
    <t>FFC Energy Savings</t>
  </si>
  <si>
    <t>Sum of FFC Energy Savings</t>
  </si>
  <si>
    <t>This spreadsheet is used to estimate the National Impact Analysis (NIA) of potential standards for commercial and industrial fans and blowers. The model calculates the total national energy savings (NES), incremental equipment costs, and energy costs savings over a given analysis period, with a given discount rate and for a considered efficiency level (EL). The main outputs are the cumulative energy savings and net present value (NPV) of a potential standard level. The various worksheets are as described below.</t>
  </si>
  <si>
    <t xml:space="preserve">Summary of the main NIA results for all fan groups considered in the analysis. The user can adjust various parameters in the NIA from this worksheet to display results for a specific scenario. </t>
  </si>
  <si>
    <t xml:space="preserve">Each worksheet uses the information from the LCC Inputs worksheet, as well as from the Lifetime, Energy Prices, Energy Index, Price Index and Shipments worksheets to calculate the total energy savings, incremental equipment costs, and energy costs savings over the considered analysis period. </t>
  </si>
  <si>
    <t xml:space="preserve">Shipment projections for all fan groups. </t>
  </si>
  <si>
    <t>Fans price projections used in the NIA</t>
  </si>
  <si>
    <t>This worksheet is an output of the LCC spreadsheet, and serves as an input to the NIA. Inputs include the collection of cost and energy use data for each fan group and efficiency level, and the market efficiency distribution estimated for the base case.</t>
  </si>
  <si>
    <t xml:space="preserve">These lifetimes are expressed in the form of a survival function which is used in the stock calculation (see Shipments worksheet). These average survival functions were derived from the LCC results and represent the survival functions corresponding to the average lifetimes in years for each fan group. 
Sources: 
ASHRAE. HVAC Service Life and Maintenance Query Database. 2014. Raw data. Web. http://xp20.ashrae.org/publicdatabase/service_life.asp 
Murphy, John. "Commercial and Industrial Fans Life-cycle Cost Informational Interview." Telephone interview. 13 May. 2014.
</t>
  </si>
  <si>
    <t>Energy*</t>
  </si>
  <si>
    <t xml:space="preserve">This summary table displays the NIA results for the selected scenario. A scenario is based on a combination of the following parameters: Economic Growth (based on AEO Refence, High and Low projections); Discount rate ( 3 % or 7 %); Analysis period (full, 30 years or short, 9 years);  Energy Index (constant or adjusted); and Efficiency Level (1 to 6).
The NPV is the difference between total energy cost savings and increases in total equipment costs.
* Site Energy: Energy at the point-of-use; Primary Energy: Energy at the power plant (associated with generation, transmission, and distribution of energy); and FFC Energy: Full Fuel Cycle Energy (associated with  the energy consumed in extracting, processing, and transporting or distributing primary fuels). 
</t>
  </si>
  <si>
    <t>Prob of Survival/Years</t>
  </si>
  <si>
    <t>Example of the per unit average energy use in the standards-case EL 1 (see formula):</t>
  </si>
  <si>
    <t>Example of the per unit average energy use in the standards-case EL 2 (see formula):</t>
  </si>
  <si>
    <t>This provides the estimated base-case efficiency distribution (in the absence of new standards) in 2019 (compliance year used in the analysis). The standards-case efficiency distributions were then calculated for each EL assuming a “roll-up” scenario. DOE assumed that equipment with efficiencies in the base-case that did not meet the potential standard level under consideration would  “roll up” to meet the new standard level. Equipment efficiencies in the base case that were above the standard level under consideration are assumed to not be affected. This is true for all standards-case scenarios.</t>
  </si>
  <si>
    <t>Weighted Avg Unit Over Lifetime</t>
  </si>
  <si>
    <t>Unit Over Lifetime</t>
  </si>
  <si>
    <t>-BC Eff Dist (Base-Case Efficiency Distributions):</t>
  </si>
  <si>
    <t>NOT USED</t>
  </si>
  <si>
    <t>Energy Index (PLACEHOLDER)</t>
  </si>
  <si>
    <t>Fan Group</t>
  </si>
  <si>
    <t>EL</t>
  </si>
  <si>
    <t>Total Sum of FFC Energy Savings</t>
  </si>
  <si>
    <t>Total Sum of NPV</t>
  </si>
  <si>
    <t xml:space="preserve">This worksheet includes the following tables:
- Shipments: shipment projections used in the analysis
- Stock: accumulated shipments sold each year of the analysis period that are in operation
- Market Shares: estimated market shares for each fan group
To populate the model with current data, DOE used a total fan shipments estimate of 464,500 units in 2012 based on estimates from a market research report and confidential 2012 sales data from AMCA (estimate of the US market based on survey of 18 manufacturers). DOE used these same sources of information to estimate market distributions across fan groups and also by sector of application (commercial and industrial). The market distributions by fan group were estimated for 2012 and maintained over the forecast period. DOE's estimate of 464,500 units includes fan shipments data for fans described as follows (scope):
 - with maximum brake horsepower at maximum speed at or above 1HP and up to 200 HP, 
 - are included in one of the seven fan groups,
 - is not a safety fan, cross flow fan, circulating fan, induced flow fan, or an air curtain. 
For the NIA, DOE then established separate shipment projections for the industrial and the commercial sector. In 2012, the share of fans sold to the commercial sector was estimated to approximately 20 % of units. 
Projections were based on the following indicators, depending on the market segment: 
(1) Industrial sector:  Fixed investments in equipment and structures including fans; 
(2) Commercial sector, new buildings: AEO new commercial floor space index; and 
(3) Commercial sector, existing buildings: Fixed investments in existing structures including fans.  
Depending on the AEO 2014 scenario used for establishing these indicators, DOE derived Reference, High, and Low shipments projections. 
Further, to avoid double counting energy savings from fans used in covered equipment, the shipments of fans incorporated in covered equipment were subtracted from the total shipments. DOE assumed that half of the shipments going to OEMs are incorporated in covered equipment. This resulted in removing 14 % of the total shipments (see distribution channels description in the LCC markup worksheet). 
Shipments are assumed to have zero price elasticity and zero price cross-elasticity under standards cases. 
Sources:
IHS Technology (March 2014), Fans and Blowers, World, 2014. 
Air Movement and Control Association (AMCA). "2012 Confidential Fan Sales Data." May 2014. (18 manufacturers)
U.S. Census Bureau (June 2014), Manufacturing Subject Series and Annual Survey of Manufacturers for Industrial and Commercial Fan and Blower Manufacturing – 1997 through 2011. NAICS 333412.  http://factfinder2.census.gov 
U.S. Department of Energy-Energy Information Administration (June 2014), Annual Energy Outlook 2014 Macroeconomic Indicators, Commercial Sector Key Indicators and Consumption, Washington, DC. Retrieved June 2014 from http://www.eia.gov/forecasts/aeo/ 
Bureau of Economic Analysis (June 3, 2014), Private Fixed Investment in Equipment by Type and Private Fixed Investment in Structures by Type. http://www.bea.gov/iTable/iTable.cfm?ReqID=12&amp;step=1  
</t>
  </si>
  <si>
    <t xml:space="preserve">These tables summarize the LCC results used as inputs to the NIA calculations.
- Manufacturer selling price (MSP): 
This table presents the average MSPs in the base-case and in each standards-case considered for fans at each of the different ELs. For example, in the base-case (i.e. "zero" percent market cut off or EL0), axial housed fans at EL1 have an average MSP of $1,555. In the standards-case EL1, the average MSP of axial housed fans at EL 1 is $1,889, and there are no more fans at EL0.  This is used in the incremental equipment cost calculation.
- Value-added percent: 
This represents the average increase in value between the consumer price and the MSP. The value added is equal to the average the overall distribution channel markup used in the LCC minus one. For example, in the base-case (i.e. "zero" percent market cut off or EL0), the analysis uses an overall baseline markup of 1.83 to convert the MSP into a consumer price and the value added is equal to 0.83 (83%). 
- Installation costs: 
DOE assumed that there is no increase in installation costs across ELs, therefore installation costs are not included in the incremental equipment costs calculation.
- Maintenance and Repair costs: 
DOE assumed that there is no increase in maintenance and repair costs across ELs, therefore maintenance and repair costs are not included in the incremental equipment costs calculation.
- Energy consumption: 
This table presents the average unit energy consumption in the base-case and in each standards-case considered. For example, based on the LCC sample, in the base-case (i.e. "zero" percent market cut off or EL0), axial housed fans meeting EL1 have an average unit energy consumption of 23,903 kWh per year. In the standards-case EL1, the average unit energy consumption of axial housed fans at EL 1 is 29,317 kWh/ year, and there are no more fans at EL0.  This is used in the energy savings calculation. Combined with the efficiency distributions, this allows calculating the average unit energy consumption in the base-case and in the different standards case as follows:
Example of the per unit average energy use in the base-case (see formula): 
</t>
  </si>
  <si>
    <t xml:space="preserve">These tables present the average electricity price estimates used to calculate the operating cost savings. 
DOE used a weighted average electricity price, weighted by overall fan energy consumption (kWh) in the industrial and commercial sectors. Based on the results of the LCC, DOE used a weights of 71% (commercial) and 29% (industrial). 
Electricity prices  and projections of electricity prices were based on forecasts from AEO 2014 for 2018-2040 (Reference, Low and High growth scenarios).
Sources: 
U.S. Energy Information Administration. Annual Energy Outlook 2014 (2014) DOE/EIA-0383(2014). (Last Accessed August 8, 2014) (Available at: http://www.eia.gov/forecasts/aeo/).
</t>
  </si>
  <si>
    <t>Generated by Iyama, Sanaee Solene on 11/11/2014 at 2:28:40 PM</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</si>
</sst>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0.0"/>
    <numFmt numFmtId="167" formatCode="_-* #,##0.00_-;\-* #,##0.00_-;_-* &quot;-&quot;??_-;_-@_-"/>
    <numFmt numFmtId="168" formatCode="[$-409]mmm\-yy;@"/>
    <numFmt numFmtId="169" formatCode="&quot;&quot;\ #\ ##0_-;&quot;&quot;\ \-#\ ##0_-"/>
    <numFmt numFmtId="170" formatCode="&quot;&quot;\ #,##0.0_-;&quot;&quot;\ \-#,##0.0_-"/>
    <numFmt numFmtId="171" formatCode="&quot;&quot;\ #,##0.00_-;&quot;&quot;\ \-#,##0.00_-"/>
    <numFmt numFmtId="172" formatCode="&quot;&quot;\ #\ ##0_-;&quot;&quot;\ \-#\ ##0_-"/>
    <numFmt numFmtId="173" formatCode="&quot;&quot;\ #,##0.0_-;&quot;&quot;\ \-#,##0.0_-"/>
    <numFmt numFmtId="174" formatCode="&quot;&quot;\ #,##0.00_-;&quot;&quot;\ \-#,##0.00_-"/>
    <numFmt numFmtId="175" formatCode="#\ ##0_-;\-#\ ##0_-;_-0_-;_-@_ "/>
    <numFmt numFmtId="176" formatCode="#\ ##0.0_-;\-#\ ##0.0_-;_-0.0_-;_-@_ "/>
    <numFmt numFmtId="177" formatCode="#\ ##0.00_-;\-#\ ##0.00_-;_-0.00_-;_-@_ "/>
    <numFmt numFmtId="178" formatCode="[$€]\ #,##0"/>
    <numFmt numFmtId="179" formatCode="[$-409]mmm/yy;@"/>
    <numFmt numFmtId="180" formatCode="&quot;&quot;\ #\ ##0_-;&quot;&quot;\ \-#\ ##0_-"/>
    <numFmt numFmtId="181" formatCode="&quot;&quot;\ #,##0.0_-;&quot;&quot;\ \-#,##0.0_-"/>
    <numFmt numFmtId="182" formatCode="&quot;&quot;\ #,##0.00_-;&quot;&quot;\ \-#,##0.00_-"/>
    <numFmt numFmtId="183" formatCode="&quot;&quot;\ #\ ##0_-;&quot;&quot;\ \-#\ ##0_-"/>
    <numFmt numFmtId="184" formatCode="&quot;&quot;\ #,##0.0_-;&quot;&quot;\ \-#,##0.0_-"/>
    <numFmt numFmtId="185" formatCode="&quot;&quot;\ #,##0.00_-;&quot;&quot;\ \-#,##0.00_-"/>
    <numFmt numFmtId="186" formatCode="_-* #,##0_-;\-* #,##0_-;_-* &quot;-&quot;_-;_-@_-"/>
    <numFmt numFmtId="187" formatCode="0.0000000%"/>
    <numFmt numFmtId="188" formatCode="_(* #,##0_);_(* \(#,##0\);_(* &quot;-&quot;??_);_(@_)"/>
    <numFmt numFmtId="189" formatCode="0.00000"/>
    <numFmt numFmtId="190" formatCode="_(* #,##0.000_);_(* \(#,##0.000\);_(* &quot;-&quot;??_);_(@_)"/>
  </numFmts>
  <fonts count="103">
    <font>
      <sz val="11"/>
      <color theme="1"/>
      <name val="Calibri"/>
      <family val="2"/>
      <scheme val="minor"/>
    </font>
    <font>
      <b/>
      <sz val="11"/>
      <color theme="1"/>
      <name val="Calibri"/>
      <family val="2"/>
      <scheme val="minor"/>
    </font>
    <font>
      <i/>
      <sz val="11"/>
      <color theme="1"/>
      <name val="Calibri"/>
      <family val="2"/>
      <scheme val="minor"/>
    </font>
    <font>
      <b/>
      <sz val="11"/>
      <color rgb="FFFFFFFF"/>
      <name val="Calibri"/>
      <family val="2"/>
      <scheme val="minor"/>
    </font>
    <font>
      <sz val="11"/>
      <color rgb="FFFFFFFF"/>
      <name val="Calibri"/>
      <family val="2"/>
      <scheme val="minor"/>
    </font>
    <font>
      <i/>
      <sz val="11"/>
      <color rgb="FFFFFFFF"/>
      <name val="Calibri"/>
      <family val="2"/>
      <scheme val="minor"/>
    </font>
    <font>
      <b/>
      <i/>
      <sz val="11"/>
      <color theme="1"/>
      <name val="Calibri"/>
      <family val="2"/>
      <scheme val="minor"/>
    </font>
    <font>
      <sz val="11"/>
      <color theme="1"/>
      <name val="Calibri"/>
      <family val="2"/>
      <scheme val="minor"/>
    </font>
    <font>
      <sz val="10"/>
      <name val="Arial"/>
      <family val="2"/>
    </font>
    <font>
      <sz val="7"/>
      <name val="Tahoma"/>
      <family val="2"/>
    </font>
    <font>
      <sz val="10"/>
      <color indexed="8"/>
      <name val="Arial"/>
      <family val="2"/>
    </font>
    <font>
      <sz val="8"/>
      <color theme="1"/>
      <name val="Calibri"/>
      <family val="2"/>
    </font>
    <font>
      <sz val="11"/>
      <color indexed="8"/>
      <name val="Calibri"/>
      <family val="2"/>
    </font>
    <font>
      <sz val="11"/>
      <color indexed="9"/>
      <name val="Calibri"/>
      <family val="2"/>
    </font>
    <font>
      <sz val="11"/>
      <color indexed="20"/>
      <name val="Calibri"/>
      <family val="2"/>
    </font>
    <font>
      <sz val="11"/>
      <color indexed="29"/>
      <name val="Calibri"/>
      <family val="2"/>
    </font>
    <font>
      <b/>
      <sz val="11"/>
      <color indexed="52"/>
      <name val="Calibri"/>
      <family val="2"/>
    </font>
    <font>
      <b/>
      <sz val="11"/>
      <color indexed="9"/>
      <name val="Calibri"/>
      <family val="2"/>
    </font>
    <font>
      <sz val="8"/>
      <name val="Calibri"/>
      <family val="2"/>
    </font>
    <font>
      <sz val="8"/>
      <color theme="1"/>
      <name val="TheSansOffice"/>
      <family val="2"/>
    </font>
    <font>
      <sz val="10"/>
      <name val="Times New Roman"/>
      <family val="1"/>
    </font>
    <font>
      <sz val="7.5"/>
      <name val="Century Schoolbook"/>
      <family val="1"/>
    </font>
    <font>
      <i/>
      <sz val="11"/>
      <color indexed="23"/>
      <name val="Calibri"/>
      <family val="2"/>
    </font>
    <font>
      <sz val="11"/>
      <color indexed="17"/>
      <name val="Calibri"/>
      <family val="2"/>
    </font>
    <font>
      <b/>
      <sz val="8"/>
      <name val="Arial"/>
      <family val="2"/>
    </font>
    <font>
      <b/>
      <sz val="15"/>
      <color indexed="62"/>
      <name val="Calibri"/>
      <family val="2"/>
    </font>
    <font>
      <b/>
      <sz val="15"/>
      <color indexed="62"/>
      <name val="Tahoma"/>
      <family val="2"/>
    </font>
    <font>
      <b/>
      <sz val="13"/>
      <color indexed="62"/>
      <name val="Calibri"/>
      <family val="2"/>
    </font>
    <font>
      <b/>
      <sz val="13"/>
      <color indexed="62"/>
      <name val="Tahoma"/>
      <family val="2"/>
    </font>
    <font>
      <b/>
      <sz val="11"/>
      <color indexed="62"/>
      <name val="Calibri"/>
      <family val="2"/>
    </font>
    <font>
      <b/>
      <sz val="11"/>
      <color indexed="62"/>
      <name val="Tahoma"/>
      <family val="2"/>
    </font>
    <font>
      <u/>
      <sz val="10"/>
      <color indexed="22"/>
      <name val="Arial"/>
      <family val="2"/>
    </font>
    <font>
      <u/>
      <sz val="8"/>
      <color theme="10"/>
      <name val="Calibri"/>
      <family val="2"/>
    </font>
    <font>
      <u/>
      <sz val="8"/>
      <color indexed="12"/>
      <name val="Arial"/>
      <family val="2"/>
    </font>
    <font>
      <u/>
      <sz val="8"/>
      <color theme="10"/>
      <name val="Calibri"/>
      <family val="2"/>
      <scheme val="minor"/>
    </font>
    <font>
      <sz val="11"/>
      <color indexed="62"/>
      <name val="Calibri"/>
      <family val="2"/>
    </font>
    <font>
      <sz val="11"/>
      <color indexed="52"/>
      <name val="Calibri"/>
      <family val="2"/>
    </font>
    <font>
      <sz val="11"/>
      <color indexed="31"/>
      <name val="Calibri"/>
      <family val="2"/>
    </font>
    <font>
      <sz val="11"/>
      <color indexed="60"/>
      <name val="Calibri"/>
      <family val="2"/>
    </font>
    <font>
      <sz val="12"/>
      <name val="Lucida"/>
    </font>
    <font>
      <sz val="8"/>
      <color theme="1"/>
      <name val="Calibri"/>
      <family val="2"/>
      <scheme val="minor"/>
    </font>
    <font>
      <sz val="11"/>
      <color indexed="8"/>
      <name val="Calibri"/>
      <family val="2"/>
      <scheme val="minor"/>
    </font>
    <font>
      <sz val="8"/>
      <name val="Arial CE"/>
      <charset val="238"/>
    </font>
    <font>
      <b/>
      <sz val="11"/>
      <color indexed="63"/>
      <name val="Calibri"/>
      <family val="2"/>
    </font>
    <font>
      <sz val="10"/>
      <color indexed="8"/>
      <name val="MS Sans Serif"/>
      <family val="2"/>
    </font>
    <font>
      <u/>
      <sz val="10"/>
      <color indexed="36"/>
      <name val="Times New Roman"/>
      <family val="1"/>
    </font>
    <font>
      <b/>
      <sz val="10"/>
      <name val="Helv"/>
    </font>
    <font>
      <b/>
      <sz val="18"/>
      <color indexed="62"/>
      <name val="Cambria"/>
      <family val="2"/>
    </font>
    <font>
      <b/>
      <sz val="10"/>
      <name val="Arial"/>
      <family val="2"/>
    </font>
    <font>
      <b/>
      <sz val="11"/>
      <color indexed="8"/>
      <name val="Calibri"/>
      <family val="2"/>
    </font>
    <font>
      <b/>
      <sz val="7"/>
      <color indexed="8"/>
      <name val="Tahoma"/>
      <family val="2"/>
    </font>
    <font>
      <sz val="11"/>
      <color indexed="10"/>
      <name val="Calibri"/>
      <family val="2"/>
    </font>
    <font>
      <sz val="11"/>
      <name val="Times New Roman Greek"/>
      <charset val="161"/>
    </font>
    <font>
      <u/>
      <sz val="11"/>
      <color indexed="12"/>
      <name val="ＭＳ 明朝"/>
      <family val="1"/>
      <charset val="128"/>
    </font>
    <font>
      <u/>
      <sz val="9"/>
      <color indexed="12"/>
      <name val="ＭＳ 明朝"/>
      <family val="1"/>
      <charset val="128"/>
    </font>
    <font>
      <u/>
      <sz val="11"/>
      <color indexed="12"/>
      <name val="ＭＳ Ｐゴシック"/>
      <family val="3"/>
      <charset val="128"/>
    </font>
    <font>
      <sz val="11"/>
      <name val="ＭＳ Ｐゴシック"/>
      <family val="3"/>
      <charset val="128"/>
    </font>
    <font>
      <sz val="12"/>
      <name val="ＭＳ 明朝"/>
      <family val="1"/>
      <charset val="128"/>
    </font>
    <font>
      <u/>
      <sz val="11"/>
      <color indexed="20"/>
      <name val="ＭＳ 明朝"/>
      <family val="1"/>
      <charset val="128"/>
    </font>
    <font>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8"/>
      <color theme="0"/>
      <name val="Arial"/>
      <family val="2"/>
    </font>
    <font>
      <b/>
      <sz val="8"/>
      <color indexed="8"/>
      <name val="Arial"/>
      <family val="2"/>
    </font>
    <font>
      <sz val="8"/>
      <color indexed="8"/>
      <name val="Arial"/>
      <family val="2"/>
    </font>
    <font>
      <sz val="10"/>
      <color theme="0"/>
      <name val="Arial"/>
      <family val="2"/>
    </font>
    <font>
      <b/>
      <sz val="15"/>
      <color indexed="56"/>
      <name val="Calibri"/>
      <family val="2"/>
    </font>
    <font>
      <b/>
      <sz val="13"/>
      <color indexed="56"/>
      <name val="Calibri"/>
      <family val="2"/>
    </font>
    <font>
      <b/>
      <sz val="13"/>
      <color theme="3"/>
      <name val="Arial"/>
      <family val="2"/>
    </font>
    <font>
      <b/>
      <sz val="11"/>
      <color indexed="56"/>
      <name val="Calibri"/>
      <family val="2"/>
    </font>
    <font>
      <b/>
      <sz val="11"/>
      <color theme="3"/>
      <name val="Arial"/>
      <family val="2"/>
    </font>
    <font>
      <sz val="10"/>
      <color theme="1"/>
      <name val="Arial"/>
      <family val="2"/>
    </font>
    <font>
      <sz val="10"/>
      <color indexed="64"/>
      <name val="Arial"/>
      <family val="2"/>
    </font>
    <font>
      <b/>
      <sz val="18"/>
      <color indexed="56"/>
      <name val="Cambria"/>
      <family val="2"/>
    </font>
    <font>
      <sz val="8"/>
      <name val="Arial"/>
      <family val="2"/>
    </font>
    <font>
      <b/>
      <sz val="8"/>
      <color indexed="9"/>
      <name val="Arial"/>
      <family val="2"/>
    </font>
    <font>
      <sz val="8"/>
      <color indexed="9"/>
      <name val="Arial"/>
      <family val="2"/>
    </font>
    <font>
      <sz val="8"/>
      <color theme="1"/>
      <name val="Arial"/>
      <family val="2"/>
    </font>
    <font>
      <i/>
      <sz val="8"/>
      <color theme="1"/>
      <name val="Arial"/>
      <family val="2"/>
    </font>
    <font>
      <b/>
      <sz val="8"/>
      <color theme="1"/>
      <name val="Arial"/>
      <family val="2"/>
    </font>
    <font>
      <b/>
      <sz val="8"/>
      <color rgb="FFFFFFFF"/>
      <name val="Arial"/>
      <family val="2"/>
    </font>
    <font>
      <sz val="8"/>
      <color rgb="FFFFFFFF"/>
      <name val="Arial"/>
      <family val="2"/>
    </font>
    <font>
      <i/>
      <sz val="8"/>
      <color rgb="FFFFFFFF"/>
      <name val="Arial"/>
      <family val="2"/>
    </font>
    <font>
      <b/>
      <sz val="11"/>
      <color indexed="9"/>
      <name val="Calibri"/>
      <family val="2"/>
      <scheme val="minor"/>
    </font>
    <font>
      <sz val="11"/>
      <name val="Calibri"/>
      <family val="2"/>
      <scheme val="minor"/>
    </font>
    <font>
      <sz val="11"/>
      <color theme="0" tint="-0.499984740745262"/>
      <name val="Calibri"/>
      <family val="2"/>
      <scheme val="minor"/>
    </font>
    <font>
      <sz val="11"/>
      <color indexed="9"/>
      <name val="Calibri"/>
      <family val="2"/>
      <scheme val="minor"/>
    </font>
    <font>
      <b/>
      <sz val="11"/>
      <color indexed="8"/>
      <name val="Calibri"/>
      <family val="2"/>
      <scheme val="minor"/>
    </font>
    <font>
      <i/>
      <sz val="11"/>
      <color theme="0" tint="-0.499984740745262"/>
      <name val="Calibri"/>
      <family val="2"/>
      <scheme val="minor"/>
    </font>
    <font>
      <sz val="11"/>
      <color rgb="FFDCF0FF"/>
      <name val="Calibri"/>
      <family val="2"/>
      <scheme val="minor"/>
    </font>
    <font>
      <b/>
      <i/>
      <sz val="11"/>
      <color rgb="FFFFFFFF"/>
      <name val="Calibri"/>
      <family val="2"/>
      <scheme val="minor"/>
    </font>
  </fonts>
  <fills count="67">
    <fill>
      <patternFill patternType="none"/>
    </fill>
    <fill>
      <patternFill patternType="gray125"/>
    </fill>
    <fill>
      <patternFill patternType="solid">
        <fgColor rgb="FFFFFFFF"/>
        <bgColor indexed="64"/>
      </patternFill>
    </fill>
    <fill>
      <patternFill patternType="solid">
        <fgColor rgb="FFDCF0FF"/>
        <bgColor indexed="64"/>
      </patternFill>
    </fill>
    <fill>
      <patternFill patternType="solid">
        <fgColor rgb="FF00508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6"/>
      </patternFill>
    </fill>
    <fill>
      <patternFill patternType="solid">
        <fgColor indexed="47"/>
      </patternFill>
    </fill>
    <fill>
      <patternFill patternType="solid">
        <fgColor indexed="45"/>
      </patternFill>
    </fill>
    <fill>
      <patternFill patternType="solid">
        <fgColor indexed="26"/>
      </patternFill>
    </fill>
    <fill>
      <patternFill patternType="solid">
        <fgColor indexed="44"/>
      </patternFill>
    </fill>
    <fill>
      <patternFill patternType="solid">
        <fgColor indexed="27"/>
      </patternFill>
    </fill>
    <fill>
      <patternFill patternType="solid">
        <fgColor indexed="43"/>
      </patternFill>
    </fill>
    <fill>
      <patternFill patternType="solid">
        <fgColor indexed="22"/>
      </patternFill>
    </fill>
    <fill>
      <patternFill patternType="solid">
        <fgColor indexed="42"/>
      </patternFill>
    </fill>
    <fill>
      <patternFill patternType="solid">
        <fgColor indexed="49"/>
      </patternFill>
    </fill>
    <fill>
      <patternFill patternType="solid">
        <fgColor indexed="28"/>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4"/>
      </patternFill>
    </fill>
    <fill>
      <patternFill patternType="solid">
        <fgColor indexed="55"/>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theme="0" tint="-0.499984740745262"/>
        <bgColor indexed="64"/>
      </patternFill>
    </fill>
    <fill>
      <patternFill patternType="solid">
        <fgColor indexed="31"/>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rgb="FFFFC000"/>
        <bgColor indexed="64"/>
      </patternFill>
    </fill>
    <fill>
      <patternFill patternType="solid">
        <fgColor indexed="51"/>
        <bgColor indexed="64"/>
      </patternFill>
    </fill>
    <fill>
      <patternFill patternType="solid">
        <fgColor theme="8" tint="0.79998168889431442"/>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2"/>
      </bottom>
      <diagonal/>
    </border>
    <border>
      <left/>
      <right/>
      <top/>
      <bottom style="thick">
        <color indexed="49"/>
      </bottom>
      <diagonal/>
    </border>
    <border>
      <left/>
      <right/>
      <top/>
      <bottom style="thick">
        <color indexed="46"/>
      </bottom>
      <diagonal/>
    </border>
    <border>
      <left/>
      <right/>
      <top/>
      <bottom style="thick">
        <color indexed="22"/>
      </bottom>
      <diagonal/>
    </border>
    <border>
      <left/>
      <right/>
      <top/>
      <bottom style="medium">
        <color indexed="42"/>
      </bottom>
      <diagonal/>
    </border>
    <border>
      <left/>
      <right/>
      <top/>
      <bottom style="medium">
        <color indexed="49"/>
      </bottom>
      <diagonal/>
    </border>
    <border>
      <left/>
      <right/>
      <top/>
      <bottom style="double">
        <color indexed="52"/>
      </bottom>
      <diagonal/>
    </border>
    <border>
      <left/>
      <right style="dotted">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2"/>
      </top>
      <bottom style="double">
        <color indexed="4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style="thin">
        <color indexed="65"/>
      </left>
      <right/>
      <top style="thin">
        <color indexed="8"/>
      </top>
      <bottom/>
      <diagonal/>
    </border>
    <border>
      <left style="thin">
        <color indexed="65"/>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style="thin">
        <color indexed="8"/>
      </left>
      <right/>
      <top style="thin">
        <color indexed="65"/>
      </top>
      <bottom/>
      <diagonal/>
    </border>
    <border>
      <left/>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65"/>
      </left>
      <right/>
      <top style="thin">
        <color indexed="8"/>
      </top>
      <bottom style="thin">
        <color indexed="8"/>
      </bottom>
      <diagonal/>
    </border>
    <border>
      <left/>
      <right style="thin">
        <color indexed="8"/>
      </right>
      <top style="thin">
        <color indexed="8"/>
      </top>
      <bottom style="thin">
        <color indexed="8"/>
      </bottom>
      <diagonal/>
    </border>
  </borders>
  <cellStyleXfs count="1337">
    <xf numFmtId="0" fontId="0" fillId="0" borderId="0"/>
    <xf numFmtId="0" fontId="8" fillId="0" borderId="0"/>
    <xf numFmtId="0" fontId="8" fillId="0" borderId="0"/>
    <xf numFmtId="0" fontId="9" fillId="0" borderId="0"/>
    <xf numFmtId="0" fontId="8" fillId="0" borderId="0"/>
    <xf numFmtId="0" fontId="8" fillId="0" borderId="0"/>
    <xf numFmtId="167" fontId="10" fillId="0" borderId="0" applyFont="0" applyFill="0" applyBorder="0" applyAlignment="0" applyProtection="0"/>
    <xf numFmtId="0" fontId="11" fillId="6" borderId="0" applyNumberFormat="0" applyBorder="0" applyAlignment="0" applyProtection="0"/>
    <xf numFmtId="0" fontId="12" fillId="18" borderId="0" applyNumberFormat="0" applyBorder="0" applyAlignment="0" applyProtection="0"/>
    <xf numFmtId="0" fontId="11" fillId="6" borderId="0" applyNumberFormat="0" applyBorder="0" applyAlignment="0" applyProtection="0"/>
    <xf numFmtId="0" fontId="12" fillId="19"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2" fillId="1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2" fillId="20" borderId="0" applyNumberFormat="0" applyBorder="0" applyAlignment="0" applyProtection="0"/>
    <xf numFmtId="0" fontId="11" fillId="8" borderId="0" applyNumberFormat="0" applyBorder="0" applyAlignment="0" applyProtection="0"/>
    <xf numFmtId="0" fontId="12" fillId="21"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2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10" borderId="0" applyNumberFormat="0" applyBorder="0" applyAlignment="0" applyProtection="0"/>
    <xf numFmtId="0" fontId="12" fillId="22" borderId="0" applyNumberFormat="0" applyBorder="0" applyAlignment="0" applyProtection="0"/>
    <xf numFmtId="0" fontId="11" fillId="10" borderId="0" applyNumberFormat="0" applyBorder="0" applyAlignment="0" applyProtection="0"/>
    <xf numFmtId="0" fontId="12" fillId="2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2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2" borderId="0" applyNumberFormat="0" applyBorder="0" applyAlignment="0" applyProtection="0"/>
    <xf numFmtId="0" fontId="12" fillId="18" borderId="0" applyNumberFormat="0" applyBorder="0" applyAlignment="0" applyProtection="0"/>
    <xf numFmtId="0" fontId="11" fillId="12" borderId="0" applyNumberFormat="0" applyBorder="0" applyAlignment="0" applyProtection="0"/>
    <xf numFmtId="0" fontId="12" fillId="1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2" fillId="24" borderId="0" applyNumberFormat="0" applyBorder="0" applyAlignment="0" applyProtection="0"/>
    <xf numFmtId="0" fontId="11" fillId="14" borderId="0" applyNumberFormat="0" applyBorder="0" applyAlignment="0" applyProtection="0"/>
    <xf numFmtId="0" fontId="12" fillId="19"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2" fillId="2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2" fillId="20" borderId="0" applyNumberFormat="0" applyBorder="0" applyAlignment="0" applyProtection="0"/>
    <xf numFmtId="0" fontId="11" fillId="16" borderId="0" applyNumberFormat="0" applyBorder="0" applyAlignment="0" applyProtection="0"/>
    <xf numFmtId="0" fontId="12" fillId="2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2" fillId="20"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7" borderId="0" applyNumberFormat="0" applyBorder="0" applyAlignment="0" applyProtection="0"/>
    <xf numFmtId="0" fontId="12" fillId="26" borderId="0" applyNumberFormat="0" applyBorder="0" applyAlignment="0" applyProtection="0"/>
    <xf numFmtId="0" fontId="11" fillId="7" borderId="0" applyNumberFormat="0" applyBorder="0" applyAlignment="0" applyProtection="0"/>
    <xf numFmtId="0" fontId="12" fillId="1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2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2" fillId="20" borderId="0" applyNumberFormat="0" applyBorder="0" applyAlignment="0" applyProtection="0"/>
    <xf numFmtId="0" fontId="11" fillId="9" borderId="0" applyNumberFormat="0" applyBorder="0" applyAlignment="0" applyProtection="0"/>
    <xf numFmtId="0" fontId="12"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20"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1" borderId="0" applyNumberFormat="0" applyBorder="0" applyAlignment="0" applyProtection="0"/>
    <xf numFmtId="0" fontId="12" fillId="25" borderId="0" applyNumberFormat="0" applyBorder="0" applyAlignment="0" applyProtection="0"/>
    <xf numFmtId="0" fontId="11" fillId="11" borderId="0" applyNumberFormat="0" applyBorder="0" applyAlignment="0" applyProtection="0"/>
    <xf numFmtId="0" fontId="12" fillId="23"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2" fillId="25"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2" fillId="26" borderId="0" applyNumberFormat="0" applyBorder="0" applyAlignment="0" applyProtection="0"/>
    <xf numFmtId="0" fontId="11" fillId="13" borderId="0" applyNumberFormat="0" applyBorder="0" applyAlignment="0" applyProtection="0"/>
    <xf numFmtId="0" fontId="12" fillId="26"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2" fillId="26"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5" borderId="0" applyNumberFormat="0" applyBorder="0" applyAlignment="0" applyProtection="0"/>
    <xf numFmtId="0" fontId="12" fillId="23" borderId="0" applyNumberFormat="0" applyBorder="0" applyAlignment="0" applyProtection="0"/>
    <xf numFmtId="0" fontId="11" fillId="15" borderId="0" applyNumberFormat="0" applyBorder="0" applyAlignment="0" applyProtection="0"/>
    <xf numFmtId="0" fontId="12" fillId="19"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2" fillId="2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7" borderId="0" applyNumberFormat="0" applyBorder="0" applyAlignment="0" applyProtection="0"/>
    <xf numFmtId="0" fontId="12" fillId="20" borderId="0" applyNumberFormat="0" applyBorder="0" applyAlignment="0" applyProtection="0"/>
    <xf numFmtId="0" fontId="11" fillId="17" borderId="0" applyNumberFormat="0" applyBorder="0" applyAlignment="0" applyProtection="0"/>
    <xf numFmtId="0" fontId="12" fillId="2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2" fillId="20"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3"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5"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2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24"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5"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4" fillId="34"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6" fillId="18" borderId="13" applyNumberFormat="0" applyAlignment="0" applyProtection="0"/>
    <xf numFmtId="168"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168"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168"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168"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6" fillId="18" borderId="13"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43" fontId="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44" fontId="19" fillId="0" borderId="0" applyFont="0" applyFill="0" applyBorder="0" applyAlignment="0" applyProtection="0"/>
    <xf numFmtId="44" fontId="8"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169" fontId="21" fillId="0" borderId="0" applyFill="0" applyBorder="0" applyProtection="0">
      <alignment horizontal="right" vertical="center"/>
    </xf>
    <xf numFmtId="170" fontId="21" fillId="0" borderId="0" applyFill="0" applyBorder="0" applyProtection="0">
      <alignment horizontal="right" vertical="center"/>
    </xf>
    <xf numFmtId="171" fontId="21" fillId="0" borderId="0" applyFill="0" applyBorder="0" applyProtection="0">
      <alignment horizontal="right" vertical="center"/>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21" fillId="0" borderId="0" applyFill="0" applyBorder="0" applyProtection="0">
      <alignment vertical="center"/>
    </xf>
    <xf numFmtId="173" fontId="21" fillId="0" borderId="0" applyFill="0" applyBorder="0" applyProtection="0">
      <alignment vertical="center"/>
    </xf>
    <xf numFmtId="174" fontId="21" fillId="0" borderId="0" applyFill="0" applyBorder="0" applyProtection="0">
      <alignment vertical="center"/>
    </xf>
    <xf numFmtId="0" fontId="23" fillId="23"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4" fillId="0" borderId="0" applyNumberFormat="0" applyFill="0" applyBorder="0" applyProtection="0"/>
    <xf numFmtId="0" fontId="24" fillId="0" borderId="0" applyNumberFormat="0" applyFill="0" applyBorder="0" applyProtection="0"/>
    <xf numFmtId="0" fontId="24" fillId="0" borderId="0"/>
    <xf numFmtId="0" fontId="25" fillId="0" borderId="15" applyNumberFormat="0" applyFill="0" applyAlignment="0" applyProtection="0"/>
    <xf numFmtId="0" fontId="25" fillId="0" borderId="16" applyNumberFormat="0" applyFill="0" applyAlignment="0" applyProtection="0"/>
    <xf numFmtId="0" fontId="26" fillId="0" borderId="15" applyNumberFormat="0" applyFill="0" applyAlignment="0" applyProtection="0"/>
    <xf numFmtId="0" fontId="27" fillId="0" borderId="17" applyNumberFormat="0" applyFill="0" applyAlignment="0" applyProtection="0"/>
    <xf numFmtId="0" fontId="27" fillId="0" borderId="18" applyNumberFormat="0" applyFill="0" applyAlignment="0" applyProtection="0"/>
    <xf numFmtId="0" fontId="28" fillId="0" borderId="17" applyNumberFormat="0" applyFill="0" applyAlignment="0" applyProtection="0"/>
    <xf numFmtId="0" fontId="29" fillId="0" borderId="19" applyNumberFormat="0" applyFill="0" applyAlignment="0" applyProtection="0"/>
    <xf numFmtId="0" fontId="29" fillId="0" borderId="20" applyNumberFormat="0" applyFill="0" applyAlignment="0" applyProtection="0"/>
    <xf numFmtId="0" fontId="30" fillId="0" borderId="19"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0" borderId="0" applyNumberFormat="0" applyFill="0" applyBorder="0" applyProtection="0"/>
    <xf numFmtId="0" fontId="34" fillId="0" borderId="0" applyNumberFormat="0" applyFill="0" applyBorder="0" applyAlignment="0" applyProtection="0"/>
    <xf numFmtId="0" fontId="35" fillId="25" borderId="13" applyNumberFormat="0" applyAlignment="0" applyProtection="0"/>
    <xf numFmtId="168"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168"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168"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168"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0" fontId="35" fillId="25" borderId="13" applyNumberFormat="0" applyAlignment="0" applyProtection="0"/>
    <xf numFmtId="0" fontId="35" fillId="20" borderId="13" applyNumberFormat="0" applyAlignment="0" applyProtection="0"/>
    <xf numFmtId="0" fontId="36" fillId="0" borderId="21" applyNumberFormat="0" applyFill="0" applyAlignment="0" applyProtection="0"/>
    <xf numFmtId="0" fontId="36" fillId="0" borderId="21" applyNumberFormat="0" applyFill="0" applyAlignment="0" applyProtection="0"/>
    <xf numFmtId="0" fontId="36" fillId="0" borderId="21" applyNumberFormat="0" applyFill="0" applyAlignment="0" applyProtection="0"/>
    <xf numFmtId="175" fontId="21" fillId="0" borderId="22" applyFill="0" applyBorder="0" applyProtection="0">
      <alignment horizontal="right" vertical="center"/>
    </xf>
    <xf numFmtId="176" fontId="21" fillId="0" borderId="0" applyFill="0" applyBorder="0" applyProtection="0">
      <alignment horizontal="right" vertical="center"/>
    </xf>
    <xf numFmtId="177" fontId="21" fillId="0" borderId="0" applyFill="0" applyBorder="0" applyProtection="0">
      <alignment horizontal="right" vertical="center"/>
    </xf>
    <xf numFmtId="0" fontId="37"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8"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178" fontId="18" fillId="0" borderId="0"/>
    <xf numFmtId="178" fontId="18" fillId="0" borderId="0"/>
    <xf numFmtId="0" fontId="8" fillId="0" borderId="0"/>
    <xf numFmtId="178" fontId="18" fillId="0" borderId="0"/>
    <xf numFmtId="178" fontId="18" fillId="0" borderId="0"/>
    <xf numFmtId="178" fontId="18" fillId="0" borderId="0"/>
    <xf numFmtId="178" fontId="18" fillId="0" borderId="0"/>
    <xf numFmtId="0" fontId="8" fillId="0" borderId="0"/>
    <xf numFmtId="0" fontId="9" fillId="0" borderId="0"/>
    <xf numFmtId="0" fontId="8" fillId="0" borderId="0"/>
    <xf numFmtId="178" fontId="9" fillId="0" borderId="0"/>
    <xf numFmtId="168" fontId="9"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39" fillId="0" borderId="0"/>
    <xf numFmtId="0" fontId="9" fillId="0" borderId="0"/>
    <xf numFmtId="0" fontId="9" fillId="0" borderId="0"/>
    <xf numFmtId="0" fontId="8" fillId="0" borderId="0"/>
    <xf numFmtId="179" fontId="8" fillId="0" borderId="0"/>
    <xf numFmtId="0" fontId="11" fillId="0" borderId="0"/>
    <xf numFmtId="0" fontId="9" fillId="0" borderId="0"/>
    <xf numFmtId="0" fontId="18" fillId="0" borderId="0"/>
    <xf numFmtId="0" fontId="8" fillId="0" borderId="0"/>
    <xf numFmtId="0" fontId="40" fillId="0" borderId="0"/>
    <xf numFmtId="0" fontId="11" fillId="0" borderId="0"/>
    <xf numFmtId="0" fontId="41" fillId="0" borderId="0"/>
    <xf numFmtId="0" fontId="11" fillId="0" borderId="0"/>
    <xf numFmtId="0" fontId="9" fillId="0" borderId="0"/>
    <xf numFmtId="0" fontId="8" fillId="0" borderId="0"/>
    <xf numFmtId="0" fontId="11" fillId="0" borderId="0"/>
    <xf numFmtId="0" fontId="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xf numFmtId="0" fontId="9" fillId="25" borderId="23" applyNumberFormat="0" applyFont="0" applyAlignment="0" applyProtection="0"/>
    <xf numFmtId="168"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168"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168"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168"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0" fontId="9" fillId="25" borderId="23" applyNumberFormat="0" applyFont="0" applyAlignment="0" applyProtection="0"/>
    <xf numFmtId="0" fontId="11" fillId="5" borderId="12" applyNumberFormat="0" applyFont="0" applyAlignment="0" applyProtection="0"/>
    <xf numFmtId="0" fontId="11" fillId="5" borderId="12" applyNumberFormat="0" applyFont="0" applyAlignment="0" applyProtection="0"/>
    <xf numFmtId="0" fontId="11" fillId="5" borderId="12" applyNumberFormat="0" applyFont="0" applyAlignment="0" applyProtection="0"/>
    <xf numFmtId="0" fontId="8" fillId="22" borderId="23" applyNumberFormat="0" applyFont="0" applyAlignment="0" applyProtection="0"/>
    <xf numFmtId="0" fontId="11" fillId="5" borderId="12" applyNumberFormat="0" applyFont="0" applyAlignment="0" applyProtection="0"/>
    <xf numFmtId="0" fontId="43" fillId="18" borderId="24" applyNumberFormat="0" applyAlignment="0" applyProtection="0"/>
    <xf numFmtId="168"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168"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168"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168"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0" fontId="43" fillId="18" borderId="24" applyNumberFormat="0" applyAlignment="0" applyProtection="0"/>
    <xf numFmtId="180" fontId="21" fillId="0" borderId="0" applyFill="0" applyBorder="0" applyProtection="0">
      <alignment horizontal="right" vertical="center"/>
    </xf>
    <xf numFmtId="181" fontId="21" fillId="0" borderId="0" applyFill="0" applyBorder="0" applyProtection="0">
      <alignment vertical="center"/>
    </xf>
    <xf numFmtId="182" fontId="21" fillId="0" borderId="0" applyFill="0" applyBorder="0" applyProtection="0">
      <alignment vertical="center"/>
    </xf>
    <xf numFmtId="9" fontId="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183" fontId="21" fillId="0" borderId="0" applyFill="0" applyBorder="0" applyProtection="0">
      <alignment vertical="center"/>
    </xf>
    <xf numFmtId="184" fontId="21" fillId="0" borderId="0" applyFill="0" applyBorder="0" applyProtection="0">
      <alignment vertical="center"/>
    </xf>
    <xf numFmtId="185" fontId="21" fillId="0" borderId="0" applyFill="0" applyBorder="0" applyProtection="0">
      <alignment vertical="center"/>
    </xf>
    <xf numFmtId="0" fontId="44" fillId="0" borderId="0"/>
    <xf numFmtId="186" fontId="20" fillId="0" borderId="0" applyFont="0" applyFill="0" applyBorder="0" applyAlignment="0" applyProtection="0"/>
    <xf numFmtId="0" fontId="45" fillId="0" borderId="0" applyNumberFormat="0" applyFill="0" applyBorder="0" applyAlignment="0" applyProtection="0">
      <alignment vertical="top"/>
      <protection locked="0"/>
    </xf>
    <xf numFmtId="42" fontId="20" fillId="0" borderId="0" applyFont="0" applyFill="0" applyBorder="0" applyAlignment="0" applyProtection="0"/>
    <xf numFmtId="44" fontId="20" fillId="0" borderId="0" applyFont="0" applyFill="0" applyBorder="0" applyAlignment="0" applyProtection="0"/>
    <xf numFmtId="0" fontId="9" fillId="0" borderId="0"/>
    <xf numFmtId="0" fontId="46" fillId="0" borderId="0">
      <alignment horizontal="left" vertical="center"/>
    </xf>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Protection="0"/>
    <xf numFmtId="0" fontId="49" fillId="0" borderId="25" applyNumberFormat="0" applyFill="0" applyAlignment="0" applyProtection="0"/>
    <xf numFmtId="168"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168"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168"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168"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0" fontId="49" fillId="0" borderId="25" applyNumberFormat="0" applyFill="0" applyAlignment="0" applyProtection="0"/>
    <xf numFmtId="0" fontId="50" fillId="0" borderId="25" applyNumberFormat="0" applyFill="0" applyAlignment="0" applyProtection="0"/>
    <xf numFmtId="42" fontId="10" fillId="0" borderId="0" applyFont="0" applyFill="0" applyBorder="0" applyAlignment="0" applyProtection="0"/>
    <xf numFmtId="44" fontId="10"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9" fillId="0" borderId="0"/>
    <xf numFmtId="38" fontId="56" fillId="0" borderId="0" applyFont="0" applyFill="0" applyBorder="0" applyAlignment="0" applyProtection="0">
      <alignment vertical="center"/>
    </xf>
    <xf numFmtId="0" fontId="57" fillId="0" borderId="0"/>
    <xf numFmtId="0" fontId="57" fillId="0" borderId="0"/>
    <xf numFmtId="0" fontId="56" fillId="0" borderId="0"/>
    <xf numFmtId="0" fontId="58" fillId="0" borderId="0" applyNumberFormat="0" applyFill="0" applyBorder="0" applyAlignment="0" applyProtection="0">
      <alignment vertical="top"/>
      <protection locked="0"/>
    </xf>
    <xf numFmtId="9" fontId="7" fillId="0" borderId="0" applyFont="0" applyFill="0" applyBorder="0" applyAlignment="0" applyProtection="0"/>
    <xf numFmtId="0" fontId="60" fillId="0" borderId="0" applyNumberFormat="0" applyFill="0" applyBorder="0" applyAlignment="0" applyProtection="0"/>
    <xf numFmtId="0" fontId="61" fillId="0" borderId="26" applyNumberFormat="0" applyFill="0" applyAlignment="0" applyProtection="0"/>
    <xf numFmtId="0" fontId="62" fillId="0" borderId="27" applyNumberFormat="0" applyFill="0" applyAlignment="0" applyProtection="0"/>
    <xf numFmtId="0" fontId="63" fillId="0" borderId="28" applyNumberFormat="0" applyFill="0" applyAlignment="0" applyProtection="0"/>
    <xf numFmtId="0" fontId="63" fillId="0" borderId="0" applyNumberFormat="0" applyFill="0" applyBorder="0" applyAlignment="0" applyProtection="0"/>
    <xf numFmtId="0" fontId="64" fillId="37" borderId="0" applyNumberFormat="0" applyBorder="0" applyAlignment="0" applyProtection="0"/>
    <xf numFmtId="0" fontId="65" fillId="38" borderId="0" applyNumberFormat="0" applyBorder="0" applyAlignment="0" applyProtection="0"/>
    <xf numFmtId="0" fontId="66" fillId="39" borderId="0" applyNumberFormat="0" applyBorder="0" applyAlignment="0" applyProtection="0"/>
    <xf numFmtId="0" fontId="67" fillId="40" borderId="29" applyNumberFormat="0" applyAlignment="0" applyProtection="0"/>
    <xf numFmtId="0" fontId="68" fillId="41" borderId="30" applyNumberFormat="0" applyAlignment="0" applyProtection="0"/>
    <xf numFmtId="0" fontId="69" fillId="41" borderId="29" applyNumberFormat="0" applyAlignment="0" applyProtection="0"/>
    <xf numFmtId="0" fontId="70" fillId="0" borderId="31" applyNumberFormat="0" applyFill="0" applyAlignment="0" applyProtection="0"/>
    <xf numFmtId="0" fontId="71" fillId="42" borderId="32" applyNumberFormat="0" applyAlignment="0" applyProtection="0"/>
    <xf numFmtId="0" fontId="59" fillId="0" borderId="0" applyNumberFormat="0" applyFill="0" applyBorder="0" applyAlignment="0" applyProtection="0"/>
    <xf numFmtId="0" fontId="7" fillId="5" borderId="12" applyNumberFormat="0" applyFont="0" applyAlignment="0" applyProtection="0"/>
    <xf numFmtId="0" fontId="72" fillId="0" borderId="0" applyNumberFormat="0" applyFill="0" applyBorder="0" applyAlignment="0" applyProtection="0"/>
    <xf numFmtId="0" fontId="1" fillId="0" borderId="33" applyNumberFormat="0" applyFill="0" applyAlignment="0" applyProtection="0"/>
    <xf numFmtId="0" fontId="73" fillId="43"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3" fillId="44" borderId="0" applyNumberFormat="0" applyBorder="0" applyAlignment="0" applyProtection="0"/>
    <xf numFmtId="0" fontId="73" fillId="45"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3" fillId="46" borderId="0" applyNumberFormat="0" applyBorder="0" applyAlignment="0" applyProtection="0"/>
    <xf numFmtId="0" fontId="73" fillId="47"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3" fillId="48" borderId="0" applyNumberFormat="0" applyBorder="0" applyAlignment="0" applyProtection="0"/>
    <xf numFmtId="0" fontId="73" fillId="4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3" fillId="50" borderId="0" applyNumberFormat="0" applyBorder="0" applyAlignment="0" applyProtection="0"/>
    <xf numFmtId="0" fontId="73" fillId="5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3" fillId="52" borderId="0" applyNumberFormat="0" applyBorder="0" applyAlignment="0" applyProtection="0"/>
    <xf numFmtId="0" fontId="73" fillId="5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3" fillId="54" borderId="0" applyNumberFormat="0" applyBorder="0" applyAlignment="0" applyProtection="0"/>
    <xf numFmtId="0" fontId="7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12" fillId="0" borderId="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77" fillId="4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77" fillId="4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77" fillId="43"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6" fillId="26" borderId="13" applyNumberFormat="0" applyAlignment="0" applyProtection="0"/>
    <xf numFmtId="0" fontId="16" fillId="26" borderId="13"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0" fontId="17" fillId="35" borderId="14"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27" borderId="0" applyNumberFormat="0" applyBorder="0" applyAlignment="0" applyProtection="0"/>
    <xf numFmtId="0" fontId="23" fillId="27" borderId="0" applyNumberFormat="0" applyBorder="0" applyAlignment="0" applyProtection="0"/>
    <xf numFmtId="0" fontId="78" fillId="0" borderId="40" applyNumberFormat="0" applyFill="0" applyAlignment="0" applyProtection="0"/>
    <xf numFmtId="0" fontId="78" fillId="0" borderId="40"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80" fillId="0" borderId="27" applyNumberFormat="0" applyFill="0" applyAlignment="0" applyProtection="0"/>
    <xf numFmtId="0" fontId="81" fillId="0" borderId="41" applyNumberFormat="0" applyFill="0" applyAlignment="0" applyProtection="0"/>
    <xf numFmtId="0" fontId="81" fillId="0" borderId="41"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35" fillId="20" borderId="13" applyNumberFormat="0" applyAlignment="0" applyProtection="0"/>
    <xf numFmtId="0" fontId="35" fillId="20" borderId="13" applyNumberFormat="0" applyAlignment="0" applyProtection="0"/>
    <xf numFmtId="0" fontId="36" fillId="0" borderId="21" applyNumberFormat="0" applyFill="0" applyAlignment="0" applyProtection="0"/>
    <xf numFmtId="0" fontId="36" fillId="0" borderId="21" applyNumberFormat="0" applyFill="0" applyAlignment="0" applyProtection="0"/>
    <xf numFmtId="0" fontId="38" fillId="25" borderId="0" applyNumberFormat="0" applyBorder="0" applyAlignment="0" applyProtection="0"/>
    <xf numFmtId="0" fontId="38" fillId="25" borderId="0" applyNumberFormat="0" applyBorder="0" applyAlignment="0" applyProtection="0"/>
    <xf numFmtId="0" fontId="1" fillId="64" borderId="0">
      <alignment horizontal="center"/>
    </xf>
    <xf numFmtId="0" fontId="49" fillId="65" borderId="0">
      <alignment horizontal="center"/>
    </xf>
    <xf numFmtId="0" fontId="49" fillId="65" borderId="0">
      <alignment horizontal="center"/>
    </xf>
    <xf numFmtId="0" fontId="49" fillId="65" borderId="0">
      <alignment horizontal="center"/>
    </xf>
    <xf numFmtId="0" fontId="49" fillId="65" borderId="0">
      <alignment horizontal="center"/>
    </xf>
    <xf numFmtId="0" fontId="49" fillId="65" borderId="0">
      <alignment horizontal="center"/>
    </xf>
    <xf numFmtId="0" fontId="49" fillId="65" borderId="0">
      <alignment horizont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83" fillId="0" borderId="0"/>
    <xf numFmtId="0" fontId="10" fillId="0" borderId="0"/>
    <xf numFmtId="0" fontId="10" fillId="0" borderId="0"/>
    <xf numFmtId="0" fontId="10" fillId="0" borderId="0"/>
    <xf numFmtId="0" fontId="10" fillId="0" borderId="0"/>
    <xf numFmtId="0" fontId="10" fillId="0" borderId="0"/>
    <xf numFmtId="0" fontId="10" fillId="0" borderId="0"/>
    <xf numFmtId="0" fontId="83" fillId="0" borderId="0"/>
    <xf numFmtId="0" fontId="10" fillId="0" borderId="0"/>
    <xf numFmtId="0" fontId="10" fillId="0" borderId="0"/>
    <xf numFmtId="0" fontId="10" fillId="0" borderId="0"/>
    <xf numFmtId="0" fontId="10" fillId="0" borderId="0"/>
    <xf numFmtId="0" fontId="10" fillId="0" borderId="0"/>
    <xf numFmtId="0" fontId="10" fillId="0" borderId="0"/>
    <xf numFmtId="0" fontId="83" fillId="0" borderId="0"/>
    <xf numFmtId="0" fontId="10" fillId="0" borderId="0"/>
    <xf numFmtId="0" fontId="10" fillId="0" borderId="0"/>
    <xf numFmtId="0" fontId="10" fillId="0" borderId="0"/>
    <xf numFmtId="0" fontId="10" fillId="0" borderId="0"/>
    <xf numFmtId="0" fontId="10" fillId="0" borderId="0"/>
    <xf numFmtId="0" fontId="10" fillId="0" borderId="0"/>
    <xf numFmtId="0" fontId="83"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12" fillId="22" borderId="23" applyNumberFormat="0" applyFont="0" applyAlignment="0" applyProtection="0"/>
    <xf numFmtId="0" fontId="43" fillId="26" borderId="24" applyNumberFormat="0" applyAlignment="0" applyProtection="0"/>
    <xf numFmtId="0" fontId="43" fillId="26" borderId="24" applyNumberFormat="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49" fillId="0" borderId="42"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43" fontId="7" fillId="0" borderId="0" applyFont="0" applyFill="0" applyBorder="0" applyAlignment="0" applyProtection="0"/>
  </cellStyleXfs>
  <cellXfs count="262">
    <xf numFmtId="0" fontId="0" fillId="0" borderId="0" xfId="0"/>
    <xf numFmtId="164" fontId="0" fillId="0" borderId="0" xfId="0" applyNumberFormat="1"/>
    <xf numFmtId="0" fontId="0" fillId="2" borderId="0" xfId="0" applyFill="1"/>
    <xf numFmtId="0" fontId="0" fillId="3" borderId="0" xfId="0" applyFill="1"/>
    <xf numFmtId="0" fontId="0" fillId="3" borderId="4" xfId="0" applyFont="1" applyFill="1" applyBorder="1"/>
    <xf numFmtId="0" fontId="2" fillId="3" borderId="5" xfId="0" applyFont="1" applyFill="1" applyBorder="1"/>
    <xf numFmtId="164" fontId="0" fillId="3" borderId="5" xfId="0" applyNumberFormat="1" applyFill="1" applyBorder="1"/>
    <xf numFmtId="164" fontId="0" fillId="3" borderId="6" xfId="0" applyNumberFormat="1" applyFill="1" applyBorder="1"/>
    <xf numFmtId="0" fontId="3" fillId="4" borderId="1" xfId="0" applyFont="1" applyFill="1" applyBorder="1"/>
    <xf numFmtId="0" fontId="4" fillId="4" borderId="2" xfId="0" applyFont="1" applyFill="1" applyBorder="1"/>
    <xf numFmtId="0" fontId="5" fillId="4" borderId="2" xfId="0" applyFont="1" applyFill="1" applyBorder="1" applyAlignment="1">
      <alignment horizontal="center"/>
    </xf>
    <xf numFmtId="0" fontId="5" fillId="4" borderId="3" xfId="0" applyFont="1" applyFill="1" applyBorder="1" applyAlignment="1">
      <alignment horizontal="center"/>
    </xf>
    <xf numFmtId="0" fontId="0" fillId="3" borderId="7" xfId="0" applyFont="1" applyFill="1" applyBorder="1"/>
    <xf numFmtId="0" fontId="0" fillId="3" borderId="0" xfId="0" applyFill="1" applyBorder="1"/>
    <xf numFmtId="0" fontId="0" fillId="3" borderId="8" xfId="0" applyFill="1" applyBorder="1"/>
    <xf numFmtId="0" fontId="0" fillId="3" borderId="4" xfId="0" applyFont="1" applyFill="1" applyBorder="1" applyAlignment="1">
      <alignment horizontal="left" indent="1"/>
    </xf>
    <xf numFmtId="0" fontId="2" fillId="3" borderId="0" xfId="0" applyFont="1" applyFill="1" applyBorder="1"/>
    <xf numFmtId="165" fontId="0" fillId="3" borderId="0" xfId="0" applyNumberFormat="1" applyFill="1" applyBorder="1"/>
    <xf numFmtId="165" fontId="0" fillId="3" borderId="8" xfId="0" applyNumberFormat="1" applyFill="1" applyBorder="1"/>
    <xf numFmtId="165" fontId="0" fillId="3" borderId="5" xfId="0" applyNumberFormat="1" applyFill="1" applyBorder="1"/>
    <xf numFmtId="165" fontId="0" fillId="3" borderId="6" xfId="0" applyNumberFormat="1" applyFill="1" applyBorder="1"/>
    <xf numFmtId="0" fontId="1" fillId="3" borderId="7" xfId="0" applyFont="1" applyFill="1" applyBorder="1"/>
    <xf numFmtId="166" fontId="0" fillId="3" borderId="0" xfId="0" applyNumberFormat="1" applyFill="1" applyBorder="1"/>
    <xf numFmtId="0" fontId="0" fillId="3" borderId="7" xfId="0" applyFont="1" applyFill="1" applyBorder="1" applyAlignment="1">
      <alignment horizontal="left" indent="1"/>
    </xf>
    <xf numFmtId="166" fontId="0" fillId="3" borderId="5" xfId="0" applyNumberFormat="1" applyFill="1" applyBorder="1"/>
    <xf numFmtId="166" fontId="0" fillId="3" borderId="8" xfId="0" applyNumberFormat="1" applyFill="1" applyBorder="1"/>
    <xf numFmtId="166" fontId="0" fillId="3" borderId="6" xfId="0" applyNumberFormat="1" applyFill="1" applyBorder="1"/>
    <xf numFmtId="0" fontId="0" fillId="3" borderId="7" xfId="0" applyFont="1" applyFill="1" applyBorder="1" applyAlignment="1">
      <alignment horizontal="left" indent="2"/>
    </xf>
    <xf numFmtId="2" fontId="0" fillId="3" borderId="0" xfId="0" applyNumberFormat="1" applyFill="1" applyBorder="1"/>
    <xf numFmtId="2" fontId="0" fillId="3" borderId="8" xfId="0" applyNumberFormat="1" applyFill="1" applyBorder="1"/>
    <xf numFmtId="0" fontId="0" fillId="3" borderId="10" xfId="0" applyFont="1" applyFill="1" applyBorder="1"/>
    <xf numFmtId="0" fontId="0" fillId="3" borderId="9" xfId="0" applyFill="1" applyBorder="1"/>
    <xf numFmtId="0" fontId="0" fillId="3" borderId="11" xfId="0" applyFill="1" applyBorder="1"/>
    <xf numFmtId="0" fontId="1" fillId="3" borderId="10" xfId="0" applyFont="1" applyFill="1" applyBorder="1"/>
    <xf numFmtId="0" fontId="0" fillId="3" borderId="4" xfId="0" applyFont="1" applyFill="1" applyBorder="1" applyAlignment="1">
      <alignment horizontal="left" indent="2"/>
    </xf>
    <xf numFmtId="2" fontId="0" fillId="3" borderId="5" xfId="0" applyNumberFormat="1" applyFill="1" applyBorder="1"/>
    <xf numFmtId="2" fontId="0" fillId="3" borderId="6" xfId="0" applyNumberFormat="1" applyFill="1" applyBorder="1"/>
    <xf numFmtId="9" fontId="0" fillId="0" borderId="0" xfId="0" applyNumberFormat="1"/>
    <xf numFmtId="165" fontId="0" fillId="2" borderId="0" xfId="0" applyNumberFormat="1" applyFill="1"/>
    <xf numFmtId="0" fontId="59" fillId="2" borderId="0" xfId="0" applyFont="1" applyFill="1"/>
    <xf numFmtId="187" fontId="0" fillId="2" borderId="0" xfId="0" applyNumberFormat="1" applyFill="1"/>
    <xf numFmtId="0" fontId="0" fillId="2" borderId="0" xfId="0" applyFill="1" applyAlignment="1"/>
    <xf numFmtId="0" fontId="6" fillId="0" borderId="0" xfId="0" applyFont="1" applyAlignment="1">
      <alignment horizontal="center"/>
    </xf>
    <xf numFmtId="0" fontId="0" fillId="0" borderId="34" xfId="0" applyBorder="1"/>
    <xf numFmtId="0" fontId="0" fillId="0" borderId="35" xfId="0" applyBorder="1"/>
    <xf numFmtId="0" fontId="0" fillId="0" borderId="35" xfId="0" pivotButton="1" applyBorder="1"/>
    <xf numFmtId="0" fontId="0" fillId="0" borderId="34" xfId="0" pivotButton="1" applyBorder="1"/>
    <xf numFmtId="0" fontId="0" fillId="0" borderId="36" xfId="0" applyBorder="1"/>
    <xf numFmtId="0" fontId="0" fillId="0" borderId="37" xfId="0" applyBorder="1"/>
    <xf numFmtId="0" fontId="0" fillId="0" borderId="38" xfId="0" applyBorder="1"/>
    <xf numFmtId="0" fontId="0" fillId="0" borderId="39" xfId="0" applyBorder="1"/>
    <xf numFmtId="9" fontId="0" fillId="0" borderId="35" xfId="0" applyNumberFormat="1" applyBorder="1" applyAlignment="1">
      <alignment horizontal="left"/>
    </xf>
    <xf numFmtId="0" fontId="74" fillId="55" borderId="0" xfId="0" applyFont="1" applyFill="1"/>
    <xf numFmtId="0" fontId="75" fillId="55" borderId="0" xfId="0" applyFont="1" applyFill="1" applyAlignment="1">
      <alignment horizontal="center"/>
    </xf>
    <xf numFmtId="0" fontId="88" fillId="55" borderId="0" xfId="0" applyFont="1" applyFill="1"/>
    <xf numFmtId="0" fontId="87" fillId="55" borderId="0" xfId="0" applyFont="1" applyFill="1"/>
    <xf numFmtId="0" fontId="91" fillId="36" borderId="0" xfId="0" applyFont="1" applyFill="1"/>
    <xf numFmtId="0" fontId="89" fillId="36" borderId="0" xfId="0" applyFont="1" applyFill="1"/>
    <xf numFmtId="0" fontId="90" fillId="36" borderId="0" xfId="0" applyFont="1" applyFill="1" applyAlignment="1">
      <alignment horizontal="center"/>
    </xf>
    <xf numFmtId="0" fontId="89" fillId="36" borderId="0" xfId="0" applyFont="1" applyFill="1" applyAlignment="1">
      <alignment horizontal="left" indent="1"/>
    </xf>
    <xf numFmtId="164" fontId="89" fillId="36" borderId="0" xfId="0" applyNumberFormat="1" applyFont="1" applyFill="1"/>
    <xf numFmtId="0" fontId="88" fillId="0" borderId="0" xfId="0" applyFont="1" applyFill="1"/>
    <xf numFmtId="0" fontId="87" fillId="0" borderId="0" xfId="0" applyFont="1" applyFill="1"/>
    <xf numFmtId="0" fontId="89" fillId="2" borderId="0" xfId="0" applyFont="1" applyFill="1"/>
    <xf numFmtId="0" fontId="89" fillId="3" borderId="0" xfId="0" applyFont="1" applyFill="1"/>
    <xf numFmtId="0" fontId="92" fillId="4" borderId="1" xfId="0" applyFont="1" applyFill="1" applyBorder="1"/>
    <xf numFmtId="0" fontId="93" fillId="4" borderId="2" xfId="0" applyFont="1" applyFill="1" applyBorder="1"/>
    <xf numFmtId="0" fontId="94" fillId="4" borderId="2" xfId="0" applyFont="1" applyFill="1" applyBorder="1" applyAlignment="1">
      <alignment horizontal="center"/>
    </xf>
    <xf numFmtId="0" fontId="94" fillId="4" borderId="3" xfId="0" applyFont="1" applyFill="1" applyBorder="1" applyAlignment="1">
      <alignment horizontal="center"/>
    </xf>
    <xf numFmtId="0" fontId="89" fillId="3" borderId="4" xfId="0" applyFont="1" applyFill="1" applyBorder="1"/>
    <xf numFmtId="0" fontId="90" fillId="3" borderId="5" xfId="0" applyFont="1" applyFill="1" applyBorder="1"/>
    <xf numFmtId="0" fontId="89" fillId="55" borderId="0" xfId="0" applyFont="1" applyFill="1"/>
    <xf numFmtId="0" fontId="89" fillId="3" borderId="10" xfId="0" applyFont="1" applyFill="1" applyBorder="1"/>
    <xf numFmtId="0" fontId="89" fillId="3" borderId="9" xfId="0" applyFont="1" applyFill="1" applyBorder="1"/>
    <xf numFmtId="0" fontId="89" fillId="3" borderId="11" xfId="0" applyFont="1" applyFill="1" applyBorder="1"/>
    <xf numFmtId="0" fontId="89" fillId="3" borderId="7" xfId="0" applyFont="1" applyFill="1" applyBorder="1" applyAlignment="1">
      <alignment horizontal="left" indent="1"/>
    </xf>
    <xf numFmtId="0" fontId="89" fillId="3" borderId="0" xfId="0" applyFont="1" applyFill="1" applyBorder="1"/>
    <xf numFmtId="0" fontId="89" fillId="3" borderId="8" xfId="0" applyFont="1" applyFill="1" applyBorder="1"/>
    <xf numFmtId="0" fontId="89" fillId="3" borderId="7" xfId="0" applyFont="1" applyFill="1" applyBorder="1" applyAlignment="1">
      <alignment horizontal="left" indent="2"/>
    </xf>
    <xf numFmtId="0" fontId="90" fillId="3" borderId="0" xfId="0" applyFont="1" applyFill="1" applyBorder="1"/>
    <xf numFmtId="0" fontId="86" fillId="0" borderId="0" xfId="0" applyFont="1" applyBorder="1"/>
    <xf numFmtId="0" fontId="86" fillId="0" borderId="8" xfId="0" applyFont="1" applyBorder="1"/>
    <xf numFmtId="2" fontId="89" fillId="3" borderId="0" xfId="0" applyNumberFormat="1" applyFont="1" applyFill="1" applyBorder="1"/>
    <xf numFmtId="2" fontId="89" fillId="3" borderId="8" xfId="0" applyNumberFormat="1" applyFont="1" applyFill="1" applyBorder="1"/>
    <xf numFmtId="0" fontId="89" fillId="3" borderId="7" xfId="0" applyFont="1" applyFill="1" applyBorder="1"/>
    <xf numFmtId="0" fontId="89" fillId="36" borderId="0" xfId="0" applyFont="1" applyFill="1" applyAlignment="1">
      <alignment vertical="top" wrapText="1"/>
    </xf>
    <xf numFmtId="43" fontId="89" fillId="3" borderId="0" xfId="1336" applyFont="1" applyFill="1" applyBorder="1"/>
    <xf numFmtId="43" fontId="89" fillId="3" borderId="8" xfId="1336" applyFont="1" applyFill="1" applyBorder="1"/>
    <xf numFmtId="43" fontId="89" fillId="0" borderId="0" xfId="1336" applyFont="1" applyBorder="1"/>
    <xf numFmtId="43" fontId="89" fillId="0" borderId="8" xfId="1336" applyFont="1" applyBorder="1"/>
    <xf numFmtId="43" fontId="89" fillId="3" borderId="0" xfId="1336" applyFont="1" applyFill="1"/>
    <xf numFmtId="9" fontId="89" fillId="0" borderId="0" xfId="454" applyFont="1" applyBorder="1"/>
    <xf numFmtId="9" fontId="89" fillId="0" borderId="8" xfId="454" applyFont="1" applyBorder="1"/>
    <xf numFmtId="188" fontId="86" fillId="0" borderId="0" xfId="1336" applyNumberFormat="1" applyFont="1" applyBorder="1"/>
    <xf numFmtId="188" fontId="86" fillId="0" borderId="8" xfId="1336" applyNumberFormat="1" applyFont="1" applyBorder="1"/>
    <xf numFmtId="188" fontId="89" fillId="3" borderId="0" xfId="1336" applyNumberFormat="1" applyFont="1" applyFill="1" applyBorder="1"/>
    <xf numFmtId="188" fontId="89" fillId="3" borderId="8" xfId="1336" applyNumberFormat="1" applyFont="1" applyFill="1" applyBorder="1"/>
    <xf numFmtId="188" fontId="86" fillId="0" borderId="0" xfId="0" applyNumberFormat="1" applyFont="1" applyBorder="1"/>
    <xf numFmtId="188" fontId="86" fillId="0" borderId="8" xfId="0" applyNumberFormat="1" applyFont="1" applyBorder="1"/>
    <xf numFmtId="188" fontId="89" fillId="0" borderId="0" xfId="1336" applyNumberFormat="1" applyFont="1" applyBorder="1"/>
    <xf numFmtId="188" fontId="90" fillId="3" borderId="0" xfId="0" applyNumberFormat="1" applyFont="1" applyFill="1" applyBorder="1"/>
    <xf numFmtId="9" fontId="89" fillId="3" borderId="0" xfId="454" applyFont="1" applyFill="1" applyBorder="1"/>
    <xf numFmtId="9" fontId="89" fillId="3" borderId="8" xfId="454" applyFont="1" applyFill="1" applyBorder="1"/>
    <xf numFmtId="9" fontId="86" fillId="0" borderId="5" xfId="454" applyFont="1" applyBorder="1"/>
    <xf numFmtId="9" fontId="86" fillId="0" borderId="6" xfId="454" applyFont="1" applyBorder="1"/>
    <xf numFmtId="0" fontId="3" fillId="4" borderId="0" xfId="0" applyFont="1" applyFill="1"/>
    <xf numFmtId="0" fontId="6" fillId="3" borderId="1" xfId="0" applyFont="1" applyFill="1" applyBorder="1"/>
    <xf numFmtId="0" fontId="0" fillId="3" borderId="3" xfId="0" applyFill="1" applyBorder="1"/>
    <xf numFmtId="0" fontId="2" fillId="3" borderId="2" xfId="0" applyFont="1" applyFill="1" applyBorder="1" applyAlignment="1">
      <alignment horizontal="center"/>
    </xf>
    <xf numFmtId="0" fontId="2" fillId="3" borderId="43" xfId="0" applyFont="1" applyFill="1" applyBorder="1" applyAlignment="1">
      <alignment horizontal="center"/>
    </xf>
    <xf numFmtId="0" fontId="2" fillId="3" borderId="11" xfId="0" applyFont="1" applyFill="1" applyBorder="1"/>
    <xf numFmtId="0" fontId="0" fillId="3" borderId="7" xfId="0" applyFill="1" applyBorder="1" applyAlignment="1">
      <alignment horizontal="left" indent="1"/>
    </xf>
    <xf numFmtId="0" fontId="2" fillId="3" borderId="8" xfId="0" applyFont="1" applyFill="1" applyBorder="1"/>
    <xf numFmtId="0" fontId="0" fillId="3" borderId="4" xfId="0" applyFill="1" applyBorder="1" applyAlignment="1">
      <alignment horizontal="left" indent="1"/>
    </xf>
    <xf numFmtId="0" fontId="2" fillId="3" borderId="6" xfId="0" applyFont="1" applyFill="1" applyBorder="1"/>
    <xf numFmtId="188" fontId="0" fillId="3" borderId="44" xfId="1336" applyNumberFormat="1" applyFont="1" applyFill="1" applyBorder="1"/>
    <xf numFmtId="188" fontId="0" fillId="3" borderId="45" xfId="1336" applyNumberFormat="1" applyFont="1" applyFill="1" applyBorder="1"/>
    <xf numFmtId="188" fontId="0" fillId="3" borderId="46" xfId="1336" applyNumberFormat="1" applyFont="1" applyFill="1" applyBorder="1"/>
    <xf numFmtId="0" fontId="97" fillId="3" borderId="0" xfId="0" applyFont="1" applyFill="1"/>
    <xf numFmtId="0" fontId="0" fillId="55" borderId="0" xfId="0" applyFill="1"/>
    <xf numFmtId="0" fontId="0" fillId="55" borderId="0" xfId="0" applyFont="1" applyFill="1"/>
    <xf numFmtId="0" fontId="73" fillId="55" borderId="0" xfId="0" applyFont="1" applyFill="1"/>
    <xf numFmtId="0" fontId="71" fillId="55" borderId="0" xfId="0" applyFont="1" applyFill="1"/>
    <xf numFmtId="0" fontId="95" fillId="55" borderId="0" xfId="0" applyFont="1" applyFill="1"/>
    <xf numFmtId="0" fontId="98" fillId="55" borderId="0" xfId="0" applyFont="1" applyFill="1"/>
    <xf numFmtId="0" fontId="0" fillId="2" borderId="0" xfId="0" applyFont="1" applyFill="1"/>
    <xf numFmtId="0" fontId="0" fillId="3" borderId="0" xfId="0" applyFont="1" applyFill="1"/>
    <xf numFmtId="0" fontId="99" fillId="36" borderId="0" xfId="0" applyFont="1" applyFill="1" applyBorder="1" applyAlignment="1">
      <alignment vertical="top" wrapText="1"/>
    </xf>
    <xf numFmtId="0" fontId="0" fillId="36" borderId="0" xfId="0" applyFont="1" applyFill="1" applyAlignment="1">
      <alignment vertical="top" wrapText="1"/>
    </xf>
    <xf numFmtId="0" fontId="71" fillId="55" borderId="0" xfId="496" applyFont="1" applyFill="1"/>
    <xf numFmtId="0" fontId="41" fillId="55" borderId="0" xfId="496" applyFont="1" applyFill="1"/>
    <xf numFmtId="0" fontId="41" fillId="3" borderId="0" xfId="496" applyFont="1" applyFill="1"/>
    <xf numFmtId="0" fontId="1" fillId="36" borderId="5" xfId="496" applyFont="1" applyFill="1" applyBorder="1" applyAlignment="1">
      <alignment horizontal="left" vertical="top"/>
    </xf>
    <xf numFmtId="0" fontId="1" fillId="36" borderId="5" xfId="496" applyFont="1" applyFill="1" applyBorder="1"/>
    <xf numFmtId="0" fontId="1" fillId="36" borderId="2" xfId="496" applyFont="1" applyFill="1" applyBorder="1" applyAlignment="1">
      <alignment horizontal="left" vertical="top"/>
    </xf>
    <xf numFmtId="0" fontId="1" fillId="36" borderId="2" xfId="496" applyFont="1" applyFill="1" applyBorder="1"/>
    <xf numFmtId="0" fontId="7" fillId="36" borderId="2" xfId="496" applyFont="1" applyFill="1" applyBorder="1"/>
    <xf numFmtId="0" fontId="2" fillId="36" borderId="2" xfId="496" applyFont="1" applyFill="1" applyBorder="1"/>
    <xf numFmtId="0" fontId="7" fillId="36" borderId="5" xfId="496" applyFont="1" applyFill="1" applyBorder="1"/>
    <xf numFmtId="0" fontId="100" fillId="4" borderId="2" xfId="0" applyFont="1" applyFill="1" applyBorder="1" applyAlignment="1">
      <alignment horizontal="center"/>
    </xf>
    <xf numFmtId="0" fontId="97" fillId="3" borderId="9" xfId="0" applyFont="1" applyFill="1" applyBorder="1"/>
    <xf numFmtId="2" fontId="97" fillId="3" borderId="0" xfId="0" applyNumberFormat="1" applyFont="1" applyFill="1" applyBorder="1"/>
    <xf numFmtId="0" fontId="97" fillId="3" borderId="0" xfId="0" applyFont="1" applyFill="1" applyBorder="1"/>
    <xf numFmtId="166" fontId="97" fillId="3" borderId="5" xfId="0" applyNumberFormat="1" applyFont="1" applyFill="1" applyBorder="1"/>
    <xf numFmtId="166" fontId="97" fillId="3" borderId="0" xfId="0" applyNumberFormat="1" applyFont="1" applyFill="1" applyBorder="1"/>
    <xf numFmtId="165" fontId="97" fillId="3" borderId="0" xfId="0" applyNumberFormat="1" applyFont="1" applyFill="1" applyBorder="1"/>
    <xf numFmtId="165" fontId="97" fillId="3" borderId="5" xfId="0" applyNumberFormat="1" applyFont="1" applyFill="1" applyBorder="1"/>
    <xf numFmtId="2" fontId="97" fillId="3" borderId="5" xfId="0" applyNumberFormat="1" applyFont="1" applyFill="1" applyBorder="1"/>
    <xf numFmtId="0" fontId="97" fillId="2" borderId="0" xfId="0" applyFont="1" applyFill="1"/>
    <xf numFmtId="0" fontId="95" fillId="55" borderId="0" xfId="0" applyFont="1" applyFill="1" applyAlignment="1"/>
    <xf numFmtId="164" fontId="0" fillId="3" borderId="5" xfId="0" applyNumberFormat="1" applyFont="1" applyFill="1" applyBorder="1"/>
    <xf numFmtId="164" fontId="0" fillId="3" borderId="6" xfId="0" applyNumberFormat="1" applyFont="1" applyFill="1" applyBorder="1"/>
    <xf numFmtId="164" fontId="0" fillId="36" borderId="5" xfId="0" applyNumberFormat="1" applyFont="1" applyFill="1" applyBorder="1"/>
    <xf numFmtId="0" fontId="71" fillId="55" borderId="0" xfId="0" applyFont="1" applyFill="1" applyAlignment="1">
      <alignment horizontal="left"/>
    </xf>
    <xf numFmtId="2" fontId="96" fillId="55" borderId="0" xfId="0" applyNumberFormat="1" applyFont="1" applyFill="1" applyAlignment="1">
      <alignment horizontal="center"/>
    </xf>
    <xf numFmtId="0" fontId="89" fillId="36" borderId="0" xfId="0" applyFont="1" applyFill="1" applyAlignment="1">
      <alignment vertical="top"/>
    </xf>
    <xf numFmtId="188" fontId="89" fillId="36" borderId="0" xfId="1336" applyNumberFormat="1" applyFont="1" applyFill="1" applyAlignment="1">
      <alignment vertical="top" wrapText="1"/>
    </xf>
    <xf numFmtId="0" fontId="0" fillId="3" borderId="0" xfId="0" applyFill="1" applyAlignment="1"/>
    <xf numFmtId="0" fontId="3" fillId="4" borderId="0" xfId="0" applyFont="1" applyFill="1" applyBorder="1"/>
    <xf numFmtId="0" fontId="101" fillId="3" borderId="0" xfId="0" applyFont="1" applyFill="1"/>
    <xf numFmtId="9" fontId="97" fillId="3" borderId="0" xfId="454" applyFont="1" applyFill="1" applyBorder="1"/>
    <xf numFmtId="9" fontId="0" fillId="3" borderId="5" xfId="454" applyFont="1" applyFill="1" applyBorder="1"/>
    <xf numFmtId="0" fontId="0" fillId="3" borderId="4" xfId="0" applyFill="1" applyBorder="1"/>
    <xf numFmtId="9" fontId="0" fillId="3" borderId="6" xfId="454" applyFont="1" applyFill="1" applyBorder="1"/>
    <xf numFmtId="0" fontId="89" fillId="2" borderId="0" xfId="0" applyFont="1" applyFill="1" applyAlignment="1"/>
    <xf numFmtId="9" fontId="96" fillId="0" borderId="0" xfId="454" applyFont="1" applyBorder="1"/>
    <xf numFmtId="9" fontId="96" fillId="0" borderId="8" xfId="454" applyFont="1" applyBorder="1"/>
    <xf numFmtId="9" fontId="96" fillId="0" borderId="5" xfId="454" applyFont="1" applyBorder="1"/>
    <xf numFmtId="9" fontId="96" fillId="0" borderId="6" xfId="454" applyFont="1" applyBorder="1"/>
    <xf numFmtId="0" fontId="0" fillId="3" borderId="0" xfId="0" applyFill="1" applyProtection="1">
      <protection locked="0"/>
    </xf>
    <xf numFmtId="9" fontId="0" fillId="3" borderId="0" xfId="0" applyNumberFormat="1" applyFill="1" applyProtection="1">
      <protection locked="0"/>
    </xf>
    <xf numFmtId="0" fontId="0" fillId="66" borderId="0" xfId="0" applyFill="1"/>
    <xf numFmtId="0" fontId="0" fillId="66" borderId="0" xfId="0" applyFill="1" applyAlignment="1">
      <alignment horizontal="left"/>
    </xf>
    <xf numFmtId="0" fontId="0" fillId="66" borderId="10" xfId="0" applyFill="1" applyBorder="1"/>
    <xf numFmtId="0" fontId="0" fillId="66" borderId="4" xfId="0" applyFill="1" applyBorder="1"/>
    <xf numFmtId="0" fontId="102" fillId="4" borderId="2" xfId="0" applyFont="1" applyFill="1" applyBorder="1" applyAlignment="1">
      <alignment horizontal="left"/>
    </xf>
    <xf numFmtId="0" fontId="0" fillId="66" borderId="7" xfId="0" applyFill="1" applyBorder="1"/>
    <xf numFmtId="164" fontId="0" fillId="66" borderId="1" xfId="0" applyNumberFormat="1" applyFill="1" applyBorder="1"/>
    <xf numFmtId="0" fontId="2" fillId="66" borderId="5" xfId="0" applyFont="1" applyFill="1" applyBorder="1"/>
    <xf numFmtId="164" fontId="2" fillId="66" borderId="2" xfId="0" applyNumberFormat="1" applyFont="1" applyFill="1" applyBorder="1"/>
    <xf numFmtId="189" fontId="0" fillId="66" borderId="5" xfId="0" applyNumberFormat="1" applyFill="1" applyBorder="1"/>
    <xf numFmtId="189" fontId="0" fillId="66" borderId="6" xfId="0" applyNumberFormat="1" applyFill="1" applyBorder="1"/>
    <xf numFmtId="189" fontId="0" fillId="66" borderId="0" xfId="0" applyNumberFormat="1" applyFill="1"/>
    <xf numFmtId="189" fontId="0" fillId="66" borderId="9" xfId="0" applyNumberFormat="1" applyFill="1" applyBorder="1"/>
    <xf numFmtId="189" fontId="0" fillId="66" borderId="11" xfId="0" applyNumberFormat="1" applyFill="1" applyBorder="1"/>
    <xf numFmtId="189" fontId="0" fillId="66" borderId="0" xfId="0" applyNumberFormat="1" applyFill="1" applyBorder="1"/>
    <xf numFmtId="189" fontId="0" fillId="66" borderId="8" xfId="0" applyNumberFormat="1" applyFill="1" applyBorder="1"/>
    <xf numFmtId="189" fontId="0" fillId="66" borderId="2" xfId="0" applyNumberFormat="1" applyFill="1" applyBorder="1"/>
    <xf numFmtId="189" fontId="0" fillId="66" borderId="3" xfId="0" applyNumberFormat="1" applyFill="1" applyBorder="1"/>
    <xf numFmtId="0" fontId="2" fillId="66" borderId="9" xfId="0" applyFont="1" applyFill="1" applyBorder="1"/>
    <xf numFmtId="0" fontId="2" fillId="66" borderId="0" xfId="0" applyFont="1" applyFill="1" applyBorder="1"/>
    <xf numFmtId="0" fontId="1" fillId="66" borderId="0" xfId="0" applyFont="1" applyFill="1"/>
    <xf numFmtId="0" fontId="73" fillId="55" borderId="0" xfId="0" applyFont="1" applyFill="1" applyProtection="1">
      <protection locked="0"/>
    </xf>
    <xf numFmtId="0" fontId="0" fillId="2" borderId="0" xfId="0" applyFill="1" applyProtection="1">
      <protection locked="0"/>
    </xf>
    <xf numFmtId="0" fontId="0" fillId="2" borderId="0" xfId="0" applyFill="1" applyAlignment="1" applyProtection="1">
      <alignment vertical="top" wrapText="1"/>
      <protection locked="0"/>
    </xf>
    <xf numFmtId="189" fontId="0" fillId="2" borderId="0" xfId="0" applyNumberFormat="1" applyFill="1" applyProtection="1">
      <protection locked="0"/>
    </xf>
    <xf numFmtId="190" fontId="0" fillId="3" borderId="0" xfId="0" applyNumberFormat="1" applyFill="1" applyBorder="1"/>
    <xf numFmtId="190" fontId="0" fillId="3" borderId="5" xfId="0" applyNumberFormat="1" applyFill="1" applyBorder="1"/>
    <xf numFmtId="0" fontId="96" fillId="36" borderId="2" xfId="496" applyFont="1" applyFill="1" applyBorder="1"/>
    <xf numFmtId="0" fontId="95" fillId="0" borderId="0" xfId="0" applyFont="1" applyFill="1"/>
    <xf numFmtId="166" fontId="97" fillId="55" borderId="0" xfId="0" applyNumberFormat="1" applyFont="1" applyFill="1" applyBorder="1"/>
    <xf numFmtId="166" fontId="0" fillId="3" borderId="0" xfId="0" applyNumberFormat="1" applyFont="1" applyFill="1" applyBorder="1"/>
    <xf numFmtId="166" fontId="0" fillId="3" borderId="8" xfId="0" applyNumberFormat="1" applyFont="1" applyFill="1" applyBorder="1"/>
    <xf numFmtId="1" fontId="97" fillId="55" borderId="0" xfId="0" applyNumberFormat="1" applyFont="1" applyFill="1" applyBorder="1"/>
    <xf numFmtId="1" fontId="0" fillId="0" borderId="0" xfId="0" applyNumberFormat="1" applyFont="1" applyBorder="1"/>
    <xf numFmtId="1" fontId="0" fillId="0" borderId="8" xfId="0" applyNumberFormat="1" applyFont="1" applyBorder="1"/>
    <xf numFmtId="1" fontId="97" fillId="0" borderId="0" xfId="0" applyNumberFormat="1" applyFont="1" applyBorder="1"/>
    <xf numFmtId="0" fontId="0" fillId="3" borderId="0" xfId="0" applyFont="1" applyFill="1" applyBorder="1"/>
    <xf numFmtId="0" fontId="0" fillId="3" borderId="8" xfId="0" applyFont="1" applyFill="1" applyBorder="1"/>
    <xf numFmtId="166" fontId="97" fillId="55" borderId="5" xfId="0" applyNumberFormat="1" applyFont="1" applyFill="1" applyBorder="1"/>
    <xf numFmtId="166" fontId="0" fillId="3" borderId="5" xfId="0" applyNumberFormat="1" applyFont="1" applyFill="1" applyBorder="1"/>
    <xf numFmtId="166" fontId="0" fillId="3" borderId="6" xfId="0" applyNumberFormat="1" applyFont="1" applyFill="1" applyBorder="1"/>
    <xf numFmtId="165" fontId="97" fillId="55" borderId="0" xfId="0" applyNumberFormat="1" applyFont="1" applyFill="1" applyBorder="1"/>
    <xf numFmtId="165" fontId="0" fillId="3" borderId="0" xfId="0" applyNumberFormat="1" applyFont="1" applyFill="1" applyBorder="1"/>
    <xf numFmtId="165" fontId="0" fillId="3" borderId="8" xfId="0" applyNumberFormat="1" applyFont="1" applyFill="1" applyBorder="1"/>
    <xf numFmtId="165" fontId="97" fillId="55" borderId="5" xfId="0" applyNumberFormat="1" applyFont="1" applyFill="1" applyBorder="1"/>
    <xf numFmtId="165" fontId="0" fillId="3" borderId="5" xfId="0" applyNumberFormat="1" applyFont="1" applyFill="1" applyBorder="1"/>
    <xf numFmtId="165" fontId="0" fillId="3" borderId="6" xfId="0" applyNumberFormat="1" applyFont="1" applyFill="1" applyBorder="1"/>
    <xf numFmtId="0" fontId="71" fillId="55" borderId="0" xfId="0" applyFont="1" applyFill="1" applyBorder="1"/>
    <xf numFmtId="0" fontId="0" fillId="55" borderId="0" xfId="0" applyFont="1" applyFill="1" applyBorder="1"/>
    <xf numFmtId="0" fontId="99" fillId="55" borderId="0" xfId="0" applyFont="1" applyFill="1" applyBorder="1" applyAlignment="1">
      <alignment horizontal="center"/>
    </xf>
    <xf numFmtId="164" fontId="0" fillId="3" borderId="45" xfId="0" applyNumberFormat="1" applyFill="1" applyBorder="1"/>
    <xf numFmtId="164" fontId="0" fillId="3" borderId="46" xfId="0" applyNumberFormat="1" applyFill="1" applyBorder="1"/>
    <xf numFmtId="188" fontId="0" fillId="3" borderId="9" xfId="1336" applyNumberFormat="1" applyFont="1" applyFill="1" applyBorder="1"/>
    <xf numFmtId="188" fontId="0" fillId="3" borderId="0" xfId="1336" applyNumberFormat="1" applyFont="1" applyFill="1" applyBorder="1"/>
    <xf numFmtId="188" fontId="0" fillId="3" borderId="5" xfId="1336" applyNumberFormat="1" applyFont="1" applyFill="1" applyBorder="1"/>
    <xf numFmtId="0" fontId="0" fillId="0" borderId="47" xfId="0" applyBorder="1"/>
    <xf numFmtId="0" fontId="0" fillId="0" borderId="48" xfId="0" applyBorder="1"/>
    <xf numFmtId="0" fontId="0" fillId="0" borderId="50" xfId="0" applyBorder="1"/>
    <xf numFmtId="0" fontId="0" fillId="0" borderId="52" xfId="0" applyBorder="1"/>
    <xf numFmtId="9" fontId="96" fillId="0" borderId="0" xfId="454" applyFont="1" applyBorder="1"/>
    <xf numFmtId="9" fontId="96" fillId="0" borderId="8" xfId="454" applyFont="1" applyBorder="1"/>
    <xf numFmtId="166" fontId="0" fillId="0" borderId="47" xfId="0" applyNumberFormat="1" applyBorder="1"/>
    <xf numFmtId="166" fontId="0" fillId="0" borderId="49" xfId="0" applyNumberFormat="1" applyBorder="1"/>
    <xf numFmtId="166" fontId="0" fillId="0" borderId="34" xfId="0" applyNumberFormat="1" applyBorder="1"/>
    <xf numFmtId="166" fontId="0" fillId="0" borderId="38" xfId="0" applyNumberFormat="1" applyBorder="1"/>
    <xf numFmtId="166" fontId="0" fillId="0" borderId="39" xfId="0" applyNumberFormat="1" applyBorder="1"/>
    <xf numFmtId="166" fontId="0" fillId="0" borderId="50" xfId="0" applyNumberFormat="1" applyBorder="1"/>
    <xf numFmtId="166" fontId="0" fillId="0" borderId="0" xfId="0" applyNumberFormat="1"/>
    <xf numFmtId="166" fontId="0" fillId="0" borderId="51" xfId="0" applyNumberFormat="1" applyBorder="1"/>
    <xf numFmtId="166" fontId="0" fillId="0" borderId="53" xfId="0" applyNumberFormat="1" applyBorder="1"/>
    <xf numFmtId="0" fontId="96" fillId="36" borderId="2" xfId="496" applyFont="1" applyFill="1" applyBorder="1" applyAlignment="1">
      <alignment horizontal="left" vertical="top" wrapText="1"/>
    </xf>
    <xf numFmtId="0" fontId="96" fillId="36" borderId="0" xfId="496" applyFont="1" applyFill="1" applyAlignment="1">
      <alignment horizontal="left" vertical="top" wrapText="1"/>
    </xf>
    <xf numFmtId="0" fontId="96" fillId="36" borderId="5" xfId="496" applyFont="1" applyFill="1" applyBorder="1" applyAlignment="1">
      <alignment horizontal="left" vertical="top" wrapText="1"/>
    </xf>
    <xf numFmtId="0" fontId="96" fillId="36" borderId="9" xfId="496" applyFont="1" applyFill="1" applyBorder="1" applyAlignment="1">
      <alignment horizontal="left" vertical="top" wrapText="1"/>
    </xf>
    <xf numFmtId="0" fontId="0" fillId="36" borderId="2" xfId="496" applyFont="1" applyFill="1" applyBorder="1" applyAlignment="1">
      <alignment horizontal="left" vertical="top" wrapText="1"/>
    </xf>
    <xf numFmtId="0" fontId="7" fillId="36" borderId="2" xfId="496" applyFont="1" applyFill="1" applyBorder="1" applyAlignment="1">
      <alignment horizontal="left" vertical="top" wrapText="1"/>
    </xf>
    <xf numFmtId="0" fontId="96" fillId="36" borderId="9" xfId="496" applyFont="1" applyFill="1" applyBorder="1" applyAlignment="1">
      <alignment vertical="center" wrapText="1"/>
    </xf>
    <xf numFmtId="0" fontId="96" fillId="36" borderId="0" xfId="496" applyFont="1" applyFill="1" applyBorder="1" applyAlignment="1">
      <alignment vertical="center" wrapText="1"/>
    </xf>
    <xf numFmtId="0" fontId="96" fillId="36" borderId="5" xfId="496" applyFont="1" applyFill="1" applyBorder="1" applyAlignment="1">
      <alignment vertical="center" wrapText="1"/>
    </xf>
    <xf numFmtId="0" fontId="1" fillId="36" borderId="9" xfId="496" applyFont="1" applyFill="1" applyBorder="1" applyAlignment="1">
      <alignment horizontal="left" vertical="top"/>
    </xf>
    <xf numFmtId="0" fontId="1" fillId="36" borderId="5" xfId="496" applyFont="1" applyFill="1" applyBorder="1" applyAlignment="1">
      <alignment horizontal="left" vertical="top"/>
    </xf>
    <xf numFmtId="0" fontId="0" fillId="2" borderId="0" xfId="0" applyFill="1" applyAlignment="1">
      <alignment horizontal="left" vertical="top" wrapText="1"/>
    </xf>
    <xf numFmtId="0" fontId="0" fillId="36" borderId="0" xfId="0" applyFont="1" applyFill="1" applyBorder="1" applyAlignment="1">
      <alignment horizontal="left" vertical="top" wrapText="1"/>
    </xf>
    <xf numFmtId="0" fontId="95" fillId="55" borderId="0" xfId="0" applyFont="1" applyFill="1" applyAlignment="1">
      <alignment horizontal="left"/>
    </xf>
    <xf numFmtId="0" fontId="0" fillId="2" borderId="0" xfId="0" applyFont="1" applyFill="1" applyAlignment="1">
      <alignment horizontal="left" vertical="top" wrapText="1"/>
    </xf>
    <xf numFmtId="0" fontId="0" fillId="36" borderId="0" xfId="0" applyFont="1" applyFill="1" applyAlignment="1">
      <alignment horizontal="left" vertical="top" wrapText="1"/>
    </xf>
    <xf numFmtId="0" fontId="71" fillId="55" borderId="0" xfId="0" applyFont="1" applyFill="1" applyAlignment="1">
      <alignment horizontal="left" vertical="center"/>
    </xf>
    <xf numFmtId="0" fontId="96" fillId="36" borderId="0" xfId="0" applyFont="1" applyFill="1" applyAlignment="1">
      <alignment horizontal="left" vertical="top" wrapText="1"/>
    </xf>
    <xf numFmtId="0" fontId="89" fillId="36" borderId="0" xfId="0" applyFont="1" applyFill="1" applyAlignment="1">
      <alignment horizontal="left" vertical="top" wrapText="1"/>
    </xf>
    <xf numFmtId="0" fontId="89" fillId="36" borderId="0" xfId="0" applyFont="1" applyFill="1" applyAlignment="1">
      <alignment horizontal="left" vertical="top"/>
    </xf>
    <xf numFmtId="0" fontId="89" fillId="36" borderId="0" xfId="0" quotePrefix="1" applyFont="1" applyFill="1" applyAlignment="1">
      <alignment horizontal="left" vertical="top"/>
    </xf>
  </cellXfs>
  <cellStyles count="1337">
    <cellStyle name="_x0013_" xfId="497"/>
    <cellStyle name="_x0013_ 10" xfId="498"/>
    <cellStyle name="_x0013_ 100" xfId="499"/>
    <cellStyle name="_x0013_ 101" xfId="500"/>
    <cellStyle name="_x0013_ 102" xfId="501"/>
    <cellStyle name="_x0013_ 103" xfId="502"/>
    <cellStyle name="_x0013_ 104" xfId="503"/>
    <cellStyle name="_x0013_ 105" xfId="504"/>
    <cellStyle name="_x0013_ 106" xfId="505"/>
    <cellStyle name="_x0013_ 107" xfId="506"/>
    <cellStyle name="_x0013_ 108" xfId="507"/>
    <cellStyle name="_x0013_ 109" xfId="508"/>
    <cellStyle name="_x0013_ 11" xfId="509"/>
    <cellStyle name="_x0013_ 110" xfId="510"/>
    <cellStyle name="_x0013_ 110 2" xfId="511"/>
    <cellStyle name="_x0013_ 111" xfId="512"/>
    <cellStyle name="_x0013_ 112" xfId="513"/>
    <cellStyle name="_x0013_ 113" xfId="514"/>
    <cellStyle name="_x0013_ 114" xfId="515"/>
    <cellStyle name="_x0013_ 12" xfId="516"/>
    <cellStyle name="_x0013_ 13" xfId="517"/>
    <cellStyle name="_x0013_ 14" xfId="518"/>
    <cellStyle name="_x0013_ 15" xfId="519"/>
    <cellStyle name="_x0013_ 16" xfId="520"/>
    <cellStyle name="_x0013_ 17" xfId="521"/>
    <cellStyle name="_x0013_ 18" xfId="522"/>
    <cellStyle name="_x0013_ 19" xfId="523"/>
    <cellStyle name="_x0013_ 2" xfId="524"/>
    <cellStyle name="_x0013_ 20" xfId="525"/>
    <cellStyle name="_x0013_ 21" xfId="526"/>
    <cellStyle name="_x0013_ 22" xfId="527"/>
    <cellStyle name="_x0013_ 23" xfId="528"/>
    <cellStyle name="_x0013_ 24" xfId="529"/>
    <cellStyle name="_x0013_ 25" xfId="530"/>
    <cellStyle name="_x0013_ 26" xfId="531"/>
    <cellStyle name="_x0013_ 27" xfId="532"/>
    <cellStyle name="_x0013_ 28" xfId="533"/>
    <cellStyle name="_x0013_ 29" xfId="534"/>
    <cellStyle name="_x0013_ 3" xfId="535"/>
    <cellStyle name="_x0013_ 30" xfId="536"/>
    <cellStyle name="_x0013_ 31" xfId="537"/>
    <cellStyle name="_x0013_ 32" xfId="538"/>
    <cellStyle name="_x0013_ 33" xfId="539"/>
    <cellStyle name="_x0013_ 34" xfId="540"/>
    <cellStyle name="_x0013_ 35" xfId="541"/>
    <cellStyle name="_x0013_ 36" xfId="542"/>
    <cellStyle name="_x0013_ 37" xfId="543"/>
    <cellStyle name="_x0013_ 38" xfId="544"/>
    <cellStyle name="_x0013_ 39" xfId="545"/>
    <cellStyle name="_x0013_ 4" xfId="546"/>
    <cellStyle name="_x0013_ 40" xfId="547"/>
    <cellStyle name="_x0013_ 41" xfId="548"/>
    <cellStyle name="_x0013_ 42" xfId="549"/>
    <cellStyle name="_x0013_ 43" xfId="550"/>
    <cellStyle name="_x0013_ 44" xfId="551"/>
    <cellStyle name="_x0013_ 45" xfId="552"/>
    <cellStyle name="_x0013_ 46" xfId="553"/>
    <cellStyle name="_x0013_ 47" xfId="554"/>
    <cellStyle name="_x0013_ 48" xfId="555"/>
    <cellStyle name="_x0013_ 49" xfId="556"/>
    <cellStyle name="_x0013_ 5" xfId="557"/>
    <cellStyle name="_x0013_ 50" xfId="558"/>
    <cellStyle name="_x0013_ 51" xfId="559"/>
    <cellStyle name="_x0013_ 52" xfId="560"/>
    <cellStyle name="_x0013_ 53" xfId="561"/>
    <cellStyle name="_x0013_ 54" xfId="562"/>
    <cellStyle name="_x0013_ 55" xfId="563"/>
    <cellStyle name="_x0013_ 56" xfId="564"/>
    <cellStyle name="_x0013_ 57" xfId="565"/>
    <cellStyle name="_x0013_ 58" xfId="566"/>
    <cellStyle name="_x0013_ 59" xfId="567"/>
    <cellStyle name="_x0013_ 6" xfId="568"/>
    <cellStyle name="_x0013_ 60" xfId="569"/>
    <cellStyle name="_x0013_ 61" xfId="570"/>
    <cellStyle name="_x0013_ 62" xfId="571"/>
    <cellStyle name="_x0013_ 63" xfId="572"/>
    <cellStyle name="_x0013_ 64" xfId="573"/>
    <cellStyle name="_x0013_ 65" xfId="574"/>
    <cellStyle name="_x0013_ 66" xfId="575"/>
    <cellStyle name="_x0013_ 67" xfId="576"/>
    <cellStyle name="_x0013_ 68" xfId="577"/>
    <cellStyle name="_x0013_ 69" xfId="578"/>
    <cellStyle name="_x0013_ 7" xfId="579"/>
    <cellStyle name="_x0013_ 70" xfId="580"/>
    <cellStyle name="_x0013_ 71" xfId="581"/>
    <cellStyle name="_x0013_ 72" xfId="582"/>
    <cellStyle name="_x0013_ 73" xfId="583"/>
    <cellStyle name="_x0013_ 74" xfId="584"/>
    <cellStyle name="_x0013_ 75" xfId="585"/>
    <cellStyle name="_x0013_ 76" xfId="586"/>
    <cellStyle name="_x0013_ 77" xfId="587"/>
    <cellStyle name="_x0013_ 78" xfId="588"/>
    <cellStyle name="_x0013_ 79" xfId="589"/>
    <cellStyle name="_x0013_ 8" xfId="590"/>
    <cellStyle name="_x0013_ 80" xfId="591"/>
    <cellStyle name="_x0013_ 81" xfId="592"/>
    <cellStyle name="_x0013_ 82" xfId="593"/>
    <cellStyle name="_x0013_ 83" xfId="594"/>
    <cellStyle name="_x0013_ 84" xfId="595"/>
    <cellStyle name="_x0013_ 85" xfId="596"/>
    <cellStyle name="_x0013_ 86" xfId="597"/>
    <cellStyle name="_x0013_ 87" xfId="598"/>
    <cellStyle name="_x0013_ 88" xfId="599"/>
    <cellStyle name="_x0013_ 89" xfId="600"/>
    <cellStyle name="_x0013_ 9" xfId="601"/>
    <cellStyle name="_x0013_ 90" xfId="602"/>
    <cellStyle name="_x0013_ 91" xfId="603"/>
    <cellStyle name="_x0013_ 92" xfId="604"/>
    <cellStyle name="_x0013_ 93" xfId="605"/>
    <cellStyle name="_x0013_ 94" xfId="606"/>
    <cellStyle name="_x0013_ 95" xfId="607"/>
    <cellStyle name="_x0013_ 96" xfId="608"/>
    <cellStyle name="_x0013_ 97" xfId="609"/>
    <cellStyle name="_x0013_ 98" xfId="610"/>
    <cellStyle name="_x0013_ 99" xfId="611"/>
    <cellStyle name="%" xfId="1"/>
    <cellStyle name="% 2" xfId="2"/>
    <cellStyle name="%_STB10_E_Europe" xfId="3"/>
    <cellStyle name="%_STB10_W_Europe" xfId="4"/>
    <cellStyle name="%_STB10_W_Europe 2" xfId="5"/>
    <cellStyle name="_x0013__BCEPS_Markups_2010.02.02" xfId="612"/>
    <cellStyle name="_Europe" xfId="6"/>
    <cellStyle name="_x0013__Handoff Document 02-02-2010" xfId="613"/>
    <cellStyle name="_x0013__Handoff Document 02-03-2010" xfId="614"/>
    <cellStyle name="20% - Accent1" xfId="473" builtinId="30" customBuiltin="1"/>
    <cellStyle name="20% - Accent1 2" xfId="7"/>
    <cellStyle name="20% - Accent1 2 2" xfId="8"/>
    <cellStyle name="20% - Accent1 2 3" xfId="9"/>
    <cellStyle name="20% - Accent1 2 4" xfId="10"/>
    <cellStyle name="20% - Accent1 2 5" xfId="615"/>
    <cellStyle name="20% - Accent1 2 6" xfId="616"/>
    <cellStyle name="20% - Accent1 2_Handoff Document 3.12.2010_IT_MRJ" xfId="617"/>
    <cellStyle name="20% - Accent1 3" xfId="11"/>
    <cellStyle name="20% - Accent1 3 2" xfId="12"/>
    <cellStyle name="20% - Accent1 3 3" xfId="618"/>
    <cellStyle name="20% - Accent1 3 4" xfId="619"/>
    <cellStyle name="20% - Accent1 3 5" xfId="620"/>
    <cellStyle name="20% - Accent1 3 6" xfId="621"/>
    <cellStyle name="20% - Accent1 3_Handoff Document 3.12.2010_IT_MRJ" xfId="622"/>
    <cellStyle name="20% - Accent1 4" xfId="13"/>
    <cellStyle name="20% - Accent1 4 2" xfId="14"/>
    <cellStyle name="20% - Accent1 4 3" xfId="623"/>
    <cellStyle name="20% - Accent1 4 4" xfId="624"/>
    <cellStyle name="20% - Accent1 4 5" xfId="625"/>
    <cellStyle name="20% - Accent1 4 6" xfId="626"/>
    <cellStyle name="20% - Accent1 4_Handoff Document 3.12.2010_IT_MRJ" xfId="627"/>
    <cellStyle name="20% - Accent1 5" xfId="15"/>
    <cellStyle name="20% - Accent1 5 2" xfId="16"/>
    <cellStyle name="20% - Accent1 5 3" xfId="628"/>
    <cellStyle name="20% - Accent1 5 4" xfId="629"/>
    <cellStyle name="20% - Accent1 5 5" xfId="630"/>
    <cellStyle name="20% - Accent1 5 6" xfId="631"/>
    <cellStyle name="20% - Accent1 5_Handoff Document 3.12.2010_IT_MRJ" xfId="632"/>
    <cellStyle name="20% - Accent1 6" xfId="17"/>
    <cellStyle name="20% - Accent1 7" xfId="18"/>
    <cellStyle name="20% - Accent1 8" xfId="19"/>
    <cellStyle name="20% - Accent2" xfId="477" builtinId="34" customBuiltin="1"/>
    <cellStyle name="20% - Accent2 2" xfId="20"/>
    <cellStyle name="20% - Accent2 2 2" xfId="21"/>
    <cellStyle name="20% - Accent2 2 3" xfId="22"/>
    <cellStyle name="20% - Accent2 2 4" xfId="23"/>
    <cellStyle name="20% - Accent2 2 5" xfId="633"/>
    <cellStyle name="20% - Accent2 2 6" xfId="634"/>
    <cellStyle name="20% - Accent2 2_Handoff Document 3.12.2010_IT_MRJ" xfId="635"/>
    <cellStyle name="20% - Accent2 3" xfId="24"/>
    <cellStyle name="20% - Accent2 3 2" xfId="25"/>
    <cellStyle name="20% - Accent2 3 3" xfId="636"/>
    <cellStyle name="20% - Accent2 3 4" xfId="637"/>
    <cellStyle name="20% - Accent2 3 5" xfId="638"/>
    <cellStyle name="20% - Accent2 3 6" xfId="639"/>
    <cellStyle name="20% - Accent2 3_Handoff Document 3.12.2010_IT_MRJ" xfId="640"/>
    <cellStyle name="20% - Accent2 4" xfId="26"/>
    <cellStyle name="20% - Accent2 4 2" xfId="27"/>
    <cellStyle name="20% - Accent2 4 3" xfId="641"/>
    <cellStyle name="20% - Accent2 4 4" xfId="642"/>
    <cellStyle name="20% - Accent2 4 5" xfId="643"/>
    <cellStyle name="20% - Accent2 4 6" xfId="644"/>
    <cellStyle name="20% - Accent2 4_Handoff Document 3.12.2010_IT_MRJ" xfId="645"/>
    <cellStyle name="20% - Accent2 5" xfId="28"/>
    <cellStyle name="20% - Accent2 5 2" xfId="29"/>
    <cellStyle name="20% - Accent2 5 3" xfId="646"/>
    <cellStyle name="20% - Accent2 5 4" xfId="647"/>
    <cellStyle name="20% - Accent2 5 5" xfId="648"/>
    <cellStyle name="20% - Accent2 5 6" xfId="649"/>
    <cellStyle name="20% - Accent2 5_Handoff Document 3.12.2010_IT_MRJ" xfId="650"/>
    <cellStyle name="20% - Accent2 6" xfId="30"/>
    <cellStyle name="20% - Accent2 7" xfId="31"/>
    <cellStyle name="20% - Accent2 8" xfId="32"/>
    <cellStyle name="20% - Accent3" xfId="481" builtinId="38" customBuiltin="1"/>
    <cellStyle name="20% - Accent3 2" xfId="33"/>
    <cellStyle name="20% - Accent3 2 2" xfId="34"/>
    <cellStyle name="20% - Accent3 2 3" xfId="35"/>
    <cellStyle name="20% - Accent3 2 4" xfId="36"/>
    <cellStyle name="20% - Accent3 2 5" xfId="651"/>
    <cellStyle name="20% - Accent3 2 6" xfId="652"/>
    <cellStyle name="20% - Accent3 2_Handoff Document 3.12.2010_IT_MRJ" xfId="653"/>
    <cellStyle name="20% - Accent3 3" xfId="37"/>
    <cellStyle name="20% - Accent3 3 2" xfId="38"/>
    <cellStyle name="20% - Accent3 3 3" xfId="654"/>
    <cellStyle name="20% - Accent3 3 4" xfId="655"/>
    <cellStyle name="20% - Accent3 3 5" xfId="656"/>
    <cellStyle name="20% - Accent3 3 6" xfId="657"/>
    <cellStyle name="20% - Accent3 3_Handoff Document 3.12.2010_IT_MRJ" xfId="658"/>
    <cellStyle name="20% - Accent3 4" xfId="39"/>
    <cellStyle name="20% - Accent3 4 2" xfId="40"/>
    <cellStyle name="20% - Accent3 4 3" xfId="659"/>
    <cellStyle name="20% - Accent3 4 4" xfId="660"/>
    <cellStyle name="20% - Accent3 4 5" xfId="661"/>
    <cellStyle name="20% - Accent3 4 6" xfId="662"/>
    <cellStyle name="20% - Accent3 4_Handoff Document 3.12.2010_IT_MRJ" xfId="663"/>
    <cellStyle name="20% - Accent3 5" xfId="41"/>
    <cellStyle name="20% - Accent3 5 2" xfId="42"/>
    <cellStyle name="20% - Accent3 5 3" xfId="664"/>
    <cellStyle name="20% - Accent3 5 4" xfId="665"/>
    <cellStyle name="20% - Accent3 5 5" xfId="666"/>
    <cellStyle name="20% - Accent3 5 6" xfId="667"/>
    <cellStyle name="20% - Accent3 5_Handoff Document 3.12.2010_IT_MRJ" xfId="668"/>
    <cellStyle name="20% - Accent3 6" xfId="43"/>
    <cellStyle name="20% - Accent3 7" xfId="44"/>
    <cellStyle name="20% - Accent3 8" xfId="45"/>
    <cellStyle name="20% - Accent4" xfId="485" builtinId="42" customBuiltin="1"/>
    <cellStyle name="20% - Accent4 2" xfId="46"/>
    <cellStyle name="20% - Accent4 2 2" xfId="47"/>
    <cellStyle name="20% - Accent4 2 3" xfId="48"/>
    <cellStyle name="20% - Accent4 2 4" xfId="49"/>
    <cellStyle name="20% - Accent4 2 5" xfId="669"/>
    <cellStyle name="20% - Accent4 2 6" xfId="670"/>
    <cellStyle name="20% - Accent4 2_Handoff Document 3.12.2010_IT_MRJ" xfId="671"/>
    <cellStyle name="20% - Accent4 3" xfId="50"/>
    <cellStyle name="20% - Accent4 3 2" xfId="51"/>
    <cellStyle name="20% - Accent4 3 3" xfId="672"/>
    <cellStyle name="20% - Accent4 3 4" xfId="673"/>
    <cellStyle name="20% - Accent4 3 5" xfId="674"/>
    <cellStyle name="20% - Accent4 3 6" xfId="675"/>
    <cellStyle name="20% - Accent4 3_Handoff Document 3.12.2010_IT_MRJ" xfId="676"/>
    <cellStyle name="20% - Accent4 4" xfId="52"/>
    <cellStyle name="20% - Accent4 4 2" xfId="53"/>
    <cellStyle name="20% - Accent4 4 3" xfId="677"/>
    <cellStyle name="20% - Accent4 4 4" xfId="678"/>
    <cellStyle name="20% - Accent4 4 5" xfId="679"/>
    <cellStyle name="20% - Accent4 4 6" xfId="680"/>
    <cellStyle name="20% - Accent4 4_Handoff Document 3.12.2010_IT_MRJ" xfId="681"/>
    <cellStyle name="20% - Accent4 5" xfId="54"/>
    <cellStyle name="20% - Accent4 5 2" xfId="55"/>
    <cellStyle name="20% - Accent4 5 3" xfId="682"/>
    <cellStyle name="20% - Accent4 5 4" xfId="683"/>
    <cellStyle name="20% - Accent4 5 5" xfId="684"/>
    <cellStyle name="20% - Accent4 5 6" xfId="685"/>
    <cellStyle name="20% - Accent4 5_Handoff Document 3.12.2010_IT_MRJ" xfId="686"/>
    <cellStyle name="20% - Accent4 6" xfId="56"/>
    <cellStyle name="20% - Accent4 7" xfId="57"/>
    <cellStyle name="20% - Accent4 8" xfId="58"/>
    <cellStyle name="20% - Accent5" xfId="489" builtinId="46" customBuiltin="1"/>
    <cellStyle name="20% - Accent5 2" xfId="59"/>
    <cellStyle name="20% - Accent5 2 2" xfId="60"/>
    <cellStyle name="20% - Accent5 2 3" xfId="61"/>
    <cellStyle name="20% - Accent5 2 4" xfId="62"/>
    <cellStyle name="20% - Accent5 2 5" xfId="687"/>
    <cellStyle name="20% - Accent5 2 6" xfId="688"/>
    <cellStyle name="20% - Accent5 2_Handoff Document 3.12.2010_IT_MRJ" xfId="689"/>
    <cellStyle name="20% - Accent5 3" xfId="63"/>
    <cellStyle name="20% - Accent5 3 2" xfId="64"/>
    <cellStyle name="20% - Accent5 3 3" xfId="690"/>
    <cellStyle name="20% - Accent5 3 4" xfId="691"/>
    <cellStyle name="20% - Accent5 3 5" xfId="692"/>
    <cellStyle name="20% - Accent5 3 6" xfId="693"/>
    <cellStyle name="20% - Accent5 3_Handoff Document 3.12.2010_IT_MRJ" xfId="694"/>
    <cellStyle name="20% - Accent5 4" xfId="65"/>
    <cellStyle name="20% - Accent5 4 2" xfId="66"/>
    <cellStyle name="20% - Accent5 4 3" xfId="695"/>
    <cellStyle name="20% - Accent5 4 4" xfId="696"/>
    <cellStyle name="20% - Accent5 4 5" xfId="697"/>
    <cellStyle name="20% - Accent5 4 6" xfId="698"/>
    <cellStyle name="20% - Accent5 4_Handoff Document 3.12.2010_IT_MRJ" xfId="699"/>
    <cellStyle name="20% - Accent5 5" xfId="67"/>
    <cellStyle name="20% - Accent5 5 2" xfId="68"/>
    <cellStyle name="20% - Accent5 5 3" xfId="700"/>
    <cellStyle name="20% - Accent5 5 4" xfId="701"/>
    <cellStyle name="20% - Accent5 5 5" xfId="702"/>
    <cellStyle name="20% - Accent5 5 6" xfId="703"/>
    <cellStyle name="20% - Accent5 5_Handoff Document 3.12.2010_IT_MRJ" xfId="704"/>
    <cellStyle name="20% - Accent5 6" xfId="69"/>
    <cellStyle name="20% - Accent5 7" xfId="70"/>
    <cellStyle name="20% - Accent5 8" xfId="71"/>
    <cellStyle name="20% - Accent6" xfId="493" builtinId="50" customBuiltin="1"/>
    <cellStyle name="20% - Accent6 2" xfId="72"/>
    <cellStyle name="20% - Accent6 2 2" xfId="73"/>
    <cellStyle name="20% - Accent6 2 3" xfId="74"/>
    <cellStyle name="20% - Accent6 2 4" xfId="75"/>
    <cellStyle name="20% - Accent6 2 5" xfId="705"/>
    <cellStyle name="20% - Accent6 2 6" xfId="706"/>
    <cellStyle name="20% - Accent6 2_Handoff Document 3.12.2010_IT_MRJ" xfId="707"/>
    <cellStyle name="20% - Accent6 3" xfId="76"/>
    <cellStyle name="20% - Accent6 3 2" xfId="77"/>
    <cellStyle name="20% - Accent6 3 3" xfId="708"/>
    <cellStyle name="20% - Accent6 3 4" xfId="709"/>
    <cellStyle name="20% - Accent6 3 5" xfId="710"/>
    <cellStyle name="20% - Accent6 3 6" xfId="711"/>
    <cellStyle name="20% - Accent6 3_Handoff Document 3.12.2010_IT_MRJ" xfId="712"/>
    <cellStyle name="20% - Accent6 4" xfId="78"/>
    <cellStyle name="20% - Accent6 4 2" xfId="79"/>
    <cellStyle name="20% - Accent6 4 3" xfId="713"/>
    <cellStyle name="20% - Accent6 4 4" xfId="714"/>
    <cellStyle name="20% - Accent6 4 5" xfId="715"/>
    <cellStyle name="20% - Accent6 4 6" xfId="716"/>
    <cellStyle name="20% - Accent6 4_Handoff Document 3.12.2010_IT_MRJ" xfId="717"/>
    <cellStyle name="20% - Accent6 5" xfId="80"/>
    <cellStyle name="20% - Accent6 5 2" xfId="81"/>
    <cellStyle name="20% - Accent6 5 3" xfId="718"/>
    <cellStyle name="20% - Accent6 5 4" xfId="719"/>
    <cellStyle name="20% - Accent6 5 5" xfId="720"/>
    <cellStyle name="20% - Accent6 5 6" xfId="721"/>
    <cellStyle name="20% - Accent6 5_Handoff Document 3.12.2010_IT_MRJ" xfId="722"/>
    <cellStyle name="20% - Accent6 6" xfId="82"/>
    <cellStyle name="20% - Accent6 7" xfId="83"/>
    <cellStyle name="20% - Accent6 8" xfId="84"/>
    <cellStyle name="40% - Accent1" xfId="474" builtinId="31" customBuiltin="1"/>
    <cellStyle name="40% - Accent1 2" xfId="85"/>
    <cellStyle name="40% - Accent1 2 2" xfId="86"/>
    <cellStyle name="40% - Accent1 2 3" xfId="87"/>
    <cellStyle name="40% - Accent1 2 4" xfId="88"/>
    <cellStyle name="40% - Accent1 2 5" xfId="723"/>
    <cellStyle name="40% - Accent1 2 6" xfId="724"/>
    <cellStyle name="40% - Accent1 2_Handoff Document 3.12.2010_IT_MRJ" xfId="725"/>
    <cellStyle name="40% - Accent1 3" xfId="89"/>
    <cellStyle name="40% - Accent1 3 2" xfId="90"/>
    <cellStyle name="40% - Accent1 3 3" xfId="726"/>
    <cellStyle name="40% - Accent1 3 4" xfId="727"/>
    <cellStyle name="40% - Accent1 3 5" xfId="728"/>
    <cellStyle name="40% - Accent1 3 6" xfId="729"/>
    <cellStyle name="40% - Accent1 3_Handoff Document 3.12.2010_IT_MRJ" xfId="730"/>
    <cellStyle name="40% - Accent1 4" xfId="91"/>
    <cellStyle name="40% - Accent1 4 2" xfId="92"/>
    <cellStyle name="40% - Accent1 4 3" xfId="731"/>
    <cellStyle name="40% - Accent1 4 4" xfId="732"/>
    <cellStyle name="40% - Accent1 4 5" xfId="733"/>
    <cellStyle name="40% - Accent1 4 6" xfId="734"/>
    <cellStyle name="40% - Accent1 4_Handoff Document 3.12.2010_IT_MRJ" xfId="735"/>
    <cellStyle name="40% - Accent1 5" xfId="93"/>
    <cellStyle name="40% - Accent1 5 2" xfId="94"/>
    <cellStyle name="40% - Accent1 5 3" xfId="736"/>
    <cellStyle name="40% - Accent1 5 4" xfId="737"/>
    <cellStyle name="40% - Accent1 5 5" xfId="738"/>
    <cellStyle name="40% - Accent1 5 6" xfId="739"/>
    <cellStyle name="40% - Accent1 5_Handoff Document 3.12.2010_IT_MRJ" xfId="740"/>
    <cellStyle name="40% - Accent1 6" xfId="95"/>
    <cellStyle name="40% - Accent1 7" xfId="96"/>
    <cellStyle name="40% - Accent1 8" xfId="97"/>
    <cellStyle name="40% - Accent2" xfId="478" builtinId="35" customBuiltin="1"/>
    <cellStyle name="40% - Accent2 2" xfId="98"/>
    <cellStyle name="40% - Accent2 2 2" xfId="99"/>
    <cellStyle name="40% - Accent2 2 3" xfId="100"/>
    <cellStyle name="40% - Accent2 2 4" xfId="101"/>
    <cellStyle name="40% - Accent2 2 5" xfId="741"/>
    <cellStyle name="40% - Accent2 2 6" xfId="742"/>
    <cellStyle name="40% - Accent2 2_Handoff Document 3.12.2010_IT_MRJ" xfId="743"/>
    <cellStyle name="40% - Accent2 3" xfId="102"/>
    <cellStyle name="40% - Accent2 3 2" xfId="103"/>
    <cellStyle name="40% - Accent2 3 3" xfId="744"/>
    <cellStyle name="40% - Accent2 3 4" xfId="745"/>
    <cellStyle name="40% - Accent2 3 5" xfId="746"/>
    <cellStyle name="40% - Accent2 3 6" xfId="747"/>
    <cellStyle name="40% - Accent2 3_Handoff Document 3.12.2010_IT_MRJ" xfId="748"/>
    <cellStyle name="40% - Accent2 4" xfId="104"/>
    <cellStyle name="40% - Accent2 4 2" xfId="105"/>
    <cellStyle name="40% - Accent2 4 3" xfId="749"/>
    <cellStyle name="40% - Accent2 4 4" xfId="750"/>
    <cellStyle name="40% - Accent2 4 5" xfId="751"/>
    <cellStyle name="40% - Accent2 4 6" xfId="752"/>
    <cellStyle name="40% - Accent2 4_Handoff Document 3.12.2010_IT_MRJ" xfId="753"/>
    <cellStyle name="40% - Accent2 5" xfId="106"/>
    <cellStyle name="40% - Accent2 5 2" xfId="107"/>
    <cellStyle name="40% - Accent2 5 3" xfId="754"/>
    <cellStyle name="40% - Accent2 5 4" xfId="755"/>
    <cellStyle name="40% - Accent2 5 5" xfId="756"/>
    <cellStyle name="40% - Accent2 5 6" xfId="757"/>
    <cellStyle name="40% - Accent2 5_Handoff Document 3.12.2010_IT_MRJ" xfId="758"/>
    <cellStyle name="40% - Accent2 6" xfId="108"/>
    <cellStyle name="40% - Accent2 7" xfId="109"/>
    <cellStyle name="40% - Accent2 8" xfId="110"/>
    <cellStyle name="40% - Accent3" xfId="482" builtinId="39" customBuiltin="1"/>
    <cellStyle name="40% - Accent3 2" xfId="111"/>
    <cellStyle name="40% - Accent3 2 2" xfId="112"/>
    <cellStyle name="40% - Accent3 2 3" xfId="113"/>
    <cellStyle name="40% - Accent3 2 4" xfId="114"/>
    <cellStyle name="40% - Accent3 2 5" xfId="759"/>
    <cellStyle name="40% - Accent3 2 6" xfId="760"/>
    <cellStyle name="40% - Accent3 2_Handoff Document 3.12.2010_IT_MRJ" xfId="761"/>
    <cellStyle name="40% - Accent3 3" xfId="115"/>
    <cellStyle name="40% - Accent3 3 2" xfId="116"/>
    <cellStyle name="40% - Accent3 3 3" xfId="762"/>
    <cellStyle name="40% - Accent3 3 4" xfId="763"/>
    <cellStyle name="40% - Accent3 3 5" xfId="764"/>
    <cellStyle name="40% - Accent3 3 6" xfId="765"/>
    <cellStyle name="40% - Accent3 3_Handoff Document 3.12.2010_IT_MRJ" xfId="766"/>
    <cellStyle name="40% - Accent3 4" xfId="117"/>
    <cellStyle name="40% - Accent3 4 2" xfId="118"/>
    <cellStyle name="40% - Accent3 4 3" xfId="767"/>
    <cellStyle name="40% - Accent3 4 4" xfId="768"/>
    <cellStyle name="40% - Accent3 4 5" xfId="769"/>
    <cellStyle name="40% - Accent3 4 6" xfId="770"/>
    <cellStyle name="40% - Accent3 4_Handoff Document 3.12.2010_IT_MRJ" xfId="771"/>
    <cellStyle name="40% - Accent3 5" xfId="119"/>
    <cellStyle name="40% - Accent3 5 2" xfId="120"/>
    <cellStyle name="40% - Accent3 5 3" xfId="772"/>
    <cellStyle name="40% - Accent3 5 4" xfId="773"/>
    <cellStyle name="40% - Accent3 5 5" xfId="774"/>
    <cellStyle name="40% - Accent3 5 6" xfId="775"/>
    <cellStyle name="40% - Accent3 5_Handoff Document 3.12.2010_IT_MRJ" xfId="776"/>
    <cellStyle name="40% - Accent3 6" xfId="121"/>
    <cellStyle name="40% - Accent3 7" xfId="122"/>
    <cellStyle name="40% - Accent3 8" xfId="123"/>
    <cellStyle name="40% - Accent4" xfId="486" builtinId="43" customBuiltin="1"/>
    <cellStyle name="40% - Accent4 10" xfId="777"/>
    <cellStyle name="40% - Accent4 2" xfId="124"/>
    <cellStyle name="40% - Accent4 2 2" xfId="125"/>
    <cellStyle name="40% - Accent4 2 3" xfId="126"/>
    <cellStyle name="40% - Accent4 2 4" xfId="127"/>
    <cellStyle name="40% - Accent4 2 5" xfId="778"/>
    <cellStyle name="40% - Accent4 2 6" xfId="779"/>
    <cellStyle name="40% - Accent4 2_Handoff Document 3.12.2010_IT_MRJ" xfId="780"/>
    <cellStyle name="40% - Accent4 3" xfId="128"/>
    <cellStyle name="40% - Accent4 3 2" xfId="129"/>
    <cellStyle name="40% - Accent4 3 3" xfId="781"/>
    <cellStyle name="40% - Accent4 3 4" xfId="782"/>
    <cellStyle name="40% - Accent4 3 5" xfId="783"/>
    <cellStyle name="40% - Accent4 3 6" xfId="784"/>
    <cellStyle name="40% - Accent4 3_Handoff Document 3.12.2010_IT_MRJ" xfId="785"/>
    <cellStyle name="40% - Accent4 4" xfId="130"/>
    <cellStyle name="40% - Accent4 4 2" xfId="131"/>
    <cellStyle name="40% - Accent4 4 3" xfId="786"/>
    <cellStyle name="40% - Accent4 4 4" xfId="787"/>
    <cellStyle name="40% - Accent4 4 5" xfId="788"/>
    <cellStyle name="40% - Accent4 4 6" xfId="789"/>
    <cellStyle name="40% - Accent4 4_Handoff Document 3.12.2010_IT_MRJ" xfId="790"/>
    <cellStyle name="40% - Accent4 5" xfId="132"/>
    <cellStyle name="40% - Accent4 5 2" xfId="133"/>
    <cellStyle name="40% - Accent4 5 3" xfId="791"/>
    <cellStyle name="40% - Accent4 5 4" xfId="792"/>
    <cellStyle name="40% - Accent4 5 5" xfId="793"/>
    <cellStyle name="40% - Accent4 5 6" xfId="794"/>
    <cellStyle name="40% - Accent4 5_Handoff Document 3.12.2010_IT_MRJ" xfId="795"/>
    <cellStyle name="40% - Accent4 6" xfId="134"/>
    <cellStyle name="40% - Accent4 7" xfId="135"/>
    <cellStyle name="40% - Accent4 8" xfId="136"/>
    <cellStyle name="40% - Accent4 9" xfId="796"/>
    <cellStyle name="40% - Accent5" xfId="490" builtinId="47" customBuiltin="1"/>
    <cellStyle name="40% - Accent5 2" xfId="137"/>
    <cellStyle name="40% - Accent5 2 2" xfId="138"/>
    <cellStyle name="40% - Accent5 2 3" xfId="139"/>
    <cellStyle name="40% - Accent5 2 4" xfId="140"/>
    <cellStyle name="40% - Accent5 2 5" xfId="797"/>
    <cellStyle name="40% - Accent5 2 6" xfId="798"/>
    <cellStyle name="40% - Accent5 2_Handoff Document 3.12.2010_IT_MRJ" xfId="799"/>
    <cellStyle name="40% - Accent5 3" xfId="141"/>
    <cellStyle name="40% - Accent5 3 2" xfId="142"/>
    <cellStyle name="40% - Accent5 3 3" xfId="800"/>
    <cellStyle name="40% - Accent5 3 4" xfId="801"/>
    <cellStyle name="40% - Accent5 3 5" xfId="802"/>
    <cellStyle name="40% - Accent5 3 6" xfId="803"/>
    <cellStyle name="40% - Accent5 3_Handoff Document 3.12.2010_IT_MRJ" xfId="804"/>
    <cellStyle name="40% - Accent5 4" xfId="143"/>
    <cellStyle name="40% - Accent5 4 2" xfId="144"/>
    <cellStyle name="40% - Accent5 4 3" xfId="805"/>
    <cellStyle name="40% - Accent5 4 4" xfId="806"/>
    <cellStyle name="40% - Accent5 4 5" xfId="807"/>
    <cellStyle name="40% - Accent5 4 6" xfId="808"/>
    <cellStyle name="40% - Accent5 4_Handoff Document 3.12.2010_IT_MRJ" xfId="809"/>
    <cellStyle name="40% - Accent5 5" xfId="145"/>
    <cellStyle name="40% - Accent5 5 2" xfId="146"/>
    <cellStyle name="40% - Accent5 5 3" xfId="810"/>
    <cellStyle name="40% - Accent5 5 4" xfId="811"/>
    <cellStyle name="40% - Accent5 5 5" xfId="812"/>
    <cellStyle name="40% - Accent5 5 6" xfId="813"/>
    <cellStyle name="40% - Accent5 5_Handoff Document 3.12.2010_IT_MRJ" xfId="814"/>
    <cellStyle name="40% - Accent5 6" xfId="147"/>
    <cellStyle name="40% - Accent5 7" xfId="148"/>
    <cellStyle name="40% - Accent5 8" xfId="149"/>
    <cellStyle name="40% - Accent6" xfId="494" builtinId="51" customBuiltin="1"/>
    <cellStyle name="40% - Accent6 2" xfId="150"/>
    <cellStyle name="40% - Accent6 2 2" xfId="151"/>
    <cellStyle name="40% - Accent6 2 3" xfId="152"/>
    <cellStyle name="40% - Accent6 2 4" xfId="153"/>
    <cellStyle name="40% - Accent6 2 5" xfId="815"/>
    <cellStyle name="40% - Accent6 2 6" xfId="816"/>
    <cellStyle name="40% - Accent6 2_Handoff Document 3.12.2010_IT_MRJ" xfId="817"/>
    <cellStyle name="40% - Accent6 3" xfId="154"/>
    <cellStyle name="40% - Accent6 3 2" xfId="155"/>
    <cellStyle name="40% - Accent6 3 3" xfId="818"/>
    <cellStyle name="40% - Accent6 3 4" xfId="819"/>
    <cellStyle name="40% - Accent6 3 5" xfId="820"/>
    <cellStyle name="40% - Accent6 3 6" xfId="821"/>
    <cellStyle name="40% - Accent6 3_Handoff Document 3.12.2010_IT_MRJ" xfId="822"/>
    <cellStyle name="40% - Accent6 4" xfId="156"/>
    <cellStyle name="40% - Accent6 4 2" xfId="157"/>
    <cellStyle name="40% - Accent6 4 3" xfId="823"/>
    <cellStyle name="40% - Accent6 4 4" xfId="824"/>
    <cellStyle name="40% - Accent6 4 5" xfId="825"/>
    <cellStyle name="40% - Accent6 4 6" xfId="826"/>
    <cellStyle name="40% - Accent6 4_Handoff Document 3.12.2010_IT_MRJ" xfId="827"/>
    <cellStyle name="40% - Accent6 5" xfId="158"/>
    <cellStyle name="40% - Accent6 5 2" xfId="159"/>
    <cellStyle name="40% - Accent6 5 3" xfId="828"/>
    <cellStyle name="40% - Accent6 5 4" xfId="829"/>
    <cellStyle name="40% - Accent6 5 5" xfId="830"/>
    <cellStyle name="40% - Accent6 5 6" xfId="831"/>
    <cellStyle name="40% - Accent6 5_Handoff Document 3.12.2010_IT_MRJ" xfId="832"/>
    <cellStyle name="40% - Accent6 6" xfId="160"/>
    <cellStyle name="40% - Accent6 7" xfId="161"/>
    <cellStyle name="40% - Accent6 8" xfId="162"/>
    <cellStyle name="60% - Accent1" xfId="475" builtinId="32" customBuiltin="1"/>
    <cellStyle name="60% - Accent1 2" xfId="163"/>
    <cellStyle name="60% - Accent1 2 2" xfId="164"/>
    <cellStyle name="60% - Accent1 3" xfId="165"/>
    <cellStyle name="60% - Accent1 4" xfId="833"/>
    <cellStyle name="60% - Accent1 5" xfId="834"/>
    <cellStyle name="60% - Accent1 6" xfId="835"/>
    <cellStyle name="60% - Accent2" xfId="479" builtinId="36" customBuiltin="1"/>
    <cellStyle name="60% - Accent2 2" xfId="166"/>
    <cellStyle name="60% - Accent2 2 2" xfId="167"/>
    <cellStyle name="60% - Accent2 3" xfId="168"/>
    <cellStyle name="60% - Accent2 4" xfId="836"/>
    <cellStyle name="60% - Accent2 5" xfId="837"/>
    <cellStyle name="60% - Accent3" xfId="483" builtinId="40" customBuiltin="1"/>
    <cellStyle name="60% - Accent3 2" xfId="169"/>
    <cellStyle name="60% - Accent3 2 2" xfId="170"/>
    <cellStyle name="60% - Accent3 3" xfId="171"/>
    <cellStyle name="60% - Accent3 4" xfId="838"/>
    <cellStyle name="60% - Accent3 5" xfId="839"/>
    <cellStyle name="60% - Accent3 6" xfId="840"/>
    <cellStyle name="60% - Accent4" xfId="487" builtinId="44" customBuiltin="1"/>
    <cellStyle name="60% - Accent4 2" xfId="172"/>
    <cellStyle name="60% - Accent4 2 2" xfId="173"/>
    <cellStyle name="60% - Accent4 3" xfId="174"/>
    <cellStyle name="60% - Accent4 4" xfId="841"/>
    <cellStyle name="60% - Accent4 5" xfId="842"/>
    <cellStyle name="60% - Accent5" xfId="491" builtinId="48" customBuiltin="1"/>
    <cellStyle name="60% - Accent5 2" xfId="175"/>
    <cellStyle name="60% - Accent5 2 2" xfId="176"/>
    <cellStyle name="60% - Accent5 3" xfId="177"/>
    <cellStyle name="60% - Accent5 4" xfId="843"/>
    <cellStyle name="60% - Accent5 5" xfId="844"/>
    <cellStyle name="60% - Accent6" xfId="495" builtinId="52" customBuiltin="1"/>
    <cellStyle name="60% - Accent6 2" xfId="178"/>
    <cellStyle name="60% - Accent6 2 2" xfId="179"/>
    <cellStyle name="60% - Accent6 3" xfId="180"/>
    <cellStyle name="60% - Accent6 4" xfId="845"/>
    <cellStyle name="60% - Accent6 5" xfId="846"/>
    <cellStyle name="Accent1" xfId="472" builtinId="29" customBuiltin="1"/>
    <cellStyle name="Accent1 2" xfId="181"/>
    <cellStyle name="Accent1 2 2" xfId="182"/>
    <cellStyle name="Accent1 3" xfId="183"/>
    <cellStyle name="Accent1 4" xfId="847"/>
    <cellStyle name="Accent1 5" xfId="848"/>
    <cellStyle name="Accent1 6" xfId="849"/>
    <cellStyle name="Accent2" xfId="476" builtinId="33" customBuiltin="1"/>
    <cellStyle name="Accent2 2" xfId="184"/>
    <cellStyle name="Accent2 2 2" xfId="185"/>
    <cellStyle name="Accent2 3" xfId="186"/>
    <cellStyle name="Accent2 4" xfId="850"/>
    <cellStyle name="Accent2 5" xfId="851"/>
    <cellStyle name="Accent3" xfId="480" builtinId="37" customBuiltin="1"/>
    <cellStyle name="Accent3 2" xfId="187"/>
    <cellStyle name="Accent3 2 2" xfId="188"/>
    <cellStyle name="Accent3 3" xfId="189"/>
    <cellStyle name="Accent3 4" xfId="852"/>
    <cellStyle name="Accent3 5" xfId="853"/>
    <cellStyle name="Accent4" xfId="484" builtinId="41" customBuiltin="1"/>
    <cellStyle name="Accent4 2" xfId="190"/>
    <cellStyle name="Accent4 2 2" xfId="191"/>
    <cellStyle name="Accent4 3" xfId="192"/>
    <cellStyle name="Accent4 4" xfId="854"/>
    <cellStyle name="Accent4 5" xfId="855"/>
    <cellStyle name="Accent5" xfId="488" builtinId="45" customBuiltin="1"/>
    <cellStyle name="Accent5 2" xfId="193"/>
    <cellStyle name="Accent5 2 2" xfId="194"/>
    <cellStyle name="Accent5 3" xfId="195"/>
    <cellStyle name="Accent5 4" xfId="856"/>
    <cellStyle name="Accent5 5" xfId="857"/>
    <cellStyle name="Accent6" xfId="492" builtinId="49" customBuiltin="1"/>
    <cellStyle name="Accent6 2" xfId="196"/>
    <cellStyle name="Accent6 2 2" xfId="197"/>
    <cellStyle name="Accent6 3" xfId="198"/>
    <cellStyle name="Accent6 4" xfId="858"/>
    <cellStyle name="Accent6 5" xfId="859"/>
    <cellStyle name="Bad" xfId="461" builtinId="27" customBuiltin="1"/>
    <cellStyle name="Bad 2" xfId="199"/>
    <cellStyle name="Bad 2 2" xfId="200"/>
    <cellStyle name="Bad 3" xfId="201"/>
    <cellStyle name="Bad 4" xfId="860"/>
    <cellStyle name="Bad 5" xfId="861"/>
    <cellStyle name="Calculation" xfId="465" builtinId="22" customBuiltin="1"/>
    <cellStyle name="Calculation 2" xfId="202"/>
    <cellStyle name="Calculation 2 2" xfId="203"/>
    <cellStyle name="Calculation 2 2 2" xfId="204"/>
    <cellStyle name="Calculation 2 2 3" xfId="205"/>
    <cellStyle name="Calculation 2 2 4" xfId="206"/>
    <cellStyle name="Calculation 2 3" xfId="207"/>
    <cellStyle name="Calculation 2 3 2" xfId="208"/>
    <cellStyle name="Calculation 2 3 3" xfId="209"/>
    <cellStyle name="Calculation 2 3 4" xfId="210"/>
    <cellStyle name="Calculation 2 4" xfId="211"/>
    <cellStyle name="Calculation 2 4 2" xfId="212"/>
    <cellStyle name="Calculation 2 4 3" xfId="213"/>
    <cellStyle name="Calculation 2 4 4" xfId="214"/>
    <cellStyle name="Calculation 2 5" xfId="215"/>
    <cellStyle name="Calculation 2 5 2" xfId="216"/>
    <cellStyle name="Calculation 2 5 3" xfId="217"/>
    <cellStyle name="Calculation 2 5 4" xfId="218"/>
    <cellStyle name="Calculation 3" xfId="219"/>
    <cellStyle name="Calculation 4" xfId="862"/>
    <cellStyle name="Calculation 5" xfId="863"/>
    <cellStyle name="Check Cell" xfId="467" builtinId="23" customBuiltin="1"/>
    <cellStyle name="Check Cell 2" xfId="220"/>
    <cellStyle name="Check Cell 2 2" xfId="221"/>
    <cellStyle name="Check Cell 2 3" xfId="864"/>
    <cellStyle name="Check Cell 2 4" xfId="865"/>
    <cellStyle name="Check Cell 2 5" xfId="866"/>
    <cellStyle name="Check Cell 2 6" xfId="867"/>
    <cellStyle name="Check Cell 2_Handoff Document 3.12.2010_IT_MRJ" xfId="868"/>
    <cellStyle name="Check Cell 3" xfId="222"/>
    <cellStyle name="Check Cell 3 2" xfId="869"/>
    <cellStyle name="Check Cell 3 3" xfId="870"/>
    <cellStyle name="Check Cell 3 4" xfId="871"/>
    <cellStyle name="Check Cell 3 5" xfId="872"/>
    <cellStyle name="Check Cell 3 6" xfId="873"/>
    <cellStyle name="Check Cell 3_Handoff Document 3.12.2010_IT_MRJ" xfId="874"/>
    <cellStyle name="Check Cell 4" xfId="875"/>
    <cellStyle name="Check Cell 4 2" xfId="876"/>
    <cellStyle name="Check Cell 4 3" xfId="877"/>
    <cellStyle name="Check Cell 4 4" xfId="878"/>
    <cellStyle name="Check Cell 4 5" xfId="879"/>
    <cellStyle name="Check Cell 4 6" xfId="880"/>
    <cellStyle name="Check Cell 4_Handoff Document 3.12.2010_IT_MRJ" xfId="881"/>
    <cellStyle name="Check Cell 5" xfId="882"/>
    <cellStyle name="Check Cell 5 2" xfId="883"/>
    <cellStyle name="Check Cell 5 3" xfId="884"/>
    <cellStyle name="Check Cell 5 4" xfId="885"/>
    <cellStyle name="Check Cell 5 5" xfId="886"/>
    <cellStyle name="Check Cell 5 6" xfId="887"/>
    <cellStyle name="Check Cell 5_Handoff Document 3.12.2010_IT_MRJ" xfId="888"/>
    <cellStyle name="Comma" xfId="1336" builtinId="3"/>
    <cellStyle name="Comma 10" xfId="889"/>
    <cellStyle name="Comma 10 2" xfId="890"/>
    <cellStyle name="Comma 2" xfId="223"/>
    <cellStyle name="Comma 2 2" xfId="224"/>
    <cellStyle name="Comma 3" xfId="225"/>
    <cellStyle name="Comma 3 2" xfId="226"/>
    <cellStyle name="Comma 4" xfId="227"/>
    <cellStyle name="Comma 5" xfId="228"/>
    <cellStyle name="Comma 6" xfId="229"/>
    <cellStyle name="Comma 7" xfId="230"/>
    <cellStyle name="Currency 2" xfId="231"/>
    <cellStyle name="Currency 2 10" xfId="891"/>
    <cellStyle name="Currency 2 11" xfId="892"/>
    <cellStyle name="Currency 2 12" xfId="893"/>
    <cellStyle name="Currency 2 2" xfId="232"/>
    <cellStyle name="Currency 2 3" xfId="894"/>
    <cellStyle name="Currency 2 4" xfId="895"/>
    <cellStyle name="Currency 2 5" xfId="896"/>
    <cellStyle name="Currency 2 6" xfId="897"/>
    <cellStyle name="Currency 2 7" xfId="898"/>
    <cellStyle name="Currency 2 8" xfId="899"/>
    <cellStyle name="Currency 2 9" xfId="900"/>
    <cellStyle name="Currency 3" xfId="233"/>
    <cellStyle name="Currency 4" xfId="234"/>
    <cellStyle name="Dezimal [0]_DATEN" xfId="235"/>
    <cellStyle name="Dezimal_DATEN" xfId="236"/>
    <cellStyle name="e0" xfId="237"/>
    <cellStyle name="e1" xfId="238"/>
    <cellStyle name="e2" xfId="239"/>
    <cellStyle name="Explanatory Text" xfId="470" builtinId="53" customBuiltin="1"/>
    <cellStyle name="Explanatory Text 2" xfId="240"/>
    <cellStyle name="Explanatory Text 2 2" xfId="241"/>
    <cellStyle name="Explanatory Text 3" xfId="242"/>
    <cellStyle name="Explanatory Text 4" xfId="901"/>
    <cellStyle name="Explanatory Text 5" xfId="902"/>
    <cellStyle name="f0" xfId="243"/>
    <cellStyle name="f1" xfId="244"/>
    <cellStyle name="f2" xfId="245"/>
    <cellStyle name="Good" xfId="460" builtinId="26" customBuiltin="1"/>
    <cellStyle name="Good 2" xfId="246"/>
    <cellStyle name="Good 2 2" xfId="247"/>
    <cellStyle name="Good 3" xfId="248"/>
    <cellStyle name="Good 4" xfId="903"/>
    <cellStyle name="Good 5" xfId="904"/>
    <cellStyle name="Header" xfId="249"/>
    <cellStyle name="Header 2" xfId="250"/>
    <cellStyle name="Header 3" xfId="251"/>
    <cellStyle name="Heading 1" xfId="456" builtinId="16" customBuiltin="1"/>
    <cellStyle name="Heading 1 2" xfId="252"/>
    <cellStyle name="Heading 1 2 2" xfId="253"/>
    <cellStyle name="Heading 1 3" xfId="254"/>
    <cellStyle name="Heading 1 4" xfId="905"/>
    <cellStyle name="Heading 1 5" xfId="906"/>
    <cellStyle name="Heading 2" xfId="457" builtinId="17" customBuiltin="1"/>
    <cellStyle name="Heading 2 2" xfId="255"/>
    <cellStyle name="Heading 2 2 2" xfId="256"/>
    <cellStyle name="Heading 2 3" xfId="257"/>
    <cellStyle name="Heading 2 4" xfId="907"/>
    <cellStyle name="Heading 2 5" xfId="908"/>
    <cellStyle name="Heading 2 6" xfId="909"/>
    <cellStyle name="Heading 3" xfId="458" builtinId="18" customBuiltin="1"/>
    <cellStyle name="Heading 3 2" xfId="258"/>
    <cellStyle name="Heading 3 2 2" xfId="259"/>
    <cellStyle name="Heading 3 3" xfId="260"/>
    <cellStyle name="Heading 3 4" xfId="910"/>
    <cellStyle name="Heading 3 5" xfId="911"/>
    <cellStyle name="Heading 4" xfId="459" builtinId="19" customBuiltin="1"/>
    <cellStyle name="Heading 4 2" xfId="261"/>
    <cellStyle name="Heading 4 2 2" xfId="262"/>
    <cellStyle name="Heading 4 3" xfId="263"/>
    <cellStyle name="Heading 4 4" xfId="912"/>
    <cellStyle name="Heading 4 5" xfId="913"/>
    <cellStyle name="Heading 4 6" xfId="914"/>
    <cellStyle name="Hyperlink 2" xfId="264"/>
    <cellStyle name="Hyperlink 2 2" xfId="265"/>
    <cellStyle name="Hyperlink 3" xfId="266"/>
    <cellStyle name="Hyperlink 4" xfId="267"/>
    <cellStyle name="Input" xfId="463" builtinId="20" customBuiltin="1"/>
    <cellStyle name="Input 2" xfId="268"/>
    <cellStyle name="Input 2 2" xfId="269"/>
    <cellStyle name="Input 2 2 2" xfId="270"/>
    <cellStyle name="Input 2 2 3" xfId="271"/>
    <cellStyle name="Input 2 2 4" xfId="272"/>
    <cellStyle name="Input 2 3" xfId="273"/>
    <cellStyle name="Input 2 3 2" xfId="274"/>
    <cellStyle name="Input 2 3 3" xfId="275"/>
    <cellStyle name="Input 2 3 4" xfId="276"/>
    <cellStyle name="Input 2 4" xfId="277"/>
    <cellStyle name="Input 2 4 2" xfId="278"/>
    <cellStyle name="Input 2 4 3" xfId="279"/>
    <cellStyle name="Input 2 4 4" xfId="280"/>
    <cellStyle name="Input 2 5" xfId="281"/>
    <cellStyle name="Input 2 5 2" xfId="282"/>
    <cellStyle name="Input 2 5 3" xfId="283"/>
    <cellStyle name="Input 2 5 4" xfId="284"/>
    <cellStyle name="Input 3" xfId="285"/>
    <cellStyle name="Input 4" xfId="915"/>
    <cellStyle name="Input 5" xfId="916"/>
    <cellStyle name="Linked Cell" xfId="466" builtinId="24" customBuiltin="1"/>
    <cellStyle name="Linked Cell 2" xfId="286"/>
    <cellStyle name="Linked Cell 2 2" xfId="287"/>
    <cellStyle name="Linked Cell 3" xfId="288"/>
    <cellStyle name="Linked Cell 4" xfId="917"/>
    <cellStyle name="Linked Cell 5" xfId="918"/>
    <cellStyle name="n0" xfId="289"/>
    <cellStyle name="n1" xfId="290"/>
    <cellStyle name="n2" xfId="291"/>
    <cellStyle name="Neutral" xfId="462" builtinId="28" customBuiltin="1"/>
    <cellStyle name="Neutral 2" xfId="292"/>
    <cellStyle name="Neutral 2 2" xfId="293"/>
    <cellStyle name="Neutral 3" xfId="294"/>
    <cellStyle name="Neutral 4" xfId="919"/>
    <cellStyle name="Neutral 5" xfId="920"/>
    <cellStyle name="New Rep Unit" xfId="921"/>
    <cellStyle name="New Rep Unit 2" xfId="922"/>
    <cellStyle name="New Rep Unit 3" xfId="923"/>
    <cellStyle name="New Rep Unit 4" xfId="924"/>
    <cellStyle name="New Rep Unit 5" xfId="925"/>
    <cellStyle name="New Rep Unit 6" xfId="926"/>
    <cellStyle name="New Rep Unit_Handoff Document 3.12.2010_IT_MRJ" xfId="927"/>
    <cellStyle name="Normal" xfId="0" builtinId="0"/>
    <cellStyle name="Normal 10" xfId="295"/>
    <cellStyle name="Normal 10 2" xfId="296"/>
    <cellStyle name="Normal 10 3" xfId="928"/>
    <cellStyle name="Normal 100" xfId="929"/>
    <cellStyle name="Normal 101" xfId="930"/>
    <cellStyle name="Normal 102" xfId="931"/>
    <cellStyle name="Normal 103" xfId="932"/>
    <cellStyle name="Normal 104" xfId="933"/>
    <cellStyle name="Normal 105" xfId="934"/>
    <cellStyle name="Normal 106" xfId="935"/>
    <cellStyle name="Normal 107" xfId="936"/>
    <cellStyle name="Normal 108" xfId="937"/>
    <cellStyle name="Normal 109" xfId="938"/>
    <cellStyle name="Normal 11" xfId="297"/>
    <cellStyle name="Normal 11 2" xfId="298"/>
    <cellStyle name="Normal 11 2 2" xfId="939"/>
    <cellStyle name="Normal 11 2 3" xfId="940"/>
    <cellStyle name="Normal 11 2 4" xfId="941"/>
    <cellStyle name="Normal 11 2 5" xfId="942"/>
    <cellStyle name="Normal 11 2 6" xfId="943"/>
    <cellStyle name="Normal 11 2_Handoff Document 3.12.2010_IT_MRJ" xfId="944"/>
    <cellStyle name="Normal 11 3" xfId="945"/>
    <cellStyle name="Normal 11 3 2" xfId="946"/>
    <cellStyle name="Normal 11 3 3" xfId="947"/>
    <cellStyle name="Normal 11 3 4" xfId="948"/>
    <cellStyle name="Normal 11 3 5" xfId="949"/>
    <cellStyle name="Normal 11 3 6" xfId="950"/>
    <cellStyle name="Normal 11 3_Handoff Document 3.12.2010_IT_MRJ" xfId="951"/>
    <cellStyle name="Normal 11 4" xfId="952"/>
    <cellStyle name="Normal 11 4 2" xfId="953"/>
    <cellStyle name="Normal 11 4 3" xfId="954"/>
    <cellStyle name="Normal 11 4 4" xfId="955"/>
    <cellStyle name="Normal 11 4 5" xfId="956"/>
    <cellStyle name="Normal 11 4 6" xfId="957"/>
    <cellStyle name="Normal 11 4_Handoff Document 3.12.2010_IT_MRJ" xfId="958"/>
    <cellStyle name="Normal 11 5" xfId="959"/>
    <cellStyle name="Normal 11 5 2" xfId="960"/>
    <cellStyle name="Normal 11 5 3" xfId="961"/>
    <cellStyle name="Normal 11 5 4" xfId="962"/>
    <cellStyle name="Normal 11 5 5" xfId="963"/>
    <cellStyle name="Normal 11 5 6" xfId="964"/>
    <cellStyle name="Normal 11 5_Handoff Document 3.12.2010_IT_MRJ" xfId="965"/>
    <cellStyle name="Normal 11 6" xfId="966"/>
    <cellStyle name="Normal 11 6 2" xfId="967"/>
    <cellStyle name="Normal 11 6 3" xfId="968"/>
    <cellStyle name="Normal 11 6 4" xfId="969"/>
    <cellStyle name="Normal 11 6 5" xfId="970"/>
    <cellStyle name="Normal 11 6 6" xfId="971"/>
    <cellStyle name="Normal 11 6_Handoff Document 3.12.2010_IT_MRJ" xfId="972"/>
    <cellStyle name="Normal 110" xfId="973"/>
    <cellStyle name="Normal 111" xfId="974"/>
    <cellStyle name="Normal 112" xfId="975"/>
    <cellStyle name="Normal 113" xfId="976"/>
    <cellStyle name="Normal 114" xfId="977"/>
    <cellStyle name="Normal 115" xfId="978"/>
    <cellStyle name="Normal 116" xfId="979"/>
    <cellStyle name="Normal 117" xfId="980"/>
    <cellStyle name="Normal 118" xfId="981"/>
    <cellStyle name="Normal 119" xfId="982"/>
    <cellStyle name="Normal 12" xfId="299"/>
    <cellStyle name="Normal 12 2" xfId="300"/>
    <cellStyle name="Normal 12 3" xfId="301"/>
    <cellStyle name="Normal 120" xfId="983"/>
    <cellStyle name="Normal 121" xfId="984"/>
    <cellStyle name="Normal 122" xfId="985"/>
    <cellStyle name="Normal 123" xfId="986"/>
    <cellStyle name="Normal 124" xfId="987"/>
    <cellStyle name="Normal 125" xfId="988"/>
    <cellStyle name="Normal 126" xfId="989"/>
    <cellStyle name="Normal 127" xfId="990"/>
    <cellStyle name="Normal 128" xfId="991"/>
    <cellStyle name="Normal 128 2" xfId="992"/>
    <cellStyle name="Normal 128_Handoff Document 3.12.2010_IT_MRJ" xfId="993"/>
    <cellStyle name="Normal 13" xfId="302"/>
    <cellStyle name="Normal 13 2" xfId="303"/>
    <cellStyle name="Normal 13 3" xfId="304"/>
    <cellStyle name="Normal 135 2" xfId="994"/>
    <cellStyle name="Normal 139" xfId="995"/>
    <cellStyle name="Normal 14" xfId="305"/>
    <cellStyle name="Normal 14 2" xfId="306"/>
    <cellStyle name="Normal 14 3" xfId="307"/>
    <cellStyle name="Normal 140" xfId="996"/>
    <cellStyle name="Normal 142" xfId="997"/>
    <cellStyle name="Normal 143" xfId="998"/>
    <cellStyle name="Normal 15" xfId="308"/>
    <cellStyle name="Normal 15 2" xfId="309"/>
    <cellStyle name="Normal 16" xfId="310"/>
    <cellStyle name="Normal 17" xfId="311"/>
    <cellStyle name="Normal 18" xfId="312"/>
    <cellStyle name="Normal 19" xfId="313"/>
    <cellStyle name="Normal 2" xfId="314"/>
    <cellStyle name="Normal 2 10" xfId="999"/>
    <cellStyle name="Normal 2 100" xfId="1000"/>
    <cellStyle name="Normal 2 101" xfId="1001"/>
    <cellStyle name="Normal 2 102" xfId="1002"/>
    <cellStyle name="Normal 2 103" xfId="1003"/>
    <cellStyle name="Normal 2 104" xfId="1004"/>
    <cellStyle name="Normal 2 105" xfId="1005"/>
    <cellStyle name="Normal 2 106" xfId="1006"/>
    <cellStyle name="Normal 2 107" xfId="1007"/>
    <cellStyle name="Normal 2 108" xfId="1008"/>
    <cellStyle name="Normal 2 109" xfId="1009"/>
    <cellStyle name="Normal 2 11" xfId="1010"/>
    <cellStyle name="Normal 2 110" xfId="1011"/>
    <cellStyle name="Normal 2 12" xfId="1012"/>
    <cellStyle name="Normal 2 13" xfId="1013"/>
    <cellStyle name="Normal 2 14" xfId="1014"/>
    <cellStyle name="Normal 2 15" xfId="1015"/>
    <cellStyle name="Normal 2 16" xfId="1016"/>
    <cellStyle name="Normal 2 17" xfId="1017"/>
    <cellStyle name="Normal 2 18" xfId="1018"/>
    <cellStyle name="Normal 2 19" xfId="1019"/>
    <cellStyle name="Normal 2 2" xfId="315"/>
    <cellStyle name="Normal 2 2 2" xfId="316"/>
    <cellStyle name="Normal 2 20" xfId="1020"/>
    <cellStyle name="Normal 2 21" xfId="1021"/>
    <cellStyle name="Normal 2 22" xfId="1022"/>
    <cellStyle name="Normal 2 23" xfId="1023"/>
    <cellStyle name="Normal 2 24" xfId="1024"/>
    <cellStyle name="Normal 2 25" xfId="1025"/>
    <cellStyle name="Normal 2 26" xfId="1026"/>
    <cellStyle name="Normal 2 27" xfId="1027"/>
    <cellStyle name="Normal 2 28" xfId="1028"/>
    <cellStyle name="Normal 2 29" xfId="1029"/>
    <cellStyle name="Normal 2 3" xfId="317"/>
    <cellStyle name="Normal 2 30" xfId="1030"/>
    <cellStyle name="Normal 2 31" xfId="1031"/>
    <cellStyle name="Normal 2 32" xfId="1032"/>
    <cellStyle name="Normal 2 33" xfId="1033"/>
    <cellStyle name="Normal 2 34" xfId="1034"/>
    <cellStyle name="Normal 2 35" xfId="1035"/>
    <cellStyle name="Normal 2 36" xfId="1036"/>
    <cellStyle name="Normal 2 37" xfId="1037"/>
    <cellStyle name="Normal 2 38" xfId="1038"/>
    <cellStyle name="Normal 2 39" xfId="1039"/>
    <cellStyle name="Normal 2 4" xfId="318"/>
    <cellStyle name="Normal 2 40" xfId="1040"/>
    <cellStyle name="Normal 2 41" xfId="1041"/>
    <cellStyle name="Normal 2 42" xfId="1042"/>
    <cellStyle name="Normal 2 43" xfId="1043"/>
    <cellStyle name="Normal 2 44" xfId="1044"/>
    <cellStyle name="Normal 2 45" xfId="1045"/>
    <cellStyle name="Normal 2 46" xfId="1046"/>
    <cellStyle name="Normal 2 47" xfId="1047"/>
    <cellStyle name="Normal 2 48" xfId="1048"/>
    <cellStyle name="Normal 2 49" xfId="1049"/>
    <cellStyle name="Normal 2 5" xfId="1050"/>
    <cellStyle name="Normal 2 50" xfId="1051"/>
    <cellStyle name="Normal 2 51" xfId="1052"/>
    <cellStyle name="Normal 2 52" xfId="1053"/>
    <cellStyle name="Normal 2 53" xfId="1054"/>
    <cellStyle name="Normal 2 54" xfId="1055"/>
    <cellStyle name="Normal 2 55" xfId="1056"/>
    <cellStyle name="Normal 2 56" xfId="1057"/>
    <cellStyle name="Normal 2 57" xfId="1058"/>
    <cellStyle name="Normal 2 58" xfId="1059"/>
    <cellStyle name="Normal 2 59" xfId="1060"/>
    <cellStyle name="Normal 2 6" xfId="1061"/>
    <cellStyle name="Normal 2 60" xfId="1062"/>
    <cellStyle name="Normal 2 61" xfId="1063"/>
    <cellStyle name="Normal 2 62" xfId="1064"/>
    <cellStyle name="Normal 2 63" xfId="1065"/>
    <cellStyle name="Normal 2 64" xfId="1066"/>
    <cellStyle name="Normal 2 65" xfId="1067"/>
    <cellStyle name="Normal 2 66" xfId="1068"/>
    <cellStyle name="Normal 2 67" xfId="1069"/>
    <cellStyle name="Normal 2 68" xfId="1070"/>
    <cellStyle name="Normal 2 69" xfId="1071"/>
    <cellStyle name="Normal 2 7" xfId="1072"/>
    <cellStyle name="Normal 2 70" xfId="1073"/>
    <cellStyle name="Normal 2 71" xfId="1074"/>
    <cellStyle name="Normal 2 72" xfId="1075"/>
    <cellStyle name="Normal 2 73" xfId="1076"/>
    <cellStyle name="Normal 2 74" xfId="1077"/>
    <cellStyle name="Normal 2 75" xfId="1078"/>
    <cellStyle name="Normal 2 76" xfId="1079"/>
    <cellStyle name="Normal 2 77" xfId="1080"/>
    <cellStyle name="Normal 2 78" xfId="1081"/>
    <cellStyle name="Normal 2 79" xfId="1082"/>
    <cellStyle name="Normal 2 8" xfId="1083"/>
    <cellStyle name="Normal 2 80" xfId="1084"/>
    <cellStyle name="Normal 2 81" xfId="1085"/>
    <cellStyle name="Normal 2 82" xfId="1086"/>
    <cellStyle name="Normal 2 83" xfId="1087"/>
    <cellStyle name="Normal 2 84" xfId="1088"/>
    <cellStyle name="Normal 2 85" xfId="1089"/>
    <cellStyle name="Normal 2 86" xfId="1090"/>
    <cellStyle name="Normal 2 87" xfId="1091"/>
    <cellStyle name="Normal 2 88" xfId="1092"/>
    <cellStyle name="Normal 2 89" xfId="1093"/>
    <cellStyle name="Normal 2 9" xfId="1094"/>
    <cellStyle name="Normal 2 90" xfId="1095"/>
    <cellStyle name="Normal 2 91" xfId="1096"/>
    <cellStyle name="Normal 2 92" xfId="1097"/>
    <cellStyle name="Normal 2 93" xfId="1098"/>
    <cellStyle name="Normal 2 94" xfId="1099"/>
    <cellStyle name="Normal 2 95" xfId="1100"/>
    <cellStyle name="Normal 2 96" xfId="1101"/>
    <cellStyle name="Normal 2 97" xfId="1102"/>
    <cellStyle name="Normal 2 98" xfId="1103"/>
    <cellStyle name="Normal 2 99" xfId="1104"/>
    <cellStyle name="Normal 20" xfId="319"/>
    <cellStyle name="Normal 21" xfId="320"/>
    <cellStyle name="Normal 22" xfId="321"/>
    <cellStyle name="Normal 23" xfId="322"/>
    <cellStyle name="Normal 24" xfId="323"/>
    <cellStyle name="Normal 25" xfId="324"/>
    <cellStyle name="Normal 26" xfId="496"/>
    <cellStyle name="Normal 27" xfId="1105"/>
    <cellStyle name="Normal 28" xfId="1106"/>
    <cellStyle name="Normal 29" xfId="1107"/>
    <cellStyle name="Normal 3" xfId="325"/>
    <cellStyle name="Normal 3 2" xfId="326"/>
    <cellStyle name="Normal 3 2 2" xfId="327"/>
    <cellStyle name="Normal 3 2 2 2" xfId="328"/>
    <cellStyle name="Normal 3 3" xfId="329"/>
    <cellStyle name="Normal 3 4" xfId="330"/>
    <cellStyle name="Normal 3 5" xfId="331"/>
    <cellStyle name="Normal 3 6" xfId="332"/>
    <cellStyle name="Normal 30" xfId="1108"/>
    <cellStyle name="Normal 31" xfId="1109"/>
    <cellStyle name="Normal 32" xfId="1110"/>
    <cellStyle name="Normal 33" xfId="1111"/>
    <cellStyle name="Normal 34" xfId="1112"/>
    <cellStyle name="Normal 35" xfId="1113"/>
    <cellStyle name="Normal 36" xfId="1114"/>
    <cellStyle name="Normal 37" xfId="1115"/>
    <cellStyle name="Normal 38" xfId="1116"/>
    <cellStyle name="Normal 39" xfId="1117"/>
    <cellStyle name="Normal 4" xfId="333"/>
    <cellStyle name="Normal 4 10" xfId="1118"/>
    <cellStyle name="Normal 4 100" xfId="1119"/>
    <cellStyle name="Normal 4 101" xfId="1120"/>
    <cellStyle name="Normal 4 102" xfId="1121"/>
    <cellStyle name="Normal 4 103" xfId="1122"/>
    <cellStyle name="Normal 4 104" xfId="1123"/>
    <cellStyle name="Normal 4 105" xfId="1124"/>
    <cellStyle name="Normal 4 106" xfId="1125"/>
    <cellStyle name="Normal 4 107" xfId="1126"/>
    <cellStyle name="Normal 4 108" xfId="1127"/>
    <cellStyle name="Normal 4 11" xfId="1128"/>
    <cellStyle name="Normal 4 12" xfId="1129"/>
    <cellStyle name="Normal 4 13" xfId="1130"/>
    <cellStyle name="Normal 4 14" xfId="1131"/>
    <cellStyle name="Normal 4 15" xfId="1132"/>
    <cellStyle name="Normal 4 16" xfId="1133"/>
    <cellStyle name="Normal 4 17" xfId="1134"/>
    <cellStyle name="Normal 4 18" xfId="1135"/>
    <cellStyle name="Normal 4 19" xfId="1136"/>
    <cellStyle name="Normal 4 2" xfId="334"/>
    <cellStyle name="Normal 4 20" xfId="1137"/>
    <cellStyle name="Normal 4 21" xfId="1138"/>
    <cellStyle name="Normal 4 22" xfId="1139"/>
    <cellStyle name="Normal 4 23" xfId="1140"/>
    <cellStyle name="Normal 4 24" xfId="1141"/>
    <cellStyle name="Normal 4 25" xfId="1142"/>
    <cellStyle name="Normal 4 26" xfId="1143"/>
    <cellStyle name="Normal 4 27" xfId="1144"/>
    <cellStyle name="Normal 4 28" xfId="1145"/>
    <cellStyle name="Normal 4 29" xfId="1146"/>
    <cellStyle name="Normal 4 3" xfId="335"/>
    <cellStyle name="Normal 4 30" xfId="1147"/>
    <cellStyle name="Normal 4 31" xfId="1148"/>
    <cellStyle name="Normal 4 32" xfId="1149"/>
    <cellStyle name="Normal 4 33" xfId="1150"/>
    <cellStyle name="Normal 4 34" xfId="1151"/>
    <cellStyle name="Normal 4 35" xfId="1152"/>
    <cellStyle name="Normal 4 36" xfId="1153"/>
    <cellStyle name="Normal 4 37" xfId="1154"/>
    <cellStyle name="Normal 4 38" xfId="1155"/>
    <cellStyle name="Normal 4 39" xfId="1156"/>
    <cellStyle name="Normal 4 4" xfId="1157"/>
    <cellStyle name="Normal 4 40" xfId="1158"/>
    <cellStyle name="Normal 4 41" xfId="1159"/>
    <cellStyle name="Normal 4 42" xfId="1160"/>
    <cellStyle name="Normal 4 43" xfId="1161"/>
    <cellStyle name="Normal 4 44" xfId="1162"/>
    <cellStyle name="Normal 4 45" xfId="1163"/>
    <cellStyle name="Normal 4 46" xfId="1164"/>
    <cellStyle name="Normal 4 47" xfId="1165"/>
    <cellStyle name="Normal 4 48" xfId="1166"/>
    <cellStyle name="Normal 4 49" xfId="1167"/>
    <cellStyle name="Normal 4 5" xfId="1168"/>
    <cellStyle name="Normal 4 50" xfId="1169"/>
    <cellStyle name="Normal 4 51" xfId="1170"/>
    <cellStyle name="Normal 4 52" xfId="1171"/>
    <cellStyle name="Normal 4 53" xfId="1172"/>
    <cellStyle name="Normal 4 54" xfId="1173"/>
    <cellStyle name="Normal 4 55" xfId="1174"/>
    <cellStyle name="Normal 4 56" xfId="1175"/>
    <cellStyle name="Normal 4 57" xfId="1176"/>
    <cellStyle name="Normal 4 58" xfId="1177"/>
    <cellStyle name="Normal 4 59" xfId="1178"/>
    <cellStyle name="Normal 4 6" xfId="1179"/>
    <cellStyle name="Normal 4 60" xfId="1180"/>
    <cellStyle name="Normal 4 61" xfId="1181"/>
    <cellStyle name="Normal 4 62" xfId="1182"/>
    <cellStyle name="Normal 4 63" xfId="1183"/>
    <cellStyle name="Normal 4 64" xfId="1184"/>
    <cellStyle name="Normal 4 65" xfId="1185"/>
    <cellStyle name="Normal 4 66" xfId="1186"/>
    <cellStyle name="Normal 4 67" xfId="1187"/>
    <cellStyle name="Normal 4 68" xfId="1188"/>
    <cellStyle name="Normal 4 69" xfId="1189"/>
    <cellStyle name="Normal 4 7" xfId="1190"/>
    <cellStyle name="Normal 4 70" xfId="1191"/>
    <cellStyle name="Normal 4 71" xfId="1192"/>
    <cellStyle name="Normal 4 72" xfId="1193"/>
    <cellStyle name="Normal 4 73" xfId="1194"/>
    <cellStyle name="Normal 4 74" xfId="1195"/>
    <cellStyle name="Normal 4 75" xfId="1196"/>
    <cellStyle name="Normal 4 76" xfId="1197"/>
    <cellStyle name="Normal 4 77" xfId="1198"/>
    <cellStyle name="Normal 4 78" xfId="1199"/>
    <cellStyle name="Normal 4 79" xfId="1200"/>
    <cellStyle name="Normal 4 8" xfId="1201"/>
    <cellStyle name="Normal 4 80" xfId="1202"/>
    <cellStyle name="Normal 4 81" xfId="1203"/>
    <cellStyle name="Normal 4 82" xfId="1204"/>
    <cellStyle name="Normal 4 83" xfId="1205"/>
    <cellStyle name="Normal 4 84" xfId="1206"/>
    <cellStyle name="Normal 4 85" xfId="1207"/>
    <cellStyle name="Normal 4 86" xfId="1208"/>
    <cellStyle name="Normal 4 87" xfId="1209"/>
    <cellStyle name="Normal 4 88" xfId="1210"/>
    <cellStyle name="Normal 4 89" xfId="1211"/>
    <cellStyle name="Normal 4 9" xfId="1212"/>
    <cellStyle name="Normal 4 90" xfId="1213"/>
    <cellStyle name="Normal 4 91" xfId="1214"/>
    <cellStyle name="Normal 4 92" xfId="1215"/>
    <cellStyle name="Normal 4 93" xfId="1216"/>
    <cellStyle name="Normal 4 94" xfId="1217"/>
    <cellStyle name="Normal 4 95" xfId="1218"/>
    <cellStyle name="Normal 4 96" xfId="1219"/>
    <cellStyle name="Normal 4 97" xfId="1220"/>
    <cellStyle name="Normal 4 98" xfId="1221"/>
    <cellStyle name="Normal 4 99" xfId="1222"/>
    <cellStyle name="Normal 40" xfId="1223"/>
    <cellStyle name="Normal 41" xfId="1224"/>
    <cellStyle name="Normal 42" xfId="1225"/>
    <cellStyle name="Normal 43" xfId="1226"/>
    <cellStyle name="Normal 44" xfId="1227"/>
    <cellStyle name="Normal 45" xfId="1228"/>
    <cellStyle name="Normal 46" xfId="1229"/>
    <cellStyle name="Normal 47" xfId="1230"/>
    <cellStyle name="Normal 48" xfId="1231"/>
    <cellStyle name="Normal 49" xfId="1232"/>
    <cellStyle name="Normal 5" xfId="336"/>
    <cellStyle name="Normal 5 2" xfId="337"/>
    <cellStyle name="Normal 5 3" xfId="338"/>
    <cellStyle name="Normal 5 4" xfId="1233"/>
    <cellStyle name="Normal 5 5" xfId="1234"/>
    <cellStyle name="Normal 5 6" xfId="1235"/>
    <cellStyle name="Normal 5 7" xfId="1236"/>
    <cellStyle name="Normal 5_Handoff Document 3.12.2010_IT_MRJ" xfId="1237"/>
    <cellStyle name="Normal 50" xfId="1238"/>
    <cellStyle name="Normal 50 2" xfId="1239"/>
    <cellStyle name="Normal 51" xfId="1240"/>
    <cellStyle name="Normal 52" xfId="1241"/>
    <cellStyle name="Normal 53" xfId="1242"/>
    <cellStyle name="Normal 54" xfId="1243"/>
    <cellStyle name="Normal 55" xfId="1244"/>
    <cellStyle name="Normal 56" xfId="1245"/>
    <cellStyle name="Normal 57" xfId="1246"/>
    <cellStyle name="Normal 58" xfId="1247"/>
    <cellStyle name="Normal 59" xfId="1248"/>
    <cellStyle name="Normal 6" xfId="339"/>
    <cellStyle name="Normal 6 2" xfId="340"/>
    <cellStyle name="Normal 6 3" xfId="341"/>
    <cellStyle name="Normal 60" xfId="1249"/>
    <cellStyle name="Normal 61" xfId="1250"/>
    <cellStyle name="Normal 62" xfId="1251"/>
    <cellStyle name="Normal 63" xfId="1252"/>
    <cellStyle name="Normal 64" xfId="1253"/>
    <cellStyle name="Normal 65" xfId="1254"/>
    <cellStyle name="Normal 66" xfId="1255"/>
    <cellStyle name="Normal 67" xfId="1256"/>
    <cellStyle name="Normal 68" xfId="1257"/>
    <cellStyle name="Normal 69" xfId="1258"/>
    <cellStyle name="Normal 7" xfId="342"/>
    <cellStyle name="Normal 7 2" xfId="343"/>
    <cellStyle name="Normal 7 2 2" xfId="344"/>
    <cellStyle name="Normal 7 3" xfId="345"/>
    <cellStyle name="Normal 70" xfId="1259"/>
    <cellStyle name="Normal 71" xfId="1260"/>
    <cellStyle name="Normal 71 2" xfId="1261"/>
    <cellStyle name="Normal 72" xfId="1262"/>
    <cellStyle name="Normal 73" xfId="1263"/>
    <cellStyle name="Normal 73 2" xfId="1264"/>
    <cellStyle name="Normal 74" xfId="1265"/>
    <cellStyle name="Normal 74 2" xfId="1266"/>
    <cellStyle name="Normal 75" xfId="1267"/>
    <cellStyle name="Normal 76" xfId="1268"/>
    <cellStyle name="Normal 77" xfId="1269"/>
    <cellStyle name="Normal 78" xfId="1270"/>
    <cellStyle name="Normal 79" xfId="1271"/>
    <cellStyle name="Normal 79 2" xfId="1272"/>
    <cellStyle name="Normal 8" xfId="346"/>
    <cellStyle name="Normal 8 2" xfId="347"/>
    <cellStyle name="Normal 8 3" xfId="1273"/>
    <cellStyle name="Normal 80" xfId="1274"/>
    <cellStyle name="Normal 81" xfId="1275"/>
    <cellStyle name="Normal 82" xfId="1276"/>
    <cellStyle name="Normal 83" xfId="1277"/>
    <cellStyle name="Normal 84" xfId="1278"/>
    <cellStyle name="Normal 85" xfId="1279"/>
    <cellStyle name="Normal 86" xfId="1280"/>
    <cellStyle name="Normal 87" xfId="1281"/>
    <cellStyle name="Normal 88" xfId="1282"/>
    <cellStyle name="Normal 89" xfId="1283"/>
    <cellStyle name="Normal 9" xfId="348"/>
    <cellStyle name="Normal 9 2" xfId="349"/>
    <cellStyle name="Normal 9 3" xfId="350"/>
    <cellStyle name="Normal 90" xfId="1284"/>
    <cellStyle name="Normal 91" xfId="1285"/>
    <cellStyle name="Normal 92" xfId="1286"/>
    <cellStyle name="Normal 93" xfId="1287"/>
    <cellStyle name="Normal 94" xfId="1288"/>
    <cellStyle name="Normal 95" xfId="1289"/>
    <cellStyle name="Normal 96" xfId="1290"/>
    <cellStyle name="Normal 97" xfId="1291"/>
    <cellStyle name="Normal 98" xfId="1292"/>
    <cellStyle name="Normal 99" xfId="1293"/>
    <cellStyle name="Normál_F15A" xfId="351"/>
    <cellStyle name="Note" xfId="469" builtinId="10" customBuiltin="1"/>
    <cellStyle name="Note 2" xfId="352"/>
    <cellStyle name="Note 2 2" xfId="353"/>
    <cellStyle name="Note 2 2 2" xfId="354"/>
    <cellStyle name="Note 2 2 3" xfId="355"/>
    <cellStyle name="Note 2 2 4" xfId="356"/>
    <cellStyle name="Note 2 3" xfId="357"/>
    <cellStyle name="Note 2 3 2" xfId="358"/>
    <cellStyle name="Note 2 3 3" xfId="359"/>
    <cellStyle name="Note 2 3 4" xfId="360"/>
    <cellStyle name="Note 2 4" xfId="361"/>
    <cellStyle name="Note 2 4 2" xfId="362"/>
    <cellStyle name="Note 2 4 3" xfId="363"/>
    <cellStyle name="Note 2 4 4" xfId="364"/>
    <cellStyle name="Note 2 5" xfId="365"/>
    <cellStyle name="Note 2 5 2" xfId="366"/>
    <cellStyle name="Note 2 5 3" xfId="367"/>
    <cellStyle name="Note 2 5 4" xfId="368"/>
    <cellStyle name="Note 2 6" xfId="1294"/>
    <cellStyle name="Note 3" xfId="369"/>
    <cellStyle name="Note 3 2" xfId="370"/>
    <cellStyle name="Note 3 3" xfId="371"/>
    <cellStyle name="Note 3 4" xfId="1295"/>
    <cellStyle name="Note 3 5" xfId="1296"/>
    <cellStyle name="Note 3 6" xfId="1297"/>
    <cellStyle name="Note 4" xfId="372"/>
    <cellStyle name="Note 4 2" xfId="1298"/>
    <cellStyle name="Note 4 3" xfId="1299"/>
    <cellStyle name="Note 4 4" xfId="1300"/>
    <cellStyle name="Note 4 5" xfId="1301"/>
    <cellStyle name="Note 4 6" xfId="1302"/>
    <cellStyle name="Note 5" xfId="373"/>
    <cellStyle name="Note 5 2" xfId="1303"/>
    <cellStyle name="Note 5 3" xfId="1304"/>
    <cellStyle name="Note 5 4" xfId="1305"/>
    <cellStyle name="Note 5 5" xfId="1306"/>
    <cellStyle name="Note 5 6" xfId="1307"/>
    <cellStyle name="Output" xfId="464" builtinId="21" customBuiltin="1"/>
    <cellStyle name="Output 2" xfId="374"/>
    <cellStyle name="Output 2 2" xfId="375"/>
    <cellStyle name="Output 2 2 2" xfId="376"/>
    <cellStyle name="Output 2 2 3" xfId="377"/>
    <cellStyle name="Output 2 2 4" xfId="378"/>
    <cellStyle name="Output 2 3" xfId="379"/>
    <cellStyle name="Output 2 3 2" xfId="380"/>
    <cellStyle name="Output 2 3 3" xfId="381"/>
    <cellStyle name="Output 2 3 4" xfId="382"/>
    <cellStyle name="Output 2 4" xfId="383"/>
    <cellStyle name="Output 2 4 2" xfId="384"/>
    <cellStyle name="Output 2 4 3" xfId="385"/>
    <cellStyle name="Output 2 4 4" xfId="386"/>
    <cellStyle name="Output 2 5" xfId="387"/>
    <cellStyle name="Output 2 5 2" xfId="388"/>
    <cellStyle name="Output 2 5 3" xfId="389"/>
    <cellStyle name="Output 2 5 4" xfId="390"/>
    <cellStyle name="Output 3" xfId="391"/>
    <cellStyle name="Output 4" xfId="1308"/>
    <cellStyle name="Output 5" xfId="1309"/>
    <cellStyle name="p0" xfId="392"/>
    <cellStyle name="p1" xfId="393"/>
    <cellStyle name="p2" xfId="394"/>
    <cellStyle name="Percent" xfId="454" builtinId="5"/>
    <cellStyle name="Percent 2" xfId="395"/>
    <cellStyle name="Percent 2 2" xfId="396"/>
    <cellStyle name="Percent 2 3" xfId="397"/>
    <cellStyle name="Percent 3" xfId="398"/>
    <cellStyle name="Percent 3 2" xfId="399"/>
    <cellStyle name="Percent 3 3" xfId="400"/>
    <cellStyle name="Percent 3 4" xfId="401"/>
    <cellStyle name="Percent 4" xfId="402"/>
    <cellStyle name="Percent 4 2" xfId="403"/>
    <cellStyle name="Percent 5" xfId="404"/>
    <cellStyle name="Percent 6" xfId="405"/>
    <cellStyle name="Percent 6 2" xfId="406"/>
    <cellStyle name="Percent 7" xfId="407"/>
    <cellStyle name="r0" xfId="408"/>
    <cellStyle name="r1" xfId="409"/>
    <cellStyle name="r2" xfId="410"/>
    <cellStyle name="Standard_DATEN" xfId="411"/>
    <cellStyle name="Style 1" xfId="412"/>
    <cellStyle name="Style 2" xfId="413"/>
    <cellStyle name="Style 3" xfId="414"/>
    <cellStyle name="Style 4" xfId="415"/>
    <cellStyle name="Style 5" xfId="416"/>
    <cellStyle name="Titel" xfId="417"/>
    <cellStyle name="Title" xfId="455" builtinId="15" customBuiltin="1"/>
    <cellStyle name="Title 2" xfId="418"/>
    <cellStyle name="Title 2 2" xfId="419"/>
    <cellStyle name="Title 3" xfId="420"/>
    <cellStyle name="Title 4" xfId="1310"/>
    <cellStyle name="Title 5" xfId="1311"/>
    <cellStyle name="Total" xfId="471" builtinId="25" customBuiltin="1"/>
    <cellStyle name="Total 2" xfId="421"/>
    <cellStyle name="Total 2 2" xfId="422"/>
    <cellStyle name="Total 2 2 2" xfId="423"/>
    <cellStyle name="Total 2 2 3" xfId="424"/>
    <cellStyle name="Total 2 2 4" xfId="425"/>
    <cellStyle name="Total 2 3" xfId="426"/>
    <cellStyle name="Total 2 3 2" xfId="427"/>
    <cellStyle name="Total 2 3 3" xfId="428"/>
    <cellStyle name="Total 2 3 4" xfId="429"/>
    <cellStyle name="Total 2 4" xfId="430"/>
    <cellStyle name="Total 2 4 2" xfId="431"/>
    <cellStyle name="Total 2 4 3" xfId="432"/>
    <cellStyle name="Total 2 4 4" xfId="433"/>
    <cellStyle name="Total 2 5" xfId="434"/>
    <cellStyle name="Total 2 5 2" xfId="435"/>
    <cellStyle name="Total 2 5 3" xfId="436"/>
    <cellStyle name="Total 2 5 4" xfId="437"/>
    <cellStyle name="Total 2 6" xfId="1312"/>
    <cellStyle name="Total 2_Handoff Document 3.12.2010_IT_MRJ" xfId="1313"/>
    <cellStyle name="Total 3" xfId="438"/>
    <cellStyle name="Total 3 2" xfId="1314"/>
    <cellStyle name="Total 3 3" xfId="1315"/>
    <cellStyle name="Total 3 4" xfId="1316"/>
    <cellStyle name="Total 3 5" xfId="1317"/>
    <cellStyle name="Total 3 6" xfId="1318"/>
    <cellStyle name="Total 3_Handoff Document 3.12.2010_IT_MRJ" xfId="1319"/>
    <cellStyle name="Total 4" xfId="1320"/>
    <cellStyle name="Total 4 2" xfId="1321"/>
    <cellStyle name="Total 4 3" xfId="1322"/>
    <cellStyle name="Total 4 4" xfId="1323"/>
    <cellStyle name="Total 4 5" xfId="1324"/>
    <cellStyle name="Total 4 6" xfId="1325"/>
    <cellStyle name="Total 4_Handoff Document 3.12.2010_IT_MRJ" xfId="1326"/>
    <cellStyle name="Total 5" xfId="1327"/>
    <cellStyle name="Total 5 2" xfId="1328"/>
    <cellStyle name="Total 5 3" xfId="1329"/>
    <cellStyle name="Total 5 4" xfId="1330"/>
    <cellStyle name="Total 5 5" xfId="1331"/>
    <cellStyle name="Total 5 6" xfId="1332"/>
    <cellStyle name="Total 5_Handoff Document 3.12.2010_IT_MRJ" xfId="1333"/>
    <cellStyle name="Währung [0]_DATEN" xfId="439"/>
    <cellStyle name="Währung_DATEN" xfId="440"/>
    <cellStyle name="Warning Text" xfId="468" builtinId="11" customBuiltin="1"/>
    <cellStyle name="Warning Text 2" xfId="441"/>
    <cellStyle name="Warning Text 2 2" xfId="442"/>
    <cellStyle name="Warning Text 3" xfId="443"/>
    <cellStyle name="Warning Text 4" xfId="1334"/>
    <cellStyle name="Warning Text 5" xfId="1335"/>
    <cellStyle name="Βασικό_Φύλλο1" xfId="444"/>
    <cellStyle name="ハイパーリンク" xfId="445"/>
    <cellStyle name="ハイパーリンク 2" xfId="446"/>
    <cellStyle name="ハイパーリンク 3" xfId="447"/>
    <cellStyle name="常规_New Report Layout Table  Figure Templates June 2008" xfId="448"/>
    <cellStyle name="桁区切り 2" xfId="449"/>
    <cellStyle name="標準 2" xfId="450"/>
    <cellStyle name="標準 3" xfId="451"/>
    <cellStyle name="標準_e040x_TMSシステム（２係用）" xfId="452"/>
    <cellStyle name="表示済みのハイパーリンク" xfId="453"/>
  </cellStyles>
  <dxfs count="3697">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0000"/>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FFF00"/>
        </patternFill>
      </fill>
    </dxf>
    <dxf>
      <fill>
        <patternFill>
          <bgColor rgb="FFF0F0FF"/>
        </patternFill>
      </fill>
    </dxf>
    <dxf>
      <fill>
        <patternFill>
          <bgColor rgb="FFF0F0FF"/>
        </patternFill>
      </fill>
    </dxf>
    <dxf>
      <fill>
        <patternFill>
          <bgColor rgb="FFF0F0FF"/>
        </patternFill>
      </fill>
    </dxf>
    <dxf>
      <fill>
        <patternFill>
          <bgColor rgb="FFF0F0FF"/>
        </patternFill>
      </fill>
    </dxf>
    <dxf>
      <fill>
        <patternFill>
          <bgColor rgb="FFF0F0FF"/>
        </patternFill>
      </fill>
    </dxf>
    <dxf>
      <fill>
        <patternFill>
          <bgColor rgb="FFF0F0FF"/>
        </patternFill>
      </fill>
    </dxf>
    <dxf>
      <fill>
        <patternFill>
          <bgColor rgb="FFF0F0FF"/>
        </patternFill>
      </fill>
    </dxf>
  </dxfs>
  <tableStyles count="0" defaultTableStyle="TableStyleMedium2" defaultPivotStyle="PivotStyleLight16"/>
  <colors>
    <mruColors>
      <color rgb="FFDCF0FF"/>
      <color rgb="FFCCFFFF"/>
      <color rgb="FFDAEEF3"/>
      <color rgb="FF000000"/>
      <color rgb="FFFDE9D9"/>
      <color rgb="FF808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sjue/Downloads/EERE-2011-BT-NOA-0067-004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sjue/Downloads/EERE-2011-BT-NOA-0067-0046%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sjue/Downloads/stb_lcc_2012-11-29%20public%20(full%20result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Introduction"/>
      <sheetName val="Summary"/>
      <sheetName val="Statistics"/>
      <sheetName val="LCC &amp; Payback"/>
      <sheetName val="Household Sample"/>
      <sheetName val="Adjustment Factors"/>
      <sheetName val="Equipment Price"/>
      <sheetName val="Model Info"/>
      <sheetName val="Base Case Distribution"/>
      <sheetName val="Electricity Prices"/>
      <sheetName val="Electricity Price Trend"/>
      <sheetName val="Discount Rate"/>
      <sheetName val="CB_DATA_"/>
      <sheetName val="Lifetime"/>
      <sheetName val="LCC Box Plots"/>
      <sheetName val="PBP Box Plots"/>
      <sheetName val="Frequency Charts"/>
      <sheetName val="Forecast Cells"/>
      <sheetName val="Forecast Data"/>
      <sheetName val="Engineering Data"/>
      <sheetName val="NIA Data 2"/>
      <sheetName val="NIA Data"/>
      <sheetName val="Spreadsheet Flow Diagram"/>
      <sheetName val="Sheet1"/>
    </sheetNames>
    <sheetDataSet>
      <sheetData sheetId="0">
        <row r="2">
          <cell r="C2" t="str">
            <v>AEO 2012 Reference</v>
          </cell>
          <cell r="D2" t="str">
            <v>10000</v>
          </cell>
          <cell r="F2" t="str">
            <v>OTT</v>
          </cell>
          <cell r="H2" t="str">
            <v>100% E*3, Fast Improvement</v>
          </cell>
        </row>
        <row r="3">
          <cell r="F3">
            <v>16</v>
          </cell>
        </row>
        <row r="5">
          <cell r="C5" t="str">
            <v>AEO 2012 Reference</v>
          </cell>
          <cell r="D5">
            <v>100</v>
          </cell>
        </row>
        <row r="6">
          <cell r="C6" t="str">
            <v>AEO 2012 High Growth</v>
          </cell>
          <cell r="D6">
            <v>1000</v>
          </cell>
        </row>
        <row r="7">
          <cell r="C7" t="str">
            <v>AEO 2012 Low Growth</v>
          </cell>
          <cell r="D7">
            <v>2000</v>
          </cell>
        </row>
        <row r="8">
          <cell r="D8">
            <v>5000</v>
          </cell>
        </row>
        <row r="9">
          <cell r="D9">
            <v>10000</v>
          </cell>
        </row>
        <row r="10">
          <cell r="D10">
            <v>50000</v>
          </cell>
        </row>
      </sheetData>
      <sheetData sheetId="1"/>
      <sheetData sheetId="2"/>
      <sheetData sheetId="3"/>
      <sheetData sheetId="4">
        <row r="6">
          <cell r="C6">
            <v>9.5595330252597215</v>
          </cell>
        </row>
        <row r="7">
          <cell r="C7">
            <v>0</v>
          </cell>
        </row>
        <row r="8">
          <cell r="C8">
            <v>14.440466974740279</v>
          </cell>
        </row>
        <row r="9">
          <cell r="C9">
            <v>4.01</v>
          </cell>
        </row>
        <row r="10">
          <cell r="C10">
            <v>0</v>
          </cell>
          <cell r="X10">
            <v>9.5595330252597215</v>
          </cell>
          <cell r="AC10">
            <v>0</v>
          </cell>
          <cell r="AG10">
            <v>14.440466974740279</v>
          </cell>
          <cell r="AH10">
            <v>4.01</v>
          </cell>
          <cell r="AI10">
            <v>0</v>
          </cell>
          <cell r="AJ10">
            <v>10.430466974740279</v>
          </cell>
          <cell r="AM10">
            <v>0.142460574800129</v>
          </cell>
        </row>
        <row r="11">
          <cell r="C11">
            <v>10.430466974740279</v>
          </cell>
          <cell r="X11">
            <v>9.8407596713387147</v>
          </cell>
          <cell r="AC11">
            <v>0</v>
          </cell>
          <cell r="AG11">
            <v>14.159240328661285</v>
          </cell>
          <cell r="AH11">
            <v>4.01</v>
          </cell>
          <cell r="AI11">
            <v>0</v>
          </cell>
          <cell r="AJ11">
            <v>10.149240328661286</v>
          </cell>
          <cell r="AM11">
            <v>0.142460574800129</v>
          </cell>
        </row>
        <row r="12">
          <cell r="X12">
            <v>10.121847061830884</v>
          </cell>
          <cell r="AC12">
            <v>0</v>
          </cell>
          <cell r="AG12">
            <v>13.878152938169116</v>
          </cell>
          <cell r="AH12">
            <v>4.01</v>
          </cell>
          <cell r="AI12">
            <v>0</v>
          </cell>
          <cell r="AJ12">
            <v>9.868152938169116</v>
          </cell>
          <cell r="AM12">
            <v>0.14258356234671907</v>
          </cell>
        </row>
        <row r="13">
          <cell r="X13">
            <v>10.40279533457915</v>
          </cell>
          <cell r="AC13">
            <v>0</v>
          </cell>
          <cell r="AG13">
            <v>13.59720466542085</v>
          </cell>
          <cell r="AH13">
            <v>4.01</v>
          </cell>
          <cell r="AI13">
            <v>0</v>
          </cell>
          <cell r="AJ13">
            <v>9.5872046654208507</v>
          </cell>
          <cell r="AM13">
            <v>0.14282953743989912</v>
          </cell>
        </row>
        <row r="14">
          <cell r="X14">
            <v>10.683604627221722</v>
          </cell>
          <cell r="AC14">
            <v>0</v>
          </cell>
          <cell r="AG14">
            <v>13.316395372778278</v>
          </cell>
          <cell r="AH14">
            <v>3.48</v>
          </cell>
          <cell r="AI14">
            <v>0</v>
          </cell>
          <cell r="AJ14">
            <v>9.8363953727782771</v>
          </cell>
          <cell r="AM14">
            <v>0.14323949592853261</v>
          </cell>
        </row>
        <row r="15">
          <cell r="X15">
            <v>10.96427507719212</v>
          </cell>
          <cell r="AC15">
            <v>0</v>
          </cell>
          <cell r="AG15">
            <v>13.03572492280788</v>
          </cell>
          <cell r="AH15">
            <v>3.48</v>
          </cell>
          <cell r="AI15">
            <v>0</v>
          </cell>
          <cell r="AJ15">
            <v>9.5557249228078796</v>
          </cell>
          <cell r="AM15">
            <v>0.14381343781261943</v>
          </cell>
        </row>
        <row r="16">
          <cell r="X16">
            <v>11.244806821720738</v>
          </cell>
          <cell r="AC16">
            <v>0</v>
          </cell>
          <cell r="AG16">
            <v>12.755193178279262</v>
          </cell>
          <cell r="AH16">
            <v>3.48</v>
          </cell>
          <cell r="AI16">
            <v>0</v>
          </cell>
          <cell r="AJ16">
            <v>9.2751931782792614</v>
          </cell>
          <cell r="AM16">
            <v>0.14467435063874973</v>
          </cell>
        </row>
        <row r="17">
          <cell r="X17">
            <v>11.52519999783406</v>
          </cell>
          <cell r="AC17">
            <v>0</v>
          </cell>
          <cell r="AG17">
            <v>12.47480000216594</v>
          </cell>
          <cell r="AH17">
            <v>2.88</v>
          </cell>
          <cell r="AI17">
            <v>0</v>
          </cell>
          <cell r="AJ17">
            <v>9.5948000021659396</v>
          </cell>
          <cell r="AM17">
            <v>0.14586323025578676</v>
          </cell>
        </row>
        <row r="18">
          <cell r="X18">
            <v>11.805454742357012</v>
          </cell>
          <cell r="AC18">
            <v>0</v>
          </cell>
          <cell r="AG18">
            <v>12.194545257642988</v>
          </cell>
          <cell r="AH18">
            <v>2.88</v>
          </cell>
          <cell r="AI18">
            <v>0</v>
          </cell>
          <cell r="AJ18">
            <v>9.3145452576429868</v>
          </cell>
          <cell r="AM18">
            <v>0.14709310572168718</v>
          </cell>
        </row>
        <row r="19">
          <cell r="X19">
            <v>12.085571191909841</v>
          </cell>
          <cell r="AC19">
            <v>0</v>
          </cell>
          <cell r="AG19">
            <v>11.914428808090159</v>
          </cell>
          <cell r="AH19">
            <v>2.88</v>
          </cell>
          <cell r="AI19">
            <v>0</v>
          </cell>
          <cell r="AJ19">
            <v>9.0344288080901585</v>
          </cell>
          <cell r="AM19">
            <v>0.14725708911714055</v>
          </cell>
        </row>
        <row r="20">
          <cell r="X20">
            <v>12.365549482912011</v>
          </cell>
          <cell r="AC20">
            <v>0</v>
          </cell>
          <cell r="AG20">
            <v>11.634450517087989</v>
          </cell>
          <cell r="AH20">
            <v>2.88</v>
          </cell>
          <cell r="AI20">
            <v>0</v>
          </cell>
          <cell r="AJ20">
            <v>8.7544505170879887</v>
          </cell>
          <cell r="AM20">
            <v>0.1472160932682772</v>
          </cell>
        </row>
        <row r="21">
          <cell r="X21">
            <v>12.645389751582242</v>
          </cell>
          <cell r="AC21">
            <v>0</v>
          </cell>
          <cell r="AG21">
            <v>11.354610248417758</v>
          </cell>
          <cell r="AH21">
            <v>2.46</v>
          </cell>
          <cell r="AI21">
            <v>0</v>
          </cell>
          <cell r="AJ21">
            <v>8.8946102484177594</v>
          </cell>
          <cell r="AM21">
            <v>0.1470521098728238</v>
          </cell>
        </row>
        <row r="22">
          <cell r="X22">
            <v>12.925092133935333</v>
          </cell>
          <cell r="AC22">
            <v>0</v>
          </cell>
          <cell r="AG22">
            <v>11.074907866064667</v>
          </cell>
          <cell r="AH22">
            <v>2.46</v>
          </cell>
          <cell r="AI22">
            <v>0</v>
          </cell>
          <cell r="AJ22">
            <v>8.6149078660646659</v>
          </cell>
          <cell r="AM22">
            <v>0.14692912232623379</v>
          </cell>
        </row>
        <row r="23">
          <cell r="X23">
            <v>13.204656765786899</v>
          </cell>
          <cell r="AC23">
            <v>0</v>
          </cell>
          <cell r="AG23">
            <v>10.795343234213101</v>
          </cell>
          <cell r="AH23">
            <v>2.46</v>
          </cell>
          <cell r="AI23">
            <v>0</v>
          </cell>
          <cell r="AJ23">
            <v>8.3353432342131022</v>
          </cell>
          <cell r="AM23">
            <v>0.14643717213987359</v>
          </cell>
        </row>
        <row r="24">
          <cell r="X24">
            <v>13.484083782751005</v>
          </cell>
          <cell r="AC24">
            <v>0</v>
          </cell>
          <cell r="AG24">
            <v>10.515916217248995</v>
          </cell>
          <cell r="AH24">
            <v>2.46</v>
          </cell>
          <cell r="AI24">
            <v>0</v>
          </cell>
          <cell r="AJ24">
            <v>8.0559162172489955</v>
          </cell>
          <cell r="AM24">
            <v>0.14582223440692343</v>
          </cell>
        </row>
        <row r="25">
          <cell r="X25">
            <v>13.763373320242529</v>
          </cell>
          <cell r="AC25">
            <v>0</v>
          </cell>
          <cell r="AG25">
            <v>10.236626679757471</v>
          </cell>
          <cell r="AH25">
            <v>2.0099999999999998</v>
          </cell>
          <cell r="AI25">
            <v>0</v>
          </cell>
          <cell r="AJ25">
            <v>8.2266266797574712</v>
          </cell>
          <cell r="AM25">
            <v>0.14557625931374335</v>
          </cell>
        </row>
        <row r="26">
          <cell r="C26">
            <v>13.48</v>
          </cell>
          <cell r="X26">
            <v>14.042525513475592</v>
          </cell>
          <cell r="AC26">
            <v>0</v>
          </cell>
          <cell r="AG26">
            <v>9.9574744865244078</v>
          </cell>
          <cell r="AH26">
            <v>2.0099999999999998</v>
          </cell>
          <cell r="AI26">
            <v>0</v>
          </cell>
          <cell r="AJ26">
            <v>7.947474486524408</v>
          </cell>
          <cell r="AM26">
            <v>0.14578123855806008</v>
          </cell>
        </row>
        <row r="27">
          <cell r="C27">
            <v>7.04</v>
          </cell>
          <cell r="X27">
            <v>14.321540497465909</v>
          </cell>
          <cell r="AC27">
            <v>0</v>
          </cell>
          <cell r="AG27">
            <v>9.6784595025340909</v>
          </cell>
          <cell r="AH27">
            <v>2.0099999999999998</v>
          </cell>
          <cell r="AI27">
            <v>0</v>
          </cell>
          <cell r="AJ27">
            <v>7.6684595025340911</v>
          </cell>
          <cell r="AM27">
            <v>0.14590422610465012</v>
          </cell>
        </row>
        <row r="28">
          <cell r="C28">
            <v>1.87</v>
          </cell>
          <cell r="X28">
            <v>14.600418407030011</v>
          </cell>
          <cell r="AC28">
            <v>0</v>
          </cell>
          <cell r="AG28">
            <v>9.3995815929699891</v>
          </cell>
          <cell r="AH28">
            <v>1.58</v>
          </cell>
          <cell r="AI28">
            <v>0</v>
          </cell>
          <cell r="AJ28">
            <v>7.819581592969989</v>
          </cell>
          <cell r="AM28">
            <v>0.1461283337023937</v>
          </cell>
        </row>
        <row r="29">
          <cell r="C29">
            <v>0</v>
          </cell>
          <cell r="X29">
            <v>14.879159376785241</v>
          </cell>
          <cell r="AC29">
            <v>0</v>
          </cell>
          <cell r="AG29">
            <v>9.1208406232147592</v>
          </cell>
          <cell r="AH29">
            <v>1.58</v>
          </cell>
          <cell r="AI29">
            <v>0</v>
          </cell>
          <cell r="AJ29">
            <v>7.5408406232147591</v>
          </cell>
          <cell r="AM29">
            <v>0.14635278552742051</v>
          </cell>
        </row>
        <row r="30">
          <cell r="X30">
            <v>15.157763541151333</v>
          </cell>
          <cell r="AC30">
            <v>0</v>
          </cell>
          <cell r="AG30">
            <v>8.8422364588486673</v>
          </cell>
          <cell r="AH30">
            <v>1.58</v>
          </cell>
          <cell r="AI30">
            <v>0</v>
          </cell>
          <cell r="AJ30">
            <v>7.2622364588486672</v>
          </cell>
          <cell r="AM30">
            <v>0.14657758210846064</v>
          </cell>
        </row>
        <row r="31">
          <cell r="C31">
            <v>0</v>
          </cell>
          <cell r="X31">
            <v>15.436231034348827</v>
          </cell>
          <cell r="AC31">
            <v>0</v>
          </cell>
          <cell r="AG31">
            <v>8.5637689656511728</v>
          </cell>
          <cell r="AH31">
            <v>1.58</v>
          </cell>
          <cell r="AI31">
            <v>0</v>
          </cell>
          <cell r="AJ31">
            <v>6.9837689656511728</v>
          </cell>
          <cell r="AM31">
            <v>0.14680272397505623</v>
          </cell>
        </row>
        <row r="32">
          <cell r="C32">
            <v>0</v>
          </cell>
          <cell r="X32">
            <v>15.714561990403016</v>
          </cell>
          <cell r="AC32">
            <v>0</v>
          </cell>
          <cell r="AG32">
            <v>8.2854380095969837</v>
          </cell>
          <cell r="AH32">
            <v>1.18</v>
          </cell>
          <cell r="AI32">
            <v>0</v>
          </cell>
          <cell r="AJ32">
            <v>7.105438009596984</v>
          </cell>
          <cell r="AM32">
            <v>0.14702821165756289</v>
          </cell>
        </row>
        <row r="33">
          <cell r="C33">
            <v>0</v>
          </cell>
          <cell r="X33">
            <v>15.992756543141587</v>
          </cell>
          <cell r="AC33">
            <v>0</v>
          </cell>
          <cell r="AG33">
            <v>8.0072434568584132</v>
          </cell>
          <cell r="AH33">
            <v>1.18</v>
          </cell>
          <cell r="AI33">
            <v>0</v>
          </cell>
          <cell r="AJ33">
            <v>6.8272434568584135</v>
          </cell>
          <cell r="AM33">
            <v>0.14725404568715075</v>
          </cell>
        </row>
        <row r="34">
          <cell r="C34">
            <v>0</v>
          </cell>
          <cell r="X34">
            <v>16.270814826193032</v>
          </cell>
          <cell r="AC34">
            <v>0</v>
          </cell>
          <cell r="AG34">
            <v>7.7291851738069681</v>
          </cell>
          <cell r="AH34">
            <v>1.18</v>
          </cell>
          <cell r="AI34">
            <v>0</v>
          </cell>
          <cell r="AJ34">
            <v>6.5491851738069684</v>
          </cell>
          <cell r="AM34">
            <v>0.14748022659580584</v>
          </cell>
        </row>
        <row r="35">
          <cell r="X35">
            <v>16.548736972993741</v>
          </cell>
          <cell r="AC35">
            <v>0</v>
          </cell>
          <cell r="AG35">
            <v>7.4512630270062594</v>
          </cell>
          <cell r="AH35">
            <v>0.77</v>
          </cell>
          <cell r="AI35">
            <v>0</v>
          </cell>
          <cell r="AJ35">
            <v>6.6812630270062598</v>
          </cell>
          <cell r="AM35">
            <v>0.1477067549163314</v>
          </cell>
        </row>
        <row r="36">
          <cell r="C36">
            <v>0.52</v>
          </cell>
          <cell r="X36">
            <v>16.826523116780926</v>
          </cell>
          <cell r="AC36">
            <v>0</v>
          </cell>
          <cell r="AG36">
            <v>7.1734768832190738</v>
          </cell>
          <cell r="AH36">
            <v>0.77</v>
          </cell>
          <cell r="AI36">
            <v>0</v>
          </cell>
          <cell r="AJ36">
            <v>6.4034768832190743</v>
          </cell>
          <cell r="AM36">
            <v>0.14793363118234892</v>
          </cell>
        </row>
        <row r="37">
          <cell r="C37">
            <v>0.18</v>
          </cell>
          <cell r="X37">
            <v>17.104173390596536</v>
          </cell>
          <cell r="AC37">
            <v>0</v>
          </cell>
          <cell r="AG37">
            <v>6.8958266094034641</v>
          </cell>
          <cell r="AH37">
            <v>0.77</v>
          </cell>
          <cell r="AI37">
            <v>0</v>
          </cell>
          <cell r="AJ37">
            <v>6.1258266094034646</v>
          </cell>
          <cell r="AM37">
            <v>0.14816085592829958</v>
          </cell>
        </row>
        <row r="38">
          <cell r="C38">
            <v>0.18</v>
          </cell>
          <cell r="X38">
            <v>17.381687927289644</v>
          </cell>
          <cell r="AC38">
            <v>0</v>
          </cell>
          <cell r="AG38">
            <v>6.6183120727103564</v>
          </cell>
          <cell r="AH38">
            <v>0.77</v>
          </cell>
          <cell r="AI38">
            <v>0</v>
          </cell>
          <cell r="AJ38">
            <v>5.8483120727103568</v>
          </cell>
          <cell r="AM38">
            <v>0.14838842968944552</v>
          </cell>
        </row>
        <row r="39">
          <cell r="C39">
            <v>0</v>
          </cell>
          <cell r="X39">
            <v>17.65906685951327</v>
          </cell>
          <cell r="AC39">
            <v>0</v>
          </cell>
          <cell r="AG39">
            <v>6.3409331404867295</v>
          </cell>
          <cell r="AH39">
            <v>0.44</v>
          </cell>
          <cell r="AI39">
            <v>0</v>
          </cell>
          <cell r="AJ39">
            <v>5.9009331404867291</v>
          </cell>
          <cell r="AM39">
            <v>0.14838842968944552</v>
          </cell>
        </row>
        <row r="40">
          <cell r="X40">
            <v>17.93631031972599</v>
          </cell>
          <cell r="AC40">
            <v>0</v>
          </cell>
          <cell r="AG40">
            <v>6.0636896802740097</v>
          </cell>
          <cell r="AH40">
            <v>0.44</v>
          </cell>
          <cell r="AI40">
            <v>0</v>
          </cell>
          <cell r="AJ40">
            <v>5.6236896802740093</v>
          </cell>
          <cell r="AM40">
            <v>0.14838842968944552</v>
          </cell>
        </row>
        <row r="41">
          <cell r="C41">
            <v>12.5</v>
          </cell>
          <cell r="X41">
            <v>18.213418440191116</v>
          </cell>
          <cell r="AC41">
            <v>0</v>
          </cell>
          <cell r="AG41">
            <v>5.7865815598088837</v>
          </cell>
          <cell r="AH41">
            <v>0.44</v>
          </cell>
          <cell r="AI41">
            <v>0</v>
          </cell>
          <cell r="AJ41">
            <v>5.3465815598088833</v>
          </cell>
          <cell r="AM41">
            <v>0.14838842968944552</v>
          </cell>
        </row>
        <row r="42">
          <cell r="C42">
            <v>0.18</v>
          </cell>
          <cell r="X42">
            <v>18.490391352980648</v>
          </cell>
          <cell r="AC42">
            <v>0</v>
          </cell>
          <cell r="AG42">
            <v>5.5096086470193519</v>
          </cell>
          <cell r="AH42">
            <v>0.44</v>
          </cell>
          <cell r="AI42">
            <v>0</v>
          </cell>
          <cell r="AJ42">
            <v>5.0696086470193515</v>
          </cell>
          <cell r="AM42">
            <v>0.14838842968944552</v>
          </cell>
        </row>
        <row r="43">
          <cell r="C43">
            <v>0.18</v>
          </cell>
        </row>
        <row r="44">
          <cell r="C44">
            <v>0</v>
          </cell>
        </row>
      </sheetData>
      <sheetData sheetId="5">
        <row r="5">
          <cell r="C5">
            <v>9.5595330252597215</v>
          </cell>
        </row>
        <row r="6">
          <cell r="C6">
            <v>0</v>
          </cell>
        </row>
        <row r="8">
          <cell r="C8">
            <v>2.1508949306834371</v>
          </cell>
        </row>
        <row r="9">
          <cell r="C9">
            <v>13.536298763767766</v>
          </cell>
        </row>
        <row r="19">
          <cell r="C19">
            <v>0</v>
          </cell>
        </row>
        <row r="20">
          <cell r="C20">
            <v>3</v>
          </cell>
        </row>
        <row r="26">
          <cell r="C26" t="str">
            <v>MICHIGAN</v>
          </cell>
        </row>
        <row r="45">
          <cell r="C45">
            <v>1</v>
          </cell>
        </row>
      </sheetData>
      <sheetData sheetId="6"/>
      <sheetData sheetId="7"/>
      <sheetData sheetId="8"/>
      <sheetData sheetId="9">
        <row r="5">
          <cell r="C5">
            <v>0</v>
          </cell>
        </row>
      </sheetData>
      <sheetData sheetId="10">
        <row r="4">
          <cell r="G4">
            <v>2011</v>
          </cell>
        </row>
        <row r="8">
          <cell r="C8">
            <v>0.13340049220132943</v>
          </cell>
        </row>
      </sheetData>
      <sheetData sheetId="11">
        <row r="5">
          <cell r="D5">
            <v>3</v>
          </cell>
        </row>
        <row r="11">
          <cell r="B11">
            <v>2009</v>
          </cell>
          <cell r="C11">
            <v>0.99539028887523051</v>
          </cell>
        </row>
        <row r="12">
          <cell r="B12">
            <v>2010</v>
          </cell>
          <cell r="C12">
            <v>1.0273509526736324</v>
          </cell>
          <cell r="G12">
            <v>32.389046</v>
          </cell>
          <cell r="H12">
            <v>32.39</v>
          </cell>
          <cell r="I12">
            <v>32.39</v>
          </cell>
        </row>
        <row r="13">
          <cell r="B13">
            <v>2011</v>
          </cell>
          <cell r="C13">
            <v>1</v>
          </cell>
          <cell r="G13">
            <v>33.433472000000002</v>
          </cell>
          <cell r="H13">
            <v>33.43</v>
          </cell>
          <cell r="I13">
            <v>33.43</v>
          </cell>
        </row>
        <row r="14">
          <cell r="B14">
            <v>2012</v>
          </cell>
          <cell r="C14">
            <v>1</v>
          </cell>
          <cell r="G14">
            <v>32.542102999999997</v>
          </cell>
          <cell r="H14">
            <v>32.54</v>
          </cell>
          <cell r="I14">
            <v>32.54</v>
          </cell>
        </row>
        <row r="15">
          <cell r="B15">
            <v>2013</v>
          </cell>
          <cell r="C15">
            <v>1.0215119852489245</v>
          </cell>
          <cell r="G15">
            <v>32.577969000000003</v>
          </cell>
          <cell r="H15">
            <v>32.54</v>
          </cell>
          <cell r="I15">
            <v>32.64</v>
          </cell>
        </row>
        <row r="16">
          <cell r="B16">
            <v>2014</v>
          </cell>
          <cell r="C16">
            <v>1.0344191763982791</v>
          </cell>
          <cell r="G16">
            <v>33.480797000000003</v>
          </cell>
          <cell r="H16">
            <v>33.24</v>
          </cell>
          <cell r="I16">
            <v>33.770000000000003</v>
          </cell>
        </row>
        <row r="17">
          <cell r="B17">
            <v>2015</v>
          </cell>
          <cell r="C17">
            <v>1.0507068223724647</v>
          </cell>
          <cell r="G17">
            <v>33.983325999999998</v>
          </cell>
          <cell r="H17">
            <v>33.659999999999997</v>
          </cell>
          <cell r="I17">
            <v>34.47</v>
          </cell>
        </row>
        <row r="18">
          <cell r="B18">
            <v>2016</v>
          </cell>
          <cell r="C18">
            <v>1.0676090964966196</v>
          </cell>
          <cell r="G18">
            <v>34.488213000000002</v>
          </cell>
          <cell r="H18">
            <v>34.19</v>
          </cell>
          <cell r="I18">
            <v>35.22</v>
          </cell>
        </row>
        <row r="19">
          <cell r="B19">
            <v>2017</v>
          </cell>
          <cell r="C19">
            <v>1.0700676090964967</v>
          </cell>
          <cell r="G19">
            <v>34.951557000000001</v>
          </cell>
          <cell r="H19">
            <v>34.74</v>
          </cell>
          <cell r="I19">
            <v>35.450000000000003</v>
          </cell>
        </row>
        <row r="20">
          <cell r="B20">
            <v>2018</v>
          </cell>
          <cell r="C20">
            <v>1.0679164105716041</v>
          </cell>
          <cell r="G20">
            <v>34.798988000000001</v>
          </cell>
          <cell r="H20">
            <v>34.82</v>
          </cell>
          <cell r="I20">
            <v>35.21</v>
          </cell>
        </row>
        <row r="21">
          <cell r="B21">
            <v>2019</v>
          </cell>
          <cell r="C21">
            <v>1.0679164105716041</v>
          </cell>
          <cell r="G21">
            <v>34.700358999999999</v>
          </cell>
          <cell r="H21">
            <v>34.75</v>
          </cell>
          <cell r="I21">
            <v>35.07</v>
          </cell>
        </row>
        <row r="22">
          <cell r="B22">
            <v>2020</v>
          </cell>
          <cell r="C22">
            <v>1.0688383527965581</v>
          </cell>
          <cell r="G22">
            <v>34.656188999999998</v>
          </cell>
          <cell r="H22">
            <v>34.75</v>
          </cell>
          <cell r="I22">
            <v>34.82</v>
          </cell>
        </row>
        <row r="23">
          <cell r="B23">
            <v>2021</v>
          </cell>
          <cell r="C23">
            <v>1.0706822372464659</v>
          </cell>
          <cell r="G23">
            <v>34.711815000000001</v>
          </cell>
          <cell r="H23">
            <v>34.78</v>
          </cell>
          <cell r="I23">
            <v>34.78</v>
          </cell>
        </row>
        <row r="24">
          <cell r="B24">
            <v>2022</v>
          </cell>
          <cell r="C24">
            <v>1.0737553779963123</v>
          </cell>
          <cell r="G24">
            <v>34.764392999999998</v>
          </cell>
          <cell r="H24">
            <v>34.840000000000003</v>
          </cell>
          <cell r="I24">
            <v>34.700000000000003</v>
          </cell>
        </row>
        <row r="25">
          <cell r="B25">
            <v>2023</v>
          </cell>
          <cell r="C25">
            <v>1.0780577750460971</v>
          </cell>
          <cell r="G25">
            <v>34.922564999999999</v>
          </cell>
          <cell r="H25">
            <v>34.94</v>
          </cell>
          <cell r="I25">
            <v>34.76</v>
          </cell>
        </row>
        <row r="26">
          <cell r="B26">
            <v>2024</v>
          </cell>
          <cell r="C26">
            <v>1.0845113706207745</v>
          </cell>
          <cell r="G26">
            <v>35.112892000000002</v>
          </cell>
          <cell r="H26">
            <v>35.08</v>
          </cell>
          <cell r="I26">
            <v>35.119999999999997</v>
          </cell>
        </row>
        <row r="27">
          <cell r="B27">
            <v>2025</v>
          </cell>
          <cell r="C27">
            <v>1.0934234787953288</v>
          </cell>
          <cell r="G27">
            <v>35.256011999999998</v>
          </cell>
          <cell r="H27">
            <v>35.29</v>
          </cell>
          <cell r="I27">
            <v>35.159999999999997</v>
          </cell>
        </row>
        <row r="28">
          <cell r="B28">
            <v>2026</v>
          </cell>
          <cell r="C28">
            <v>1.102642901044868</v>
          </cell>
          <cell r="G28">
            <v>35.323013000000003</v>
          </cell>
          <cell r="H28">
            <v>35.58</v>
          </cell>
          <cell r="I28">
            <v>35.07</v>
          </cell>
        </row>
        <row r="29">
          <cell r="B29">
            <v>2027</v>
          </cell>
          <cell r="C29">
            <v>1.1038721573448065</v>
          </cell>
          <cell r="G29">
            <v>35.324142000000002</v>
          </cell>
          <cell r="H29">
            <v>35.880000000000003</v>
          </cell>
          <cell r="I29">
            <v>34.880000000000003</v>
          </cell>
        </row>
        <row r="30">
          <cell r="B30">
            <v>2028</v>
          </cell>
          <cell r="C30">
            <v>1.1035648432698217</v>
          </cell>
          <cell r="G30">
            <v>35.267353</v>
          </cell>
          <cell r="H30">
            <v>35.92</v>
          </cell>
          <cell r="I30">
            <v>34.54</v>
          </cell>
        </row>
        <row r="31">
          <cell r="B31">
            <v>2029</v>
          </cell>
          <cell r="C31">
            <v>1.1023355869698832</v>
          </cell>
          <cell r="G31">
            <v>35.207977</v>
          </cell>
          <cell r="H31">
            <v>35.909999999999997</v>
          </cell>
          <cell r="I31">
            <v>34.22</v>
          </cell>
        </row>
        <row r="32">
          <cell r="B32">
            <v>2030</v>
          </cell>
          <cell r="C32">
            <v>1.1014136447449294</v>
          </cell>
          <cell r="G32">
            <v>35.169338000000003</v>
          </cell>
          <cell r="H32">
            <v>35.869999999999997</v>
          </cell>
          <cell r="I32">
            <v>34.049999999999997</v>
          </cell>
        </row>
        <row r="33">
          <cell r="B33">
            <v>2031</v>
          </cell>
          <cell r="C33">
            <v>1.0977258758451136</v>
          </cell>
          <cell r="G33">
            <v>35.096626000000001</v>
          </cell>
          <cell r="H33">
            <v>35.840000000000003</v>
          </cell>
          <cell r="I33">
            <v>33.89</v>
          </cell>
        </row>
        <row r="34">
          <cell r="B34">
            <v>2032</v>
          </cell>
          <cell r="C34">
            <v>1.0931161647203442</v>
          </cell>
          <cell r="G34">
            <v>35.001175000000003</v>
          </cell>
          <cell r="H34">
            <v>35.72</v>
          </cell>
          <cell r="I34">
            <v>33.76</v>
          </cell>
        </row>
        <row r="35">
          <cell r="B35">
            <v>2033</v>
          </cell>
          <cell r="C35">
            <v>1.0912722802704364</v>
          </cell>
          <cell r="G35">
            <v>34.831313999999999</v>
          </cell>
          <cell r="H35">
            <v>35.57</v>
          </cell>
          <cell r="I35">
            <v>33.549999999999997</v>
          </cell>
        </row>
        <row r="36">
          <cell r="B36">
            <v>2034</v>
          </cell>
          <cell r="C36">
            <v>1.0928088506453597</v>
          </cell>
          <cell r="G36">
            <v>34.673969</v>
          </cell>
          <cell r="H36">
            <v>35.51</v>
          </cell>
          <cell r="I36">
            <v>33.56</v>
          </cell>
        </row>
        <row r="37">
          <cell r="B37">
            <v>2035</v>
          </cell>
          <cell r="C37">
            <v>1.0937307928703135</v>
          </cell>
          <cell r="G37">
            <v>34.839931</v>
          </cell>
          <cell r="H37">
            <v>35.56</v>
          </cell>
          <cell r="I37">
            <v>33.5</v>
          </cell>
        </row>
        <row r="38">
          <cell r="B38">
            <v>2036</v>
          </cell>
          <cell r="C38">
            <v>1.0954107536713977</v>
          </cell>
          <cell r="G38">
            <v>35.021332000000001</v>
          </cell>
          <cell r="H38">
            <v>35.590000000000003</v>
          </cell>
          <cell r="I38">
            <v>33.71</v>
          </cell>
        </row>
        <row r="39">
          <cell r="B39">
            <v>2037</v>
          </cell>
          <cell r="C39">
            <v>1.0970932948773782</v>
          </cell>
        </row>
        <row r="40">
          <cell r="B40">
            <v>2038</v>
          </cell>
          <cell r="C40">
            <v>1.0987784204517341</v>
          </cell>
        </row>
        <row r="41">
          <cell r="B41">
            <v>2039</v>
          </cell>
          <cell r="C41">
            <v>1.1004661343640323</v>
          </cell>
        </row>
        <row r="42">
          <cell r="B42">
            <v>2040</v>
          </cell>
          <cell r="C42">
            <v>1.1021564405899369</v>
          </cell>
        </row>
        <row r="43">
          <cell r="B43">
            <v>2041</v>
          </cell>
          <cell r="C43">
            <v>1.1038493431112186</v>
          </cell>
        </row>
        <row r="44">
          <cell r="B44">
            <v>2042</v>
          </cell>
          <cell r="C44">
            <v>1.1055448459157642</v>
          </cell>
        </row>
        <row r="45">
          <cell r="B45">
            <v>2043</v>
          </cell>
          <cell r="C45">
            <v>1.1072429529975856</v>
          </cell>
        </row>
        <row r="46">
          <cell r="B46">
            <v>2044</v>
          </cell>
          <cell r="C46">
            <v>1.1089436683568297</v>
          </cell>
        </row>
        <row r="47">
          <cell r="B47">
            <v>2045</v>
          </cell>
          <cell r="C47">
            <v>1.1106469959997873</v>
          </cell>
        </row>
        <row r="48">
          <cell r="B48">
            <v>2046</v>
          </cell>
          <cell r="C48">
            <v>1.1123529399389032</v>
          </cell>
        </row>
      </sheetData>
      <sheetData sheetId="12">
        <row r="4">
          <cell r="D4">
            <v>7.0485579914747604E-2</v>
          </cell>
        </row>
        <row r="5">
          <cell r="M5">
            <v>6.38053570935979E-2</v>
          </cell>
        </row>
        <row r="6">
          <cell r="M6">
            <v>9.5879779872723295E-2</v>
          </cell>
        </row>
        <row r="7">
          <cell r="M7">
            <v>2.7019807112857002E-4</v>
          </cell>
        </row>
        <row r="8">
          <cell r="M8">
            <v>3.4769528878881101E-2</v>
          </cell>
        </row>
        <row r="9">
          <cell r="M9">
            <v>5.4853282575819E-2</v>
          </cell>
        </row>
        <row r="10">
          <cell r="M10">
            <v>0</v>
          </cell>
        </row>
        <row r="11">
          <cell r="M11">
            <v>1.4542243259958731E-2</v>
          </cell>
        </row>
        <row r="12">
          <cell r="M12">
            <v>2.7908567581589716E-2</v>
          </cell>
        </row>
        <row r="13">
          <cell r="M13">
            <v>5.301860922626056E-2</v>
          </cell>
        </row>
        <row r="14">
          <cell r="M14">
            <v>2.5776936197600884E-2</v>
          </cell>
        </row>
        <row r="15">
          <cell r="M15">
            <v>7.0485579914747604E-2</v>
          </cell>
        </row>
        <row r="16">
          <cell r="M16">
            <v>2.0588348495637204E-2</v>
          </cell>
        </row>
      </sheetData>
      <sheetData sheetId="13">
        <row r="14">
          <cell r="B14" t="str">
            <v>9b13e708-5635-4372-9234-e0cbe897a62e</v>
          </cell>
        </row>
      </sheetData>
      <sheetData sheetId="14">
        <row r="4">
          <cell r="D4">
            <v>7</v>
          </cell>
        </row>
        <row r="10">
          <cell r="B10">
            <v>0</v>
          </cell>
        </row>
        <row r="11">
          <cell r="B11">
            <v>0.5</v>
          </cell>
        </row>
        <row r="12">
          <cell r="B12">
            <v>1</v>
          </cell>
        </row>
        <row r="13">
          <cell r="B13">
            <v>1.5</v>
          </cell>
        </row>
        <row r="14">
          <cell r="B14">
            <v>2</v>
          </cell>
        </row>
        <row r="15">
          <cell r="B15">
            <v>2.5</v>
          </cell>
        </row>
        <row r="16">
          <cell r="B16">
            <v>3</v>
          </cell>
        </row>
        <row r="17">
          <cell r="B17">
            <v>3.5</v>
          </cell>
        </row>
        <row r="18">
          <cell r="B18">
            <v>4</v>
          </cell>
        </row>
        <row r="19">
          <cell r="B19">
            <v>4.5</v>
          </cell>
        </row>
        <row r="20">
          <cell r="B20">
            <v>5</v>
          </cell>
        </row>
        <row r="21">
          <cell r="B21">
            <v>5.5</v>
          </cell>
        </row>
        <row r="22">
          <cell r="B22">
            <v>6</v>
          </cell>
        </row>
        <row r="23">
          <cell r="B23">
            <v>6.5</v>
          </cell>
        </row>
        <row r="24">
          <cell r="B24">
            <v>7</v>
          </cell>
        </row>
        <row r="25">
          <cell r="B25">
            <v>7.5</v>
          </cell>
        </row>
        <row r="26">
          <cell r="B26">
            <v>8</v>
          </cell>
        </row>
        <row r="27">
          <cell r="B27">
            <v>8.5</v>
          </cell>
        </row>
        <row r="28">
          <cell r="B28">
            <v>9</v>
          </cell>
        </row>
        <row r="29">
          <cell r="B29">
            <v>9.5</v>
          </cell>
        </row>
        <row r="30">
          <cell r="B30">
            <v>10</v>
          </cell>
        </row>
        <row r="31">
          <cell r="B31">
            <v>10.5</v>
          </cell>
        </row>
        <row r="32">
          <cell r="B32">
            <v>11</v>
          </cell>
        </row>
        <row r="33">
          <cell r="B33">
            <v>11.5</v>
          </cell>
        </row>
        <row r="34">
          <cell r="B34">
            <v>12</v>
          </cell>
        </row>
        <row r="35">
          <cell r="B35">
            <v>12.5</v>
          </cell>
        </row>
      </sheetData>
      <sheetData sheetId="15"/>
      <sheetData sheetId="16"/>
      <sheetData sheetId="17"/>
      <sheetData sheetId="18">
        <row r="1">
          <cell r="W1" t="str">
            <v>Statistics</v>
          </cell>
        </row>
      </sheetData>
      <sheetData sheetId="19"/>
      <sheetData sheetId="20"/>
      <sheetData sheetId="21"/>
      <sheetData sheetId="22"/>
      <sheetData sheetId="23"/>
      <sheetData sheetId="2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TSL-CSL Mapping"/>
      <sheetName val="Introduction"/>
      <sheetName val="Summary"/>
      <sheetName val="Calcs"/>
      <sheetName val="Shipments"/>
      <sheetName val="Shipment Data"/>
      <sheetName val="Efficiency Dist."/>
      <sheetName val="Efficiency Dist. Data"/>
      <sheetName val="Model Data"/>
      <sheetName val="Usage Trend"/>
      <sheetName val="Electricity Prices"/>
      <sheetName val="FFC Factors"/>
      <sheetName val="Lifetime"/>
      <sheetName val="INPUT - LCC Data"/>
      <sheetName val="Spreadsheet Flow Diagram"/>
    </sheetNames>
    <sheetDataSet>
      <sheetData sheetId="0">
        <row r="2">
          <cell r="C2" t="str">
            <v>2018</v>
          </cell>
          <cell r="D2" t="str">
            <v>AEO 2012 Reference</v>
          </cell>
          <cell r="E2" t="str">
            <v>1</v>
          </cell>
          <cell r="G2" t="str">
            <v>Cable Base</v>
          </cell>
          <cell r="H2" t="str">
            <v>100% E*3, Fast Improvement</v>
          </cell>
          <cell r="I2" t="str">
            <v>Postive Growth</v>
          </cell>
        </row>
        <row r="3">
          <cell r="C3">
            <v>2018</v>
          </cell>
          <cell r="D3">
            <v>1</v>
          </cell>
          <cell r="E3">
            <v>1</v>
          </cell>
          <cell r="F3">
            <v>1</v>
          </cell>
          <cell r="H3">
            <v>5</v>
          </cell>
          <cell r="I3">
            <v>3</v>
          </cell>
        </row>
        <row r="5">
          <cell r="C5">
            <v>2017</v>
          </cell>
          <cell r="D5" t="str">
            <v>AEO 2012 Reference</v>
          </cell>
          <cell r="E5">
            <v>1</v>
          </cell>
          <cell r="G5" t="str">
            <v>Cable Base</v>
          </cell>
          <cell r="H5" t="str">
            <v>90% E*3, No Improvement</v>
          </cell>
          <cell r="I5" t="str">
            <v>Negative Growth</v>
          </cell>
        </row>
        <row r="6">
          <cell r="C6">
            <v>2018</v>
          </cell>
          <cell r="D6" t="str">
            <v>AEO 2012 High Growth</v>
          </cell>
          <cell r="E6">
            <v>2</v>
          </cell>
          <cell r="G6" t="str">
            <v>Cable Video Client</v>
          </cell>
          <cell r="H6" t="str">
            <v>100% E*3, No Improvement</v>
          </cell>
          <cell r="I6" t="str">
            <v>Flat Growth</v>
          </cell>
        </row>
        <row r="7">
          <cell r="C7">
            <v>2019</v>
          </cell>
          <cell r="D7" t="str">
            <v>AEO 2012 Low Growth</v>
          </cell>
          <cell r="E7">
            <v>3</v>
          </cell>
          <cell r="G7" t="str">
            <v>Cable Video Server</v>
          </cell>
          <cell r="H7" t="str">
            <v>90% E*3, Avg. Improvement</v>
          </cell>
          <cell r="I7" t="str">
            <v>Postive Growth</v>
          </cell>
        </row>
        <row r="8">
          <cell r="G8" t="str">
            <v>Cable with DVR</v>
          </cell>
          <cell r="H8" t="str">
            <v>100% E*3, Avg. Improvement</v>
          </cell>
        </row>
        <row r="9">
          <cell r="G9" t="str">
            <v>Cable with DVR &amp; Video Server</v>
          </cell>
          <cell r="H9" t="str">
            <v>100% E*3, Fast Improvement</v>
          </cell>
        </row>
        <row r="10">
          <cell r="G10" t="str">
            <v>Satellite Base</v>
          </cell>
        </row>
        <row r="11">
          <cell r="G11" t="str">
            <v>Satellite Video Client</v>
          </cell>
        </row>
        <row r="12">
          <cell r="G12" t="str">
            <v>Satellite Video Server</v>
          </cell>
        </row>
        <row r="13">
          <cell r="G13" t="str">
            <v>Satellite with DVR</v>
          </cell>
        </row>
        <row r="14">
          <cell r="G14" t="str">
            <v>Satellite with DVR &amp; Video Server</v>
          </cell>
        </row>
        <row r="15">
          <cell r="G15" t="str">
            <v>IP Base</v>
          </cell>
        </row>
        <row r="16">
          <cell r="G16" t="str">
            <v>IP Video Client</v>
          </cell>
        </row>
        <row r="17">
          <cell r="G17" t="str">
            <v>IP Video Server</v>
          </cell>
        </row>
        <row r="18">
          <cell r="G18" t="str">
            <v>IP with DVR</v>
          </cell>
        </row>
        <row r="19">
          <cell r="G19" t="str">
            <v>IP with DVR &amp; Video Server</v>
          </cell>
        </row>
        <row r="20">
          <cell r="G20" t="str">
            <v>OTT</v>
          </cell>
        </row>
        <row r="21">
          <cell r="G21" t="str">
            <v>Thin-client</v>
          </cell>
        </row>
      </sheetData>
      <sheetData sheetId="1">
        <row r="5">
          <cell r="B5" t="str">
            <v>Cable Base</v>
          </cell>
          <cell r="C5">
            <v>1</v>
          </cell>
          <cell r="D5">
            <v>2</v>
          </cell>
          <cell r="E5">
            <v>3</v>
          </cell>
        </row>
        <row r="6">
          <cell r="B6" t="str">
            <v>Cable Video Client</v>
          </cell>
          <cell r="C6">
            <v>1</v>
          </cell>
          <cell r="D6">
            <v>2</v>
          </cell>
          <cell r="E6">
            <v>3</v>
          </cell>
        </row>
        <row r="7">
          <cell r="B7" t="str">
            <v>Cable Video Server</v>
          </cell>
          <cell r="C7">
            <v>1</v>
          </cell>
          <cell r="D7">
            <v>2</v>
          </cell>
          <cell r="E7">
            <v>3</v>
          </cell>
        </row>
        <row r="8">
          <cell r="B8" t="str">
            <v>Cable with DVR</v>
          </cell>
          <cell r="C8">
            <v>1</v>
          </cell>
          <cell r="D8">
            <v>2</v>
          </cell>
          <cell r="E8">
            <v>3</v>
          </cell>
        </row>
        <row r="9">
          <cell r="B9" t="str">
            <v>Cable with DVR &amp; Video Server</v>
          </cell>
          <cell r="C9">
            <v>1</v>
          </cell>
          <cell r="D9">
            <v>2</v>
          </cell>
          <cell r="E9">
            <v>3</v>
          </cell>
        </row>
        <row r="10">
          <cell r="B10" t="str">
            <v>Satellite Base</v>
          </cell>
          <cell r="C10">
            <v>1</v>
          </cell>
          <cell r="D10">
            <v>2</v>
          </cell>
          <cell r="E10">
            <v>3</v>
          </cell>
        </row>
        <row r="11">
          <cell r="B11" t="str">
            <v>Satellite Video Client</v>
          </cell>
          <cell r="C11">
            <v>1</v>
          </cell>
          <cell r="D11">
            <v>2</v>
          </cell>
          <cell r="E11">
            <v>3</v>
          </cell>
        </row>
        <row r="12">
          <cell r="B12" t="str">
            <v>Satellite Video Server</v>
          </cell>
          <cell r="C12">
            <v>1</v>
          </cell>
          <cell r="D12">
            <v>2</v>
          </cell>
          <cell r="E12">
            <v>3</v>
          </cell>
        </row>
        <row r="13">
          <cell r="B13" t="str">
            <v>Satellite with DVR</v>
          </cell>
          <cell r="C13">
            <v>1</v>
          </cell>
          <cell r="D13">
            <v>2</v>
          </cell>
          <cell r="E13">
            <v>3</v>
          </cell>
        </row>
        <row r="14">
          <cell r="B14" t="str">
            <v>Satellite with DVR &amp; Video Server</v>
          </cell>
          <cell r="C14">
            <v>1</v>
          </cell>
          <cell r="D14">
            <v>2</v>
          </cell>
          <cell r="E14">
            <v>3</v>
          </cell>
        </row>
        <row r="15">
          <cell r="B15" t="str">
            <v>IP Base</v>
          </cell>
          <cell r="C15">
            <v>1</v>
          </cell>
          <cell r="D15">
            <v>2</v>
          </cell>
          <cell r="E15">
            <v>3</v>
          </cell>
        </row>
        <row r="16">
          <cell r="B16" t="str">
            <v>IP Video Client</v>
          </cell>
          <cell r="C16">
            <v>1</v>
          </cell>
          <cell r="D16">
            <v>2</v>
          </cell>
          <cell r="E16">
            <v>3</v>
          </cell>
        </row>
        <row r="17">
          <cell r="B17" t="str">
            <v>IP Video Server</v>
          </cell>
          <cell r="C17">
            <v>1</v>
          </cell>
          <cell r="D17">
            <v>2</v>
          </cell>
          <cell r="E17">
            <v>3</v>
          </cell>
        </row>
        <row r="18">
          <cell r="B18" t="str">
            <v>IP with DVR</v>
          </cell>
          <cell r="C18">
            <v>1</v>
          </cell>
          <cell r="D18">
            <v>2</v>
          </cell>
          <cell r="E18">
            <v>3</v>
          </cell>
        </row>
        <row r="19">
          <cell r="B19" t="str">
            <v>IP with DVR &amp; Video Server</v>
          </cell>
          <cell r="C19">
            <v>1</v>
          </cell>
          <cell r="D19">
            <v>2</v>
          </cell>
          <cell r="E19">
            <v>3</v>
          </cell>
        </row>
        <row r="20">
          <cell r="B20" t="str">
            <v>OTT</v>
          </cell>
          <cell r="C20">
            <v>1</v>
          </cell>
          <cell r="D20">
            <v>2</v>
          </cell>
          <cell r="E20">
            <v>2</v>
          </cell>
        </row>
        <row r="21">
          <cell r="B21" t="str">
            <v>Thin-client</v>
          </cell>
          <cell r="C21">
            <v>1</v>
          </cell>
          <cell r="D21">
            <v>2</v>
          </cell>
          <cell r="E21">
            <v>3</v>
          </cell>
        </row>
      </sheetData>
      <sheetData sheetId="2"/>
      <sheetData sheetId="3">
        <row r="8">
          <cell r="C8">
            <v>2013</v>
          </cell>
        </row>
        <row r="10">
          <cell r="C10">
            <v>0.05</v>
          </cell>
        </row>
        <row r="14">
          <cell r="C14">
            <v>30</v>
          </cell>
        </row>
      </sheetData>
      <sheetData sheetId="4"/>
      <sheetData sheetId="5"/>
      <sheetData sheetId="6"/>
      <sheetData sheetId="7">
        <row r="3">
          <cell r="D3">
            <v>1</v>
          </cell>
        </row>
        <row r="10">
          <cell r="C10">
            <v>0.5</v>
          </cell>
          <cell r="D10">
            <v>0.4</v>
          </cell>
          <cell r="E10">
            <v>0.1</v>
          </cell>
          <cell r="F10">
            <v>0</v>
          </cell>
          <cell r="J10">
            <v>0.5</v>
          </cell>
          <cell r="K10">
            <v>0.4</v>
          </cell>
          <cell r="L10">
            <v>0.1</v>
          </cell>
          <cell r="M10">
            <v>0</v>
          </cell>
        </row>
      </sheetData>
      <sheetData sheetId="8"/>
      <sheetData sheetId="9">
        <row r="5">
          <cell r="C5">
            <v>0</v>
          </cell>
          <cell r="D5">
            <v>1</v>
          </cell>
          <cell r="E5">
            <v>2</v>
          </cell>
          <cell r="F5">
            <v>3</v>
          </cell>
        </row>
        <row r="26">
          <cell r="L26">
            <v>7.0847343495634152E-2</v>
          </cell>
        </row>
        <row r="27">
          <cell r="L27">
            <v>7.0301783110911745E-2</v>
          </cell>
        </row>
        <row r="28">
          <cell r="L28">
            <v>6.8897072252026043E-2</v>
          </cell>
        </row>
        <row r="29">
          <cell r="L29">
            <v>6.8321769552707315E-2</v>
          </cell>
        </row>
        <row r="30">
          <cell r="L30">
            <v>7.0999999999999994E-2</v>
          </cell>
        </row>
        <row r="31">
          <cell r="L31">
            <v>7.0699999999999999E-2</v>
          </cell>
        </row>
        <row r="32">
          <cell r="L32">
            <v>6.8599999999999994E-2</v>
          </cell>
        </row>
        <row r="33">
          <cell r="L33">
            <v>6.8199999999999997E-2</v>
          </cell>
        </row>
        <row r="36">
          <cell r="M36">
            <v>4</v>
          </cell>
        </row>
        <row r="37">
          <cell r="M37">
            <v>4</v>
          </cell>
        </row>
        <row r="38">
          <cell r="M38">
            <v>8</v>
          </cell>
        </row>
        <row r="39">
          <cell r="M39">
            <v>3</v>
          </cell>
        </row>
        <row r="40">
          <cell r="D40">
            <v>0</v>
          </cell>
          <cell r="E40">
            <v>1</v>
          </cell>
          <cell r="F40">
            <v>2</v>
          </cell>
          <cell r="G40">
            <v>3</v>
          </cell>
          <cell r="M40">
            <v>7</v>
          </cell>
        </row>
        <row r="41">
          <cell r="M41">
            <v>2</v>
          </cell>
        </row>
        <row r="42">
          <cell r="M42">
            <v>2</v>
          </cell>
        </row>
        <row r="43">
          <cell r="M43">
            <v>6</v>
          </cell>
        </row>
        <row r="44">
          <cell r="M44">
            <v>1</v>
          </cell>
        </row>
        <row r="45">
          <cell r="M45">
            <v>5</v>
          </cell>
        </row>
        <row r="46">
          <cell r="M46">
            <v>4</v>
          </cell>
        </row>
        <row r="47">
          <cell r="M47">
            <v>4</v>
          </cell>
        </row>
        <row r="48">
          <cell r="M48">
            <v>8</v>
          </cell>
        </row>
        <row r="49">
          <cell r="M49">
            <v>3</v>
          </cell>
        </row>
        <row r="50">
          <cell r="M50">
            <v>7</v>
          </cell>
        </row>
        <row r="51">
          <cell r="M51">
            <v>4</v>
          </cell>
        </row>
        <row r="52">
          <cell r="M52">
            <v>4</v>
          </cell>
        </row>
      </sheetData>
      <sheetData sheetId="10">
        <row r="4">
          <cell r="B4">
            <v>2011</v>
          </cell>
          <cell r="C4">
            <v>1</v>
          </cell>
        </row>
        <row r="5">
          <cell r="B5">
            <v>2012</v>
          </cell>
          <cell r="C5">
            <v>1</v>
          </cell>
        </row>
        <row r="6">
          <cell r="B6">
            <v>2013</v>
          </cell>
          <cell r="C6">
            <v>1</v>
          </cell>
        </row>
        <row r="7">
          <cell r="B7">
            <v>2014</v>
          </cell>
          <cell r="C7">
            <v>1</v>
          </cell>
        </row>
        <row r="8">
          <cell r="B8">
            <v>2015</v>
          </cell>
          <cell r="C8">
            <v>1</v>
          </cell>
        </row>
        <row r="9">
          <cell r="B9">
            <v>2016</v>
          </cell>
          <cell r="C9">
            <v>1</v>
          </cell>
        </row>
        <row r="10">
          <cell r="B10">
            <v>2017</v>
          </cell>
          <cell r="C10">
            <v>1</v>
          </cell>
        </row>
        <row r="11">
          <cell r="B11">
            <v>2018</v>
          </cell>
          <cell r="C11">
            <v>1</v>
          </cell>
        </row>
        <row r="12">
          <cell r="B12">
            <v>2019</v>
          </cell>
          <cell r="C12">
            <v>1</v>
          </cell>
        </row>
        <row r="13">
          <cell r="B13">
            <v>2020</v>
          </cell>
          <cell r="C13">
            <v>1</v>
          </cell>
        </row>
        <row r="14">
          <cell r="B14">
            <v>2021</v>
          </cell>
          <cell r="C14">
            <v>1</v>
          </cell>
        </row>
        <row r="15">
          <cell r="B15">
            <v>2022</v>
          </cell>
          <cell r="C15">
            <v>1</v>
          </cell>
        </row>
        <row r="16">
          <cell r="B16">
            <v>2023</v>
          </cell>
          <cell r="C16">
            <v>1</v>
          </cell>
        </row>
        <row r="17">
          <cell r="B17">
            <v>2024</v>
          </cell>
          <cell r="C17">
            <v>1</v>
          </cell>
        </row>
        <row r="18">
          <cell r="B18">
            <v>2025</v>
          </cell>
          <cell r="C18">
            <v>1</v>
          </cell>
        </row>
        <row r="19">
          <cell r="B19">
            <v>2026</v>
          </cell>
          <cell r="C19">
            <v>1</v>
          </cell>
        </row>
        <row r="20">
          <cell r="B20">
            <v>2027</v>
          </cell>
          <cell r="C20">
            <v>1</v>
          </cell>
        </row>
        <row r="21">
          <cell r="B21">
            <v>2028</v>
          </cell>
          <cell r="C21">
            <v>1</v>
          </cell>
        </row>
        <row r="22">
          <cell r="B22">
            <v>2029</v>
          </cell>
          <cell r="C22">
            <v>1</v>
          </cell>
        </row>
        <row r="23">
          <cell r="B23">
            <v>2030</v>
          </cell>
          <cell r="C23">
            <v>1</v>
          </cell>
        </row>
        <row r="24">
          <cell r="B24">
            <v>2031</v>
          </cell>
          <cell r="C24">
            <v>1</v>
          </cell>
        </row>
        <row r="25">
          <cell r="B25">
            <v>2032</v>
          </cell>
          <cell r="C25">
            <v>1</v>
          </cell>
        </row>
        <row r="26">
          <cell r="B26">
            <v>2033</v>
          </cell>
          <cell r="C26">
            <v>1</v>
          </cell>
        </row>
        <row r="27">
          <cell r="B27">
            <v>2034</v>
          </cell>
          <cell r="C27">
            <v>1</v>
          </cell>
        </row>
        <row r="28">
          <cell r="B28">
            <v>2035</v>
          </cell>
          <cell r="C28">
            <v>1</v>
          </cell>
        </row>
        <row r="29">
          <cell r="B29">
            <v>2036</v>
          </cell>
          <cell r="C29">
            <v>1</v>
          </cell>
        </row>
        <row r="30">
          <cell r="B30">
            <v>2037</v>
          </cell>
          <cell r="C30">
            <v>1</v>
          </cell>
        </row>
        <row r="31">
          <cell r="B31">
            <v>2038</v>
          </cell>
          <cell r="C31">
            <v>1</v>
          </cell>
        </row>
        <row r="32">
          <cell r="B32">
            <v>2039</v>
          </cell>
          <cell r="C32">
            <v>1</v>
          </cell>
        </row>
        <row r="33">
          <cell r="B33">
            <v>2040</v>
          </cell>
          <cell r="C33">
            <v>1</v>
          </cell>
        </row>
        <row r="34">
          <cell r="B34">
            <v>2041</v>
          </cell>
          <cell r="C34">
            <v>1</v>
          </cell>
        </row>
        <row r="35">
          <cell r="B35">
            <v>2042</v>
          </cell>
          <cell r="C35">
            <v>1</v>
          </cell>
        </row>
        <row r="36">
          <cell r="B36">
            <v>2043</v>
          </cell>
          <cell r="C36">
            <v>1</v>
          </cell>
        </row>
        <row r="37">
          <cell r="B37">
            <v>2044</v>
          </cell>
          <cell r="C37">
            <v>1</v>
          </cell>
        </row>
        <row r="38">
          <cell r="B38">
            <v>2045</v>
          </cell>
          <cell r="C38">
            <v>1</v>
          </cell>
        </row>
        <row r="39">
          <cell r="B39">
            <v>2046</v>
          </cell>
          <cell r="C39">
            <v>1</v>
          </cell>
        </row>
        <row r="40">
          <cell r="B40">
            <v>2047</v>
          </cell>
          <cell r="C40">
            <v>1</v>
          </cell>
        </row>
        <row r="41">
          <cell r="B41">
            <v>2048</v>
          </cell>
          <cell r="C41">
            <v>1</v>
          </cell>
        </row>
        <row r="42">
          <cell r="B42">
            <v>2049</v>
          </cell>
          <cell r="C42">
            <v>1</v>
          </cell>
        </row>
        <row r="43">
          <cell r="B43">
            <v>2050</v>
          </cell>
          <cell r="C43">
            <v>1</v>
          </cell>
        </row>
        <row r="44">
          <cell r="B44">
            <v>2051</v>
          </cell>
          <cell r="C44">
            <v>1</v>
          </cell>
        </row>
        <row r="45">
          <cell r="B45">
            <v>2052</v>
          </cell>
          <cell r="C45">
            <v>1</v>
          </cell>
        </row>
        <row r="46">
          <cell r="B46">
            <v>2053</v>
          </cell>
          <cell r="C46">
            <v>1</v>
          </cell>
        </row>
        <row r="47">
          <cell r="B47">
            <v>2054</v>
          </cell>
          <cell r="C47">
            <v>1</v>
          </cell>
        </row>
        <row r="48">
          <cell r="B48">
            <v>2055</v>
          </cell>
          <cell r="C48">
            <v>1</v>
          </cell>
        </row>
        <row r="49">
          <cell r="B49">
            <v>2056</v>
          </cell>
          <cell r="C49">
            <v>1</v>
          </cell>
        </row>
        <row r="50">
          <cell r="B50">
            <v>2057</v>
          </cell>
          <cell r="C50">
            <v>1</v>
          </cell>
        </row>
        <row r="51">
          <cell r="B51">
            <v>2058</v>
          </cell>
          <cell r="C51">
            <v>1</v>
          </cell>
        </row>
        <row r="52">
          <cell r="B52">
            <v>2059</v>
          </cell>
          <cell r="C52">
            <v>1</v>
          </cell>
        </row>
        <row r="53">
          <cell r="B53">
            <v>2060</v>
          </cell>
          <cell r="C53">
            <v>1</v>
          </cell>
        </row>
        <row r="54">
          <cell r="B54">
            <v>2061</v>
          </cell>
          <cell r="C54">
            <v>1</v>
          </cell>
        </row>
        <row r="55">
          <cell r="B55">
            <v>2062</v>
          </cell>
          <cell r="C55">
            <v>1</v>
          </cell>
        </row>
        <row r="56">
          <cell r="B56">
            <v>2063</v>
          </cell>
          <cell r="C56">
            <v>1</v>
          </cell>
        </row>
        <row r="57">
          <cell r="B57">
            <v>2064</v>
          </cell>
          <cell r="C57">
            <v>1</v>
          </cell>
        </row>
        <row r="58">
          <cell r="B58">
            <v>2065</v>
          </cell>
          <cell r="C58">
            <v>1</v>
          </cell>
        </row>
        <row r="59">
          <cell r="B59">
            <v>2066</v>
          </cell>
          <cell r="C59">
            <v>1</v>
          </cell>
        </row>
        <row r="60">
          <cell r="B60">
            <v>2067</v>
          </cell>
          <cell r="C60">
            <v>1</v>
          </cell>
        </row>
        <row r="61">
          <cell r="B61">
            <v>2068</v>
          </cell>
          <cell r="C61">
            <v>1</v>
          </cell>
        </row>
        <row r="62">
          <cell r="B62">
            <v>2069</v>
          </cell>
          <cell r="C62">
            <v>1</v>
          </cell>
        </row>
        <row r="63">
          <cell r="B63">
            <v>2070</v>
          </cell>
          <cell r="C63">
            <v>1</v>
          </cell>
        </row>
        <row r="64">
          <cell r="B64">
            <v>2071</v>
          </cell>
          <cell r="C64">
            <v>1</v>
          </cell>
        </row>
        <row r="65">
          <cell r="B65">
            <v>2072</v>
          </cell>
          <cell r="C65">
            <v>1</v>
          </cell>
        </row>
        <row r="66">
          <cell r="B66">
            <v>2073</v>
          </cell>
          <cell r="C66">
            <v>1</v>
          </cell>
        </row>
        <row r="67">
          <cell r="B67">
            <v>2074</v>
          </cell>
          <cell r="C67">
            <v>1</v>
          </cell>
        </row>
        <row r="68">
          <cell r="B68">
            <v>2075</v>
          </cell>
          <cell r="C68">
            <v>1</v>
          </cell>
        </row>
        <row r="69">
          <cell r="B69">
            <v>2076</v>
          </cell>
          <cell r="C69">
            <v>1</v>
          </cell>
        </row>
        <row r="70">
          <cell r="B70">
            <v>2077</v>
          </cell>
          <cell r="C70">
            <v>1</v>
          </cell>
        </row>
        <row r="71">
          <cell r="B71">
            <v>2078</v>
          </cell>
          <cell r="C71">
            <v>1</v>
          </cell>
        </row>
        <row r="72">
          <cell r="B72">
            <v>2079</v>
          </cell>
          <cell r="C72">
            <v>1</v>
          </cell>
        </row>
        <row r="73">
          <cell r="B73">
            <v>2080</v>
          </cell>
          <cell r="C73">
            <v>1</v>
          </cell>
        </row>
      </sheetData>
      <sheetData sheetId="11">
        <row r="6">
          <cell r="B6">
            <v>2009</v>
          </cell>
          <cell r="C6">
            <v>35.085150807471472</v>
          </cell>
          <cell r="D6">
            <v>35.083535376233627</v>
          </cell>
          <cell r="E6">
            <v>35.083535376233627</v>
          </cell>
        </row>
        <row r="7">
          <cell r="B7">
            <v>2010</v>
          </cell>
          <cell r="C7">
            <v>34.753488126114391</v>
          </cell>
          <cell r="D7">
            <v>34.753434484719513</v>
          </cell>
          <cell r="E7">
            <v>34.753434484719513</v>
          </cell>
        </row>
        <row r="8">
          <cell r="B8">
            <v>2011</v>
          </cell>
          <cell r="C8">
            <v>35.132069491373777</v>
          </cell>
          <cell r="D8">
            <v>35.135113640532708</v>
          </cell>
          <cell r="E8">
            <v>35.135113640532708</v>
          </cell>
        </row>
        <row r="9">
          <cell r="B9">
            <v>2012</v>
          </cell>
          <cell r="C9">
            <v>34.803696471713685</v>
          </cell>
          <cell r="D9">
            <v>34.774065790439153</v>
          </cell>
          <cell r="E9">
            <v>34.825644054738227</v>
          </cell>
        </row>
        <row r="10">
          <cell r="B10">
            <v>2013</v>
          </cell>
          <cell r="C10">
            <v>35.280552998637958</v>
          </cell>
          <cell r="D10">
            <v>35.372373656308469</v>
          </cell>
          <cell r="E10">
            <v>35.846893687859996</v>
          </cell>
        </row>
        <row r="11">
          <cell r="B11">
            <v>2014</v>
          </cell>
          <cell r="C11">
            <v>35.379477014867739</v>
          </cell>
          <cell r="D11">
            <v>35.207323210551422</v>
          </cell>
          <cell r="E11">
            <v>36.166678926514287</v>
          </cell>
        </row>
        <row r="12">
          <cell r="B12">
            <v>2015</v>
          </cell>
          <cell r="C12">
            <v>35.682430202750666</v>
          </cell>
          <cell r="D12">
            <v>35.393004962028101</v>
          </cell>
          <cell r="E12">
            <v>36.713408528084528</v>
          </cell>
        </row>
        <row r="13">
          <cell r="B13">
            <v>2016</v>
          </cell>
          <cell r="C13">
            <v>35.681201608495066</v>
          </cell>
          <cell r="D13">
            <v>35.465214532046815</v>
          </cell>
          <cell r="E13">
            <v>36.692777222364896</v>
          </cell>
        </row>
        <row r="14">
          <cell r="B14">
            <v>2017</v>
          </cell>
          <cell r="C14">
            <v>35.403851871010197</v>
          </cell>
          <cell r="D14">
            <v>35.331111044869203</v>
          </cell>
          <cell r="E14">
            <v>36.321413719411524</v>
          </cell>
        </row>
        <row r="15">
          <cell r="B15">
            <v>2018</v>
          </cell>
          <cell r="C15">
            <v>35.216973503801775</v>
          </cell>
          <cell r="D15">
            <v>35.083535376233627</v>
          </cell>
          <cell r="E15">
            <v>36.032575439336682</v>
          </cell>
        </row>
        <row r="16">
          <cell r="B16">
            <v>2019</v>
          </cell>
          <cell r="C16">
            <v>34.913198158385917</v>
          </cell>
          <cell r="D16">
            <v>34.866906666177485</v>
          </cell>
          <cell r="E16">
            <v>35.650896283523501</v>
          </cell>
        </row>
        <row r="17">
          <cell r="B17">
            <v>2020</v>
          </cell>
          <cell r="C17">
            <v>34.93701390614337</v>
          </cell>
          <cell r="D17">
            <v>34.939116236196199</v>
          </cell>
          <cell r="E17">
            <v>35.506477143486073</v>
          </cell>
        </row>
        <row r="18">
          <cell r="B18">
            <v>2021</v>
          </cell>
          <cell r="C18">
            <v>34.907614295492898</v>
          </cell>
          <cell r="D18">
            <v>34.897853624756941</v>
          </cell>
          <cell r="E18">
            <v>35.310479739149571</v>
          </cell>
        </row>
        <row r="19">
          <cell r="B19">
            <v>2022</v>
          </cell>
          <cell r="C19">
            <v>34.891031883520739</v>
          </cell>
          <cell r="D19">
            <v>34.918484930476573</v>
          </cell>
          <cell r="E19">
            <v>35.207323210551422</v>
          </cell>
        </row>
        <row r="20">
          <cell r="B20">
            <v>2023</v>
          </cell>
          <cell r="C20">
            <v>34.996772483160285</v>
          </cell>
          <cell r="D20">
            <v>35.011325806214913</v>
          </cell>
          <cell r="E20">
            <v>35.24858582199068</v>
          </cell>
        </row>
        <row r="21">
          <cell r="B21">
            <v>2024</v>
          </cell>
          <cell r="C21">
            <v>35.12928735979748</v>
          </cell>
          <cell r="D21">
            <v>35.093851029093443</v>
          </cell>
          <cell r="E21">
            <v>35.331111044869203</v>
          </cell>
        </row>
        <row r="22">
          <cell r="B22">
            <v>2025</v>
          </cell>
          <cell r="C22">
            <v>35.152512020646071</v>
          </cell>
          <cell r="D22">
            <v>35.279532780570129</v>
          </cell>
          <cell r="E22">
            <v>35.382689309168278</v>
          </cell>
        </row>
        <row r="23">
          <cell r="B23">
            <v>2026</v>
          </cell>
          <cell r="C23">
            <v>35.176339115621673</v>
          </cell>
          <cell r="D23">
            <v>35.434267573467366</v>
          </cell>
          <cell r="E23">
            <v>35.269217127710306</v>
          </cell>
        </row>
        <row r="24">
          <cell r="B24">
            <v>2027</v>
          </cell>
          <cell r="C24">
            <v>35.188927306806505</v>
          </cell>
          <cell r="D24">
            <v>35.485845837766441</v>
          </cell>
          <cell r="E24">
            <v>35.062904070513994</v>
          </cell>
        </row>
        <row r="25">
          <cell r="B25">
            <v>2028</v>
          </cell>
          <cell r="C25">
            <v>35.155920312350958</v>
          </cell>
          <cell r="D25">
            <v>35.485845837766441</v>
          </cell>
          <cell r="E25">
            <v>34.866906666177485</v>
          </cell>
        </row>
        <row r="26">
          <cell r="B26">
            <v>2029</v>
          </cell>
          <cell r="C26">
            <v>35.149725762808636</v>
          </cell>
          <cell r="D26">
            <v>35.527108449205706</v>
          </cell>
          <cell r="E26">
            <v>34.805012749018601</v>
          </cell>
        </row>
        <row r="27">
          <cell r="B27">
            <v>2030</v>
          </cell>
          <cell r="C27">
            <v>35.133238254842794</v>
          </cell>
          <cell r="D27">
            <v>35.589002366364603</v>
          </cell>
          <cell r="E27">
            <v>34.794697096158778</v>
          </cell>
        </row>
        <row r="28">
          <cell r="B28">
            <v>2031</v>
          </cell>
          <cell r="C28">
            <v>35.211798140762006</v>
          </cell>
          <cell r="D28">
            <v>35.712790200682385</v>
          </cell>
          <cell r="E28">
            <v>34.846275360457859</v>
          </cell>
        </row>
        <row r="29">
          <cell r="B29">
            <v>2032</v>
          </cell>
          <cell r="C29">
            <v>35.22469373840206</v>
          </cell>
          <cell r="D29">
            <v>35.805631076420738</v>
          </cell>
          <cell r="E29">
            <v>34.846275360457859</v>
          </cell>
        </row>
        <row r="30">
          <cell r="B30">
            <v>2033</v>
          </cell>
          <cell r="C30">
            <v>35.158072157537511</v>
          </cell>
          <cell r="D30">
            <v>35.91910325787871</v>
          </cell>
          <cell r="E30">
            <v>34.908169277616757</v>
          </cell>
        </row>
        <row r="31">
          <cell r="B31">
            <v>2034</v>
          </cell>
          <cell r="C31">
            <v>35.384899953576145</v>
          </cell>
          <cell r="D31">
            <v>36.207941537953552</v>
          </cell>
          <cell r="E31">
            <v>34.939116236196199</v>
          </cell>
        </row>
        <row r="32">
          <cell r="B32">
            <v>2035</v>
          </cell>
          <cell r="C32">
            <v>35.673280218664011</v>
          </cell>
          <cell r="D32">
            <v>36.383307636570422</v>
          </cell>
          <cell r="E32">
            <v>35.217638863411231</v>
          </cell>
        </row>
        <row r="33">
          <cell r="B33">
            <v>2036</v>
          </cell>
          <cell r="C33">
            <v>35.722912744298334</v>
          </cell>
          <cell r="D33">
            <v>36.481682788407277</v>
          </cell>
          <cell r="E33">
            <v>35.198466733209663</v>
          </cell>
        </row>
        <row r="34">
          <cell r="B34">
            <v>2037</v>
          </cell>
          <cell r="C34">
            <v>35.772614324070261</v>
          </cell>
          <cell r="D34">
            <v>36.58032393229179</v>
          </cell>
          <cell r="E34">
            <v>35.179305040123936</v>
          </cell>
        </row>
        <row r="35">
          <cell r="B35">
            <v>2038</v>
          </cell>
          <cell r="C35">
            <v>35.822385054055367</v>
          </cell>
          <cell r="D35">
            <v>36.679231787427632</v>
          </cell>
          <cell r="E35">
            <v>35.160153778472193</v>
          </cell>
        </row>
        <row r="36">
          <cell r="B36">
            <v>2039</v>
          </cell>
          <cell r="C36">
            <v>35.872225030462914</v>
          </cell>
          <cell r="D36">
            <v>36.778407074963077</v>
          </cell>
          <cell r="E36">
            <v>35.141012942575657</v>
          </cell>
        </row>
        <row r="37">
          <cell r="B37">
            <v>2040</v>
          </cell>
          <cell r="C37">
            <v>35.922134349636011</v>
          </cell>
          <cell r="D37">
            <v>36.877850517996293</v>
          </cell>
          <cell r="E37">
            <v>35.121882526758661</v>
          </cell>
        </row>
        <row r="38">
          <cell r="B38">
            <v>2041</v>
          </cell>
          <cell r="C38">
            <v>35.972113108051815</v>
          </cell>
          <cell r="D38">
            <v>36.977562841580593</v>
          </cell>
          <cell r="E38">
            <v>35.102762525348609</v>
          </cell>
        </row>
        <row r="39">
          <cell r="B39">
            <v>2042</v>
          </cell>
          <cell r="C39">
            <v>36.022161402321714</v>
          </cell>
          <cell r="D39">
            <v>37.077544772729723</v>
          </cell>
          <cell r="E39">
            <v>35.08365293267601</v>
          </cell>
        </row>
        <row r="40">
          <cell r="B40">
            <v>2043</v>
          </cell>
          <cell r="C40">
            <v>36.072279329191502</v>
          </cell>
          <cell r="D40">
            <v>37.177797040423187</v>
          </cell>
          <cell r="E40">
            <v>35.064553743074441</v>
          </cell>
        </row>
        <row r="41">
          <cell r="B41">
            <v>2044</v>
          </cell>
          <cell r="C41">
            <v>36.122466985541585</v>
          </cell>
          <cell r="D41">
            <v>37.278320375611528</v>
          </cell>
          <cell r="E41">
            <v>35.045464950880586</v>
          </cell>
        </row>
        <row r="42">
          <cell r="B42">
            <v>2045</v>
          </cell>
          <cell r="C42">
            <v>36.172724468387159</v>
          </cell>
          <cell r="D42">
            <v>37.37911551122167</v>
          </cell>
          <cell r="E42">
            <v>35.026386550434189</v>
          </cell>
        </row>
        <row r="43">
          <cell r="B43">
            <v>2046</v>
          </cell>
          <cell r="C43">
            <v>36.223051874878401</v>
          </cell>
          <cell r="D43">
            <v>37.480183182162278</v>
          </cell>
          <cell r="E43">
            <v>35.007318536078095</v>
          </cell>
        </row>
        <row r="44">
          <cell r="B44">
            <v>2047</v>
          </cell>
          <cell r="C44">
            <v>36.273449302300641</v>
          </cell>
          <cell r="D44">
            <v>37.581524125329089</v>
          </cell>
          <cell r="E44">
            <v>34.988260902158217</v>
          </cell>
        </row>
        <row r="45">
          <cell r="B45">
            <v>2048</v>
          </cell>
          <cell r="C45">
            <v>36.323916848074575</v>
          </cell>
          <cell r="D45">
            <v>37.683139079610307</v>
          </cell>
          <cell r="E45">
            <v>34.969213643023551</v>
          </cell>
        </row>
        <row r="46">
          <cell r="B46">
            <v>2049</v>
          </cell>
          <cell r="C46">
            <v>36.374454609756434</v>
          </cell>
          <cell r="D46">
            <v>37.785028785891981</v>
          </cell>
          <cell r="E46">
            <v>34.950176753026163</v>
          </cell>
        </row>
        <row r="47">
          <cell r="B47">
            <v>2050</v>
          </cell>
          <cell r="C47">
            <v>36.425062685038192</v>
          </cell>
          <cell r="D47">
            <v>37.887193987063405</v>
          </cell>
          <cell r="E47">
            <v>34.931150226521204</v>
          </cell>
        </row>
        <row r="48">
          <cell r="B48">
            <v>2051</v>
          </cell>
          <cell r="C48">
            <v>36.475741171747728</v>
          </cell>
          <cell r="D48">
            <v>37.989635428022538</v>
          </cell>
          <cell r="E48">
            <v>34.912134057866893</v>
          </cell>
        </row>
        <row r="49">
          <cell r="B49">
            <v>2052</v>
          </cell>
          <cell r="C49">
            <v>36.526490167849033</v>
          </cell>
          <cell r="D49">
            <v>38.092353855681438</v>
          </cell>
          <cell r="E49">
            <v>34.893128241424513</v>
          </cell>
        </row>
        <row r="50">
          <cell r="B50">
            <v>2053</v>
          </cell>
          <cell r="C50">
            <v>36.577309771442401</v>
          </cell>
          <cell r="D50">
            <v>38.195350018971695</v>
          </cell>
          <cell r="E50">
            <v>34.874132771558429</v>
          </cell>
        </row>
        <row r="51">
          <cell r="B51">
            <v>2054</v>
          </cell>
          <cell r="C51">
            <v>36.628200080764614</v>
          </cell>
          <cell r="D51">
            <v>38.298624668849911</v>
          </cell>
          <cell r="E51">
            <v>34.855147642636069</v>
          </cell>
        </row>
        <row r="52">
          <cell r="B52">
            <v>2055</v>
          </cell>
          <cell r="C52">
            <v>36.679161194189128</v>
          </cell>
          <cell r="D52">
            <v>38.402178558303156</v>
          </cell>
          <cell r="E52">
            <v>34.836172849027925</v>
          </cell>
        </row>
        <row r="53">
          <cell r="B53">
            <v>2056</v>
          </cell>
          <cell r="C53">
            <v>36.730193210226261</v>
          </cell>
          <cell r="D53">
            <v>38.506012442354475</v>
          </cell>
          <cell r="E53">
            <v>34.817208385107556</v>
          </cell>
        </row>
        <row r="54">
          <cell r="B54">
            <v>2057</v>
          </cell>
          <cell r="C54">
            <v>36.781296227523406</v>
          </cell>
          <cell r="D54">
            <v>38.610127078068381</v>
          </cell>
          <cell r="E54">
            <v>34.798254245251577</v>
          </cell>
        </row>
        <row r="55">
          <cell r="B55">
            <v>2058</v>
          </cell>
          <cell r="C55">
            <v>36.832470344865186</v>
          </cell>
          <cell r="D55">
            <v>38.71452322455638</v>
          </cell>
          <cell r="E55">
            <v>34.779310423839682</v>
          </cell>
        </row>
        <row r="56">
          <cell r="B56">
            <v>2059</v>
          </cell>
          <cell r="C56">
            <v>36.883715661173682</v>
          </cell>
          <cell r="D56">
            <v>38.819201642982499</v>
          </cell>
          <cell r="E56">
            <v>34.760376915254604</v>
          </cell>
        </row>
        <row r="57">
          <cell r="B57">
            <v>2060</v>
          </cell>
          <cell r="C57">
            <v>36.93503227550859</v>
          </cell>
          <cell r="D57">
            <v>38.924163096568854</v>
          </cell>
          <cell r="E57">
            <v>34.741453713882144</v>
          </cell>
        </row>
        <row r="58">
          <cell r="B58">
            <v>2061</v>
          </cell>
          <cell r="C58">
            <v>36.986420287067439</v>
          </cell>
          <cell r="D58">
            <v>39.029408350601187</v>
          </cell>
          <cell r="E58">
            <v>34.722540814111163</v>
          </cell>
        </row>
        <row r="59">
          <cell r="B59">
            <v>2062</v>
          </cell>
          <cell r="C59">
            <v>37.037879795185766</v>
          </cell>
          <cell r="D59">
            <v>39.134938172434474</v>
          </cell>
          <cell r="E59">
            <v>34.703638210333573</v>
          </cell>
        </row>
        <row r="60">
          <cell r="B60">
            <v>2063</v>
          </cell>
          <cell r="C60">
            <v>37.089410899337324</v>
          </cell>
          <cell r="D60">
            <v>39.240753331498503</v>
          </cell>
          <cell r="E60">
            <v>34.684745896944335</v>
          </cell>
        </row>
        <row r="61">
          <cell r="B61">
            <v>2064</v>
          </cell>
          <cell r="C61">
            <v>37.141013699134248</v>
          </cell>
          <cell r="D61">
            <v>39.346854599303484</v>
          </cell>
          <cell r="E61">
            <v>34.665863868341468</v>
          </cell>
        </row>
        <row r="62">
          <cell r="B62">
            <v>2065</v>
          </cell>
          <cell r="C62">
            <v>37.192688294327283</v>
          </cell>
          <cell r="D62">
            <v>39.453242749445678</v>
          </cell>
          <cell r="E62">
            <v>34.646992118926036</v>
          </cell>
        </row>
        <row r="63">
          <cell r="B63">
            <v>2066</v>
          </cell>
          <cell r="C63">
            <v>37.244434784805939</v>
          </cell>
          <cell r="D63">
            <v>39.559918557613045</v>
          </cell>
          <cell r="E63">
            <v>34.628130643102146</v>
          </cell>
        </row>
        <row r="64">
          <cell r="B64">
            <v>2067</v>
          </cell>
          <cell r="C64">
            <v>37.296253270598726</v>
          </cell>
          <cell r="D64">
            <v>39.66688280159088</v>
          </cell>
          <cell r="E64">
            <v>34.609279435276967</v>
          </cell>
        </row>
        <row r="65">
          <cell r="B65">
            <v>2068</v>
          </cell>
          <cell r="C65">
            <v>37.348143851873303</v>
          </cell>
          <cell r="D65">
            <v>39.774136261267508</v>
          </cell>
          <cell r="E65">
            <v>34.590438489860695</v>
          </cell>
        </row>
        <row r="66">
          <cell r="B66">
            <v>2069</v>
          </cell>
          <cell r="C66">
            <v>37.400106628936697</v>
          </cell>
          <cell r="D66">
            <v>39.881679718639951</v>
          </cell>
          <cell r="E66">
            <v>34.57160780126658</v>
          </cell>
        </row>
        <row r="67">
          <cell r="B67">
            <v>2070</v>
          </cell>
          <cell r="C67">
            <v>37.452141702235508</v>
          </cell>
          <cell r="D67">
            <v>39.989513957819639</v>
          </cell>
          <cell r="E67">
            <v>34.552787363910916</v>
          </cell>
        </row>
        <row r="68">
          <cell r="B68">
            <v>2071</v>
          </cell>
          <cell r="C68">
            <v>37.504249172356076</v>
          </cell>
          <cell r="D68">
            <v>40.097639765038124</v>
          </cell>
          <cell r="E68">
            <v>34.533977172213021</v>
          </cell>
        </row>
        <row r="69">
          <cell r="B69">
            <v>2072</v>
          </cell>
          <cell r="C69">
            <v>37.556429140024683</v>
          </cell>
          <cell r="D69">
            <v>40.206057928652811</v>
          </cell>
          <cell r="E69">
            <v>34.51517722059527</v>
          </cell>
        </row>
        <row r="70">
          <cell r="B70">
            <v>2073</v>
          </cell>
          <cell r="C70">
            <v>37.60868170610776</v>
          </cell>
          <cell r="D70">
            <v>40.31476923915271</v>
          </cell>
          <cell r="E70">
            <v>34.496387503483064</v>
          </cell>
        </row>
        <row r="71">
          <cell r="B71">
            <v>2074</v>
          </cell>
          <cell r="C71">
            <v>37.661006971612075</v>
          </cell>
          <cell r="D71">
            <v>40.423774489164202</v>
          </cell>
          <cell r="E71">
            <v>34.477608015304838</v>
          </cell>
        </row>
        <row r="72">
          <cell r="B72">
            <v>2075</v>
          </cell>
          <cell r="C72">
            <v>37.713405037684929</v>
          </cell>
          <cell r="D72">
            <v>40.533074473456814</v>
          </cell>
          <cell r="E72">
            <v>34.458838750492063</v>
          </cell>
        </row>
        <row r="73">
          <cell r="B73">
            <v>2076</v>
          </cell>
          <cell r="C73">
            <v>37.765876005614345</v>
          </cell>
          <cell r="D73">
            <v>40.642669988949002</v>
          </cell>
          <cell r="E73">
            <v>34.440079703479242</v>
          </cell>
        </row>
        <row r="74">
          <cell r="B74">
            <v>2077</v>
          </cell>
          <cell r="C74">
            <v>37.818419976829269</v>
          </cell>
          <cell r="D74">
            <v>40.752561834713987</v>
          </cell>
          <cell r="E74">
            <v>34.421330868703912</v>
          </cell>
        </row>
        <row r="75">
          <cell r="B75">
            <v>2078</v>
          </cell>
          <cell r="C75">
            <v>37.871037052899766</v>
          </cell>
          <cell r="D75">
            <v>40.862750811985563</v>
          </cell>
          <cell r="E75">
            <v>34.40259224060663</v>
          </cell>
        </row>
        <row r="76">
          <cell r="B76">
            <v>2079</v>
          </cell>
          <cell r="C76">
            <v>37.923727335537222</v>
          </cell>
          <cell r="D76">
            <v>40.973237724163944</v>
          </cell>
          <cell r="E76">
            <v>34.383863813630981</v>
          </cell>
        </row>
        <row r="77">
          <cell r="B77">
            <v>2080</v>
          </cell>
          <cell r="C77">
            <v>37.976490926594529</v>
          </cell>
          <cell r="D77">
            <v>41.084023376821612</v>
          </cell>
          <cell r="E77">
            <v>34.365145582223576</v>
          </cell>
        </row>
      </sheetData>
      <sheetData sheetId="12"/>
      <sheetData sheetId="13">
        <row r="4">
          <cell r="F4">
            <v>26</v>
          </cell>
        </row>
        <row r="30">
          <cell r="G30">
            <v>1</v>
          </cell>
        </row>
      </sheetData>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mulation Inputs"/>
      <sheetName val="Introduction"/>
      <sheetName val="Summary"/>
      <sheetName val="Statistics"/>
      <sheetName val="LCC &amp; Payback"/>
      <sheetName val="Household Sample"/>
      <sheetName val="Adjustment Factors"/>
      <sheetName val="Equipment Price"/>
      <sheetName val="Model Info"/>
      <sheetName val="Base Case Distribution"/>
      <sheetName val="Electricity Prices"/>
      <sheetName val="Electricity Price Trend"/>
      <sheetName val="Discount Rate"/>
      <sheetName val="CB_DATA_"/>
      <sheetName val="Lifetime"/>
      <sheetName val="LCC Box Plots"/>
      <sheetName val="PBP Box Plots"/>
      <sheetName val="Frequency Charts"/>
      <sheetName val="Forecast Cells"/>
      <sheetName val="Forecast Data"/>
      <sheetName val="Engineering Data"/>
      <sheetName val="NIA Data 2"/>
      <sheetName val="NIA Data"/>
    </sheetNames>
    <sheetDataSet>
      <sheetData sheetId="0">
        <row r="2">
          <cell r="C2" t="str">
            <v>AEO 2012 Reference</v>
          </cell>
          <cell r="E2" t="str">
            <v>2018</v>
          </cell>
        </row>
      </sheetData>
      <sheetData sheetId="1" refreshError="1"/>
      <sheetData sheetId="2" refreshError="1"/>
      <sheetData sheetId="3" refreshError="1"/>
      <sheetData sheetId="4">
        <row r="6">
          <cell r="C6">
            <v>9.5595330252597215</v>
          </cell>
        </row>
      </sheetData>
      <sheetData sheetId="5">
        <row r="5">
          <cell r="C5">
            <v>9.5595330252597215</v>
          </cell>
        </row>
      </sheetData>
      <sheetData sheetId="6" refreshError="1"/>
      <sheetData sheetId="7" refreshError="1"/>
      <sheetData sheetId="8" refreshError="1"/>
      <sheetData sheetId="9">
        <row r="5">
          <cell r="C5">
            <v>0</v>
          </cell>
        </row>
      </sheetData>
      <sheetData sheetId="10">
        <row r="4">
          <cell r="G4">
            <v>2011</v>
          </cell>
        </row>
      </sheetData>
      <sheetData sheetId="11">
        <row r="5">
          <cell r="D5">
            <v>3</v>
          </cell>
        </row>
      </sheetData>
      <sheetData sheetId="12">
        <row r="4">
          <cell r="D4">
            <v>7.0485579914747604E-2</v>
          </cell>
        </row>
      </sheetData>
      <sheetData sheetId="13" refreshError="1"/>
      <sheetData sheetId="14">
        <row r="4">
          <cell r="D4">
            <v>7</v>
          </cell>
        </row>
      </sheetData>
      <sheetData sheetId="15" refreshError="1"/>
      <sheetData sheetId="16" refreshError="1"/>
      <sheetData sheetId="17" refreshError="1"/>
      <sheetData sheetId="18">
        <row r="1">
          <cell r="W1" t="str">
            <v>Statistics</v>
          </cell>
        </row>
      </sheetData>
      <sheetData sheetId="19" refreshError="1"/>
      <sheetData sheetId="20" refreshError="1"/>
      <sheetData sheetId="21" refreshError="1"/>
      <sheetData sheetId="2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Iyama, Sanaee Solene" refreshedDate="41954.603610300925" createdVersion="1" refreshedVersion="4" recordCount="252">
  <cacheSource type="worksheet">
    <worksheetSource ref="A7:I259" sheet="All Scenarios"/>
  </cacheSource>
  <cacheFields count="9">
    <cacheField name="EL" numFmtId="0">
      <sharedItems containsSemiMixedTypes="0" containsString="0" containsNumber="1" containsInteger="1" minValue="1" maxValue="6" count="6">
        <n v="1"/>
        <n v="2"/>
        <n v="3"/>
        <n v="4"/>
        <n v="5"/>
        <n v="6"/>
      </sharedItems>
    </cacheField>
    <cacheField name="Fan Group" numFmtId="0">
      <sharedItems count="7">
        <s v="Axial Housed"/>
        <s v="Axial Unhoused"/>
        <s v="Centrif Housed"/>
        <s v="Centrif Unhous"/>
        <s v="Inline-Mixed"/>
        <s v="Radial"/>
        <s v="Power Roof Vent"/>
      </sharedItems>
    </cacheField>
    <cacheField name="AEO Scen" numFmtId="0">
      <sharedItems count="3">
        <s v="Reference"/>
        <s v="Low"/>
        <s v="High"/>
      </sharedItems>
    </cacheField>
    <cacheField name="Disc Rate" numFmtId="9">
      <sharedItems containsSemiMixedTypes="0" containsString="0" containsNumber="1" minValue="0.03" maxValue="7.0000000000000007E-2" count="2">
        <n v="0.03"/>
        <n v="7.0000000000000007E-2"/>
      </sharedItems>
    </cacheField>
    <cacheField name="NPV" numFmtId="164">
      <sharedItems containsSemiMixedTypes="0" containsString="0" containsNumber="1" minValue="-3.8745690565763065" maxValue="10875.314780797984"/>
    </cacheField>
    <cacheField name="Incr Equipment Costs" numFmtId="164">
      <sharedItems containsSemiMixedTypes="0" containsString="0" containsNumber="1" minValue="0.50938925479041031" maxValue="1485.4219088652615"/>
    </cacheField>
    <cacheField name="Energy Cost Savings" numFmtId="164">
      <sharedItems containsSemiMixedTypes="0" containsString="0" containsNumber="1" minValue="1.160369274897102" maxValue="12360.736689663245"/>
    </cacheField>
    <cacheField name="FFC Energy Savings" numFmtId="164">
      <sharedItems containsSemiMixedTypes="0" containsString="0" containsNumber="1" minValue="8.0335417400554396E-4" maxValue="2.6645093024880482"/>
    </cacheField>
    <cacheField name="Electricity" numFmtId="164">
      <sharedItems containsSemiMixedTypes="0" containsString="0" containsNumber="1" minValue="8.0335417400554396E-4" maxValue="2.66450930248804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52">
  <r>
    <x v="0"/>
    <x v="0"/>
    <x v="0"/>
    <x v="0"/>
    <n v="71.930581638282135"/>
    <n v="28.245049563650682"/>
    <n v="100.17563120193282"/>
    <n v="2.328547479537716E-2"/>
    <n v="2.328547479537716E-2"/>
  </r>
  <r>
    <x v="0"/>
    <x v="1"/>
    <x v="0"/>
    <x v="0"/>
    <n v="2.7262273419113434"/>
    <n v="1.0288107481465627"/>
    <n v="3.7550380900579059"/>
    <n v="8.6190331996011203E-4"/>
    <n v="8.6190331996011203E-4"/>
  </r>
  <r>
    <x v="0"/>
    <x v="2"/>
    <x v="0"/>
    <x v="0"/>
    <n v="61.925517761749958"/>
    <n v="76.319537786817577"/>
    <n v="138.24505554856754"/>
    <n v="3.1260874761521437E-2"/>
    <n v="3.1260874761521437E-2"/>
  </r>
  <r>
    <x v="0"/>
    <x v="3"/>
    <x v="0"/>
    <x v="0"/>
    <n v="85.060636035640812"/>
    <n v="8.2545753441486447"/>
    <n v="93.31521137978946"/>
    <n v="2.107288576629884E-2"/>
    <n v="2.107288576629884E-2"/>
  </r>
  <r>
    <x v="0"/>
    <x v="4"/>
    <x v="0"/>
    <x v="0"/>
    <n v="-2.8171202878906101"/>
    <n v="15.686321880844259"/>
    <n v="12.869201592953649"/>
    <n v="2.9083884386417831E-3"/>
    <n v="2.9083884386417831E-3"/>
  </r>
  <r>
    <x v="0"/>
    <x v="5"/>
    <x v="0"/>
    <x v="0"/>
    <n v="275.98531345668539"/>
    <n v="28.474829214443531"/>
    <n v="304.46014267112889"/>
    <n v="7.2010638850012174E-2"/>
    <n v="7.2010638850012174E-2"/>
  </r>
  <r>
    <x v="0"/>
    <x v="6"/>
    <x v="0"/>
    <x v="0"/>
    <n v="13.921304077304763"/>
    <n v="11.622638869541797"/>
    <n v="25.54394294684656"/>
    <n v="5.9903457168368019E-3"/>
    <n v="5.9903457168368019E-3"/>
  </r>
  <r>
    <x v="0"/>
    <x v="0"/>
    <x v="0"/>
    <x v="1"/>
    <n v="19.354917495756716"/>
    <n v="14.928948849207949"/>
    <n v="34.283866344964665"/>
    <n v="2.328547479537716E-2"/>
    <n v="2.328547479537716E-2"/>
  </r>
  <r>
    <x v="0"/>
    <x v="1"/>
    <x v="0"/>
    <x v="1"/>
    <n v="0.75111997052588209"/>
    <n v="0.54377893726061577"/>
    <n v="1.2948989077864979"/>
    <n v="8.6190331996011203E-4"/>
    <n v="8.6190331996011203E-4"/>
  </r>
  <r>
    <x v="0"/>
    <x v="2"/>
    <x v="0"/>
    <x v="1"/>
    <n v="7.8893057605340999"/>
    <n v="40.33876709074282"/>
    <n v="48.22807285127692"/>
    <n v="3.1260874761521437E-2"/>
    <n v="3.1260874761521437E-2"/>
  </r>
  <r>
    <x v="0"/>
    <x v="3"/>
    <x v="0"/>
    <x v="1"/>
    <n v="28.23025816416774"/>
    <n v="4.3629639525688368"/>
    <n v="32.593222116736577"/>
    <n v="2.107288576629884E-2"/>
    <n v="2.107288576629884E-2"/>
  </r>
  <r>
    <x v="0"/>
    <x v="4"/>
    <x v="0"/>
    <x v="1"/>
    <n v="-3.7995843546598467"/>
    <n v="8.291020926113303"/>
    <n v="4.4914365714534563"/>
    <n v="2.9083884386417831E-3"/>
    <n v="2.9083884386417831E-3"/>
  </r>
  <r>
    <x v="0"/>
    <x v="5"/>
    <x v="0"/>
    <x v="1"/>
    <n v="87.404489961264773"/>
    <n v="15.050399110626142"/>
    <n v="102.45488907189092"/>
    <n v="7.2010638850012174E-2"/>
    <n v="7.2010638850012174E-2"/>
  </r>
  <r>
    <x v="0"/>
    <x v="6"/>
    <x v="0"/>
    <x v="1"/>
    <n v="2.5228550020967377"/>
    <n v="6.1431572561127696"/>
    <n v="8.6660122582095074"/>
    <n v="5.9903457168368019E-3"/>
    <n v="5.9903457168368019E-3"/>
  </r>
  <r>
    <x v="0"/>
    <x v="0"/>
    <x v="1"/>
    <x v="0"/>
    <n v="62.444999198299115"/>
    <n v="26.386346884949536"/>
    <n v="88.831346083248647"/>
    <n v="2.1703664052979819E-2"/>
    <n v="2.1703664052979819E-2"/>
  </r>
  <r>
    <x v="0"/>
    <x v="1"/>
    <x v="1"/>
    <x v="0"/>
    <n v="2.3700341832681988"/>
    <n v="0.96110850216015553"/>
    <n v="3.3311426854283543"/>
    <n v="8.0335417400554396E-4"/>
    <n v="8.0335417400554396E-4"/>
  </r>
  <r>
    <x v="0"/>
    <x v="2"/>
    <x v="1"/>
    <x v="0"/>
    <n v="51.406207307057159"/>
    <n v="71.297230107664163"/>
    <n v="122.70343741472132"/>
    <n v="2.9137397297531481E-2"/>
    <n v="2.9137397297531481E-2"/>
  </r>
  <r>
    <x v="0"/>
    <x v="3"/>
    <x v="1"/>
    <x v="0"/>
    <n v="75.117456069398813"/>
    <n v="7.7113721442698706"/>
    <n v="82.828828213668686"/>
    <n v="1.9641458733126161E-2"/>
    <n v="1.9641458733126161E-2"/>
  </r>
  <r>
    <x v="0"/>
    <x v="4"/>
    <x v="1"/>
    <x v="0"/>
    <n v="-3.2314042699251342"/>
    <n v="14.654062814235452"/>
    <n v="11.422658544310318"/>
    <n v="2.7108289283111634E-3"/>
    <n v="2.7108289283111634E-3"/>
  </r>
  <r>
    <x v="0"/>
    <x v="5"/>
    <x v="1"/>
    <x v="0"/>
    <n v="243.19684997861663"/>
    <n v="26.601005583255574"/>
    <n v="269.79785556187221"/>
    <n v="6.7118618143616568E-2"/>
    <n v="6.7118618143616568E-2"/>
  </r>
  <r>
    <x v="0"/>
    <x v="6"/>
    <x v="1"/>
    <x v="0"/>
    <n v="11.785529011053166"/>
    <n v="10.857795814417729"/>
    <n v="22.643324825470895"/>
    <n v="5.5834027064208258E-3"/>
    <n v="5.5834027064208258E-3"/>
  </r>
  <r>
    <x v="0"/>
    <x v="0"/>
    <x v="1"/>
    <x v="1"/>
    <n v="16.733911682218427"/>
    <n v="13.984811856472328"/>
    <n v="30.718723538690753"/>
    <n v="2.1703664052979819E-2"/>
    <n v="2.1703664052979819E-2"/>
  </r>
  <r>
    <x v="0"/>
    <x v="1"/>
    <x v="1"/>
    <x v="1"/>
    <n v="0.65098002010669165"/>
    <n v="0.50938925479041031"/>
    <n v="1.160369274897102"/>
    <n v="8.0335417400554396E-4"/>
    <n v="8.0335417400554396E-4"/>
  </r>
  <r>
    <x v="0"/>
    <x v="2"/>
    <x v="1"/>
    <x v="1"/>
    <n v="5.4397551450995252"/>
    <n v="37.787661675592545"/>
    <n v="43.227416820692071"/>
    <n v="2.9137397297531481E-2"/>
    <n v="2.9137397297531481E-2"/>
  </r>
  <r>
    <x v="0"/>
    <x v="3"/>
    <x v="1"/>
    <x v="1"/>
    <n v="25.127412448208545"/>
    <n v="4.087041266571374"/>
    <n v="29.214453714779921"/>
    <n v="1.9641458733126161E-2"/>
    <n v="1.9641458733126161E-2"/>
  </r>
  <r>
    <x v="0"/>
    <x v="4"/>
    <x v="1"/>
    <x v="1"/>
    <n v="-3.7409134079626387"/>
    <n v="7.7666799532186221"/>
    <n v="4.0257665452559834"/>
    <n v="2.7108289283111634E-3"/>
    <n v="2.7108289283111634E-3"/>
  </r>
  <r>
    <x v="0"/>
    <x v="5"/>
    <x v="1"/>
    <x v="1"/>
    <n v="77.666882703043996"/>
    <n v="14.098581357125623"/>
    <n v="91.76546406016962"/>
    <n v="6.7118618143616568E-2"/>
    <n v="6.7118618143616568E-2"/>
  </r>
  <r>
    <x v="0"/>
    <x v="6"/>
    <x v="1"/>
    <x v="1"/>
    <n v="2.0086166582451561"/>
    <n v="5.7546515363684101"/>
    <n v="7.7632681946135662"/>
    <n v="5.5834027064208258E-3"/>
    <n v="5.5834027064208258E-3"/>
  </r>
  <r>
    <x v="0"/>
    <x v="0"/>
    <x v="2"/>
    <x v="0"/>
    <n v="82.679548286821486"/>
    <n v="30.226345730577108"/>
    <n v="112.90589401739859"/>
    <n v="2.4975065574602263E-2"/>
    <n v="2.4975065574602263E-2"/>
  </r>
  <r>
    <x v="0"/>
    <x v="1"/>
    <x v="2"/>
    <x v="0"/>
    <n v="3.1280371047721638"/>
    <n v="1.1009783960454267"/>
    <n v="4.2290155008175905"/>
    <n v="9.2444224366805636E-4"/>
    <n v="9.2444224366805636E-4"/>
  </r>
  <r>
    <x v="0"/>
    <x v="2"/>
    <x v="2"/>
    <x v="0"/>
    <n v="73.869308762354152"/>
    <n v="81.673099207832635"/>
    <n v="155.54240797018679"/>
    <n v="3.3529085148663609E-2"/>
    <n v="3.3529085148663609E-2"/>
  </r>
  <r>
    <x v="0"/>
    <x v="3"/>
    <x v="2"/>
    <x v="0"/>
    <n v="96.147380317312326"/>
    <n v="8.8336063156507905"/>
    <n v="104.98098663296312"/>
    <n v="2.2601878334134257E-2"/>
    <n v="2.2601878334134257E-2"/>
  </r>
  <r>
    <x v="0"/>
    <x v="4"/>
    <x v="2"/>
    <x v="0"/>
    <n v="-2.3077787294929806"/>
    <n v="16.786665123140697"/>
    <n v="14.478886393647716"/>
    <n v="3.1194134760321756E-3"/>
    <n v="3.1194134760321756E-3"/>
  </r>
  <r>
    <x v="0"/>
    <x v="5"/>
    <x v="2"/>
    <x v="0"/>
    <n v="313.11107912625101"/>
    <n v="30.472243658674724"/>
    <n v="343.58332278492571"/>
    <n v="7.7235887289136926E-2"/>
    <n v="7.7235887289136926E-2"/>
  </r>
  <r>
    <x v="0"/>
    <x v="6"/>
    <x v="2"/>
    <x v="0"/>
    <n v="16.370699287231417"/>
    <n v="12.437928281227883"/>
    <n v="28.808627568459301"/>
    <n v="6.4250120595515572E-3"/>
    <n v="6.4250120595515572E-3"/>
  </r>
  <r>
    <x v="0"/>
    <x v="0"/>
    <x v="2"/>
    <x v="1"/>
    <n v="22.077799401911825"/>
    <n v="15.938603182059467"/>
    <n v="38.016402583971292"/>
    <n v="2.4975065574602263E-2"/>
    <n v="2.4975065574602263E-2"/>
  </r>
  <r>
    <x v="0"/>
    <x v="1"/>
    <x v="2"/>
    <x v="1"/>
    <n v="0.85501960181940551"/>
    <n v="0.58055505362782489"/>
    <n v="1.4355746554472304"/>
    <n v="9.2444224366805636E-4"/>
    <n v="9.2444224366805636E-4"/>
  </r>
  <r>
    <x v="0"/>
    <x v="2"/>
    <x v="2"/>
    <x v="1"/>
    <n v="10.377839197090836"/>
    <n v="43.066903638495695"/>
    <n v="53.444742835586531"/>
    <n v="3.3529085148663609E-2"/>
    <n v="3.3529085148663609E-2"/>
  </r>
  <r>
    <x v="0"/>
    <x v="3"/>
    <x v="2"/>
    <x v="1"/>
    <n v="31.458957055575684"/>
    <n v="4.6580339875244379"/>
    <n v="36.116991043100121"/>
    <n v="2.2601878334134257E-2"/>
    <n v="2.2601878334134257E-2"/>
  </r>
  <r>
    <x v="0"/>
    <x v="4"/>
    <x v="2"/>
    <x v="1"/>
    <n v="-3.8745690565763065"/>
    <n v="8.8517479596349702"/>
    <n v="4.9771789030586637"/>
    <n v="3.1194134760321756E-3"/>
    <n v="3.1194134760321756E-3"/>
  </r>
  <r>
    <x v="0"/>
    <x v="5"/>
    <x v="2"/>
    <x v="1"/>
    <n v="97.621602888682048"/>
    <n v="16.068267202122392"/>
    <n v="113.68987009080445"/>
    <n v="7.7235887289136926E-2"/>
    <n v="7.7235887289136926E-2"/>
  </r>
  <r>
    <x v="0"/>
    <x v="6"/>
    <x v="2"/>
    <x v="1"/>
    <n v="3.0544577777499136"/>
    <n v="6.5586228996534839"/>
    <n v="9.6130806774033974"/>
    <n v="6.4250120595515572E-3"/>
    <n v="6.4250120595515572E-3"/>
  </r>
  <r>
    <x v="1"/>
    <x v="0"/>
    <x v="0"/>
    <x v="0"/>
    <n v="173.23396552540504"/>
    <n v="56.029829390378055"/>
    <n v="229.26379491578308"/>
    <n v="5.3291566561160242E-2"/>
    <n v="5.3291566561160242E-2"/>
  </r>
  <r>
    <x v="1"/>
    <x v="1"/>
    <x v="0"/>
    <x v="0"/>
    <n v="4.2539514473704205"/>
    <n v="1.9570277117331187"/>
    <n v="6.2109791591035393"/>
    <n v="1.4256216392616713E-3"/>
    <n v="1.4256216392616713E-3"/>
  </r>
  <r>
    <x v="1"/>
    <x v="2"/>
    <x v="0"/>
    <x v="0"/>
    <n v="274.39088974514641"/>
    <n v="178.05359108775804"/>
    <n v="452.44448083290445"/>
    <n v="0.10230970066695359"/>
    <n v="0.10230970066695359"/>
  </r>
  <r>
    <x v="1"/>
    <x v="3"/>
    <x v="0"/>
    <x v="0"/>
    <n v="229.67636107530134"/>
    <n v="20.220444505433949"/>
    <n v="249.8968055807353"/>
    <n v="5.6432887623574422E-2"/>
    <n v="5.6432887623574422E-2"/>
  </r>
  <r>
    <x v="1"/>
    <x v="4"/>
    <x v="0"/>
    <x v="0"/>
    <n v="26.524381869044092"/>
    <n v="34.028652346953429"/>
    <n v="60.553034215997521"/>
    <n v="1.3684745193121647E-2"/>
    <n v="1.3684745193121647E-2"/>
  </r>
  <r>
    <x v="1"/>
    <x v="5"/>
    <x v="0"/>
    <x v="0"/>
    <n v="788.13472513164447"/>
    <n v="55.160960908492015"/>
    <n v="843.2956860401365"/>
    <n v="0.19945553647330413"/>
    <n v="0.19945553647330413"/>
  </r>
  <r>
    <x v="1"/>
    <x v="6"/>
    <x v="0"/>
    <x v="0"/>
    <n v="70.111475645998922"/>
    <n v="23.424252290668061"/>
    <n v="93.535727936666987"/>
    <n v="2.1935194123418239E-2"/>
    <n v="2.1935194123418239E-2"/>
  </r>
  <r>
    <x v="1"/>
    <x v="0"/>
    <x v="0"/>
    <x v="1"/>
    <n v="48.848066389924625"/>
    <n v="29.614621674279974"/>
    <n v="78.462688064204599"/>
    <n v="5.3291566561160242E-2"/>
    <n v="5.3291566561160242E-2"/>
  </r>
  <r>
    <x v="1"/>
    <x v="1"/>
    <x v="0"/>
    <x v="1"/>
    <n v="1.1074242647872985"/>
    <n v="1.0343889303188025"/>
    <n v="2.141813195106101"/>
    <n v="1.4256216392616713E-3"/>
    <n v="1.4256216392616713E-3"/>
  </r>
  <r>
    <x v="1"/>
    <x v="2"/>
    <x v="0"/>
    <x v="1"/>
    <n v="63.729061917697038"/>
    <n v="94.110401462625674"/>
    <n v="157.83946338032271"/>
    <n v="0.10230970066695359"/>
    <n v="0.10230970066695359"/>
  </r>
  <r>
    <x v="1"/>
    <x v="3"/>
    <x v="0"/>
    <x v="1"/>
    <n v="76.596648193895632"/>
    <n v="10.687535918448367"/>
    <n v="87.284184112343993"/>
    <n v="5.6432887623574422E-2"/>
    <n v="5.6432887623574422E-2"/>
  </r>
  <r>
    <x v="1"/>
    <x v="4"/>
    <x v="0"/>
    <x v="1"/>
    <n v="3.1475320894024463"/>
    <n v="17.985877813750484"/>
    <n v="21.133409903152931"/>
    <n v="1.3684745193121647E-2"/>
    <n v="1.3684745193121647E-2"/>
  </r>
  <r>
    <x v="1"/>
    <x v="5"/>
    <x v="0"/>
    <x v="1"/>
    <n v="254.6248386334897"/>
    <n v="29.155380379852975"/>
    <n v="283.78021901334267"/>
    <n v="0.19945553647330413"/>
    <n v="0.19945553647330413"/>
  </r>
  <r>
    <x v="1"/>
    <x v="6"/>
    <x v="0"/>
    <x v="1"/>
    <n v="19.3519248032005"/>
    <n v="12.380911688268483"/>
    <n v="31.732836491468984"/>
    <n v="2.1935194123418239E-2"/>
    <n v="2.1935194123418239E-2"/>
  </r>
  <r>
    <x v="1"/>
    <x v="0"/>
    <x v="1"/>
    <x v="0"/>
    <n v="150.95834232967348"/>
    <n v="52.342712689082269"/>
    <n v="203.30105501875576"/>
    <n v="4.9671405357388627E-2"/>
    <n v="4.9671405357388627E-2"/>
  </r>
  <r>
    <x v="1"/>
    <x v="1"/>
    <x v="1"/>
    <x v="0"/>
    <n v="3.6815967342588864"/>
    <n v="1.8282429262119078"/>
    <n v="5.509839660470794"/>
    <n v="1.3287790729318539E-3"/>
    <n v="1.3287790729318539E-3"/>
  </r>
  <r>
    <x v="1"/>
    <x v="2"/>
    <x v="1"/>
    <x v="0"/>
    <n v="235.24377553029183"/>
    <n v="166.33654007103468"/>
    <n v="401.5803156013265"/>
    <n v="9.5360044095562591E-2"/>
    <n v="9.5360044095562591E-2"/>
  </r>
  <r>
    <x v="1"/>
    <x v="3"/>
    <x v="1"/>
    <x v="0"/>
    <n v="202.92460944826848"/>
    <n v="18.889811529128409"/>
    <n v="221.81442097739688"/>
    <n v="5.2599546438117595E-2"/>
    <n v="5.2599546438117595E-2"/>
  </r>
  <r>
    <x v="1"/>
    <x v="4"/>
    <x v="1"/>
    <x v="0"/>
    <n v="21.957310351660716"/>
    <n v="31.789352071436497"/>
    <n v="53.746662423097213"/>
    <n v="1.2755174877330203E-2"/>
    <n v="1.2755174877330203E-2"/>
  </r>
  <r>
    <x v="1"/>
    <x v="5"/>
    <x v="1"/>
    <x v="0"/>
    <n v="695.75683621671124"/>
    <n v="51.531021241744561"/>
    <n v="747.28785745845585"/>
    <n v="0.18590558566027257"/>
    <n v="0.18590558566027257"/>
  </r>
  <r>
    <x v="1"/>
    <x v="6"/>
    <x v="1"/>
    <x v="0"/>
    <n v="61.031578880210333"/>
    <n v="21.88278852438501"/>
    <n v="82.914367404595339"/>
    <n v="2.0445067450836768E-2"/>
    <n v="2.0445067450836768E-2"/>
  </r>
  <r>
    <x v="1"/>
    <x v="0"/>
    <x v="1"/>
    <x v="1"/>
    <n v="42.561703606051566"/>
    <n v="27.741732957802068"/>
    <n v="70.303436563853637"/>
    <n v="4.9671405357388627E-2"/>
    <n v="4.9671405357388627E-2"/>
  </r>
  <r>
    <x v="1"/>
    <x v="1"/>
    <x v="1"/>
    <x v="1"/>
    <n v="0.95032386877277653"/>
    <n v="0.96897207720646794"/>
    <n v="1.9192959459792445"/>
    <n v="1.3287790729318539E-3"/>
    <n v="1.3287790729318539E-3"/>
  </r>
  <r>
    <x v="1"/>
    <x v="2"/>
    <x v="1"/>
    <x v="1"/>
    <n v="53.314789861786409"/>
    <n v="88.1586688711661"/>
    <n v="141.47345873295251"/>
    <n v="9.5360044095562591E-2"/>
    <n v="9.5360044095562591E-2"/>
  </r>
  <r>
    <x v="1"/>
    <x v="3"/>
    <x v="1"/>
    <x v="1"/>
    <n v="68.224256027947476"/>
    <n v="10.011634478653901"/>
    <n v="78.235890506601379"/>
    <n v="5.2599546438117595E-2"/>
    <n v="5.2599546438117595E-2"/>
  </r>
  <r>
    <x v="1"/>
    <x v="4"/>
    <x v="1"/>
    <x v="1"/>
    <n v="2.0938934923784345"/>
    <n v="16.848414435564592"/>
    <n v="18.942307927943027"/>
    <n v="1.2755174877330203E-2"/>
    <n v="1.2755174877330203E-2"/>
  </r>
  <r>
    <x v="1"/>
    <x v="5"/>
    <x v="1"/>
    <x v="1"/>
    <n v="226.86104498451692"/>
    <n v="27.311535013917688"/>
    <n v="254.1725799984346"/>
    <n v="0.18590558566027257"/>
    <n v="0.18590558566027257"/>
  </r>
  <r>
    <x v="1"/>
    <x v="6"/>
    <x v="1"/>
    <x v="1"/>
    <n v="16.829288798821434"/>
    <n v="11.597917731576942"/>
    <n v="28.427206530398376"/>
    <n v="2.0445067450836768E-2"/>
    <n v="2.0445067450836768E-2"/>
  </r>
  <r>
    <x v="1"/>
    <x v="0"/>
    <x v="2"/>
    <x v="0"/>
    <n v="198.43837356597464"/>
    <n v="59.960135334948305"/>
    <n v="258.39850890092293"/>
    <n v="5.7158395142644584E-2"/>
    <n v="5.7158395142644584E-2"/>
  </r>
  <r>
    <x v="1"/>
    <x v="1"/>
    <x v="2"/>
    <x v="0"/>
    <n v="4.9006495566871813"/>
    <n v="2.0943066885353261"/>
    <n v="6.9949562452225074"/>
    <n v="1.5290634532905507E-3"/>
    <n v="1.5290634532905507E-3"/>
  </r>
  <r>
    <x v="1"/>
    <x v="2"/>
    <x v="2"/>
    <x v="0"/>
    <n v="318.51130568217195"/>
    <n v="190.5434575592142"/>
    <n v="509.05476324138613"/>
    <n v="0.1097330350275082"/>
    <n v="0.1097330350275082"/>
  </r>
  <r>
    <x v="1"/>
    <x v="3"/>
    <x v="2"/>
    <x v="0"/>
    <n v="259.49874402677142"/>
    <n v="21.638841350583132"/>
    <n v="281.13758537735453"/>
    <n v="6.0527507919762281E-2"/>
    <n v="6.0527507919762281E-2"/>
  </r>
  <r>
    <x v="1"/>
    <x v="4"/>
    <x v="2"/>
    <x v="0"/>
    <n v="31.711382581091939"/>
    <n v="36.415648988922726"/>
    <n v="68.127031570014665"/>
    <n v="1.4677674413884576E-2"/>
    <n v="1.4677674413884576E-2"/>
  </r>
  <r>
    <x v="1"/>
    <x v="5"/>
    <x v="2"/>
    <x v="0"/>
    <n v="892.62900649590756"/>
    <n v="59.030318622511459"/>
    <n v="951.65932511841902"/>
    <n v="0.21392846363067453"/>
    <n v="0.21392846363067453"/>
  </r>
  <r>
    <x v="1"/>
    <x v="6"/>
    <x v="2"/>
    <x v="0"/>
    <n v="80.422826170283201"/>
    <n v="25.067385582823611"/>
    <n v="105.49021175310681"/>
    <n v="2.3526836919520351E-2"/>
    <n v="2.3526836919520351E-2"/>
  </r>
  <r>
    <x v="1"/>
    <x v="0"/>
    <x v="2"/>
    <x v="1"/>
    <n v="55.387561830982342"/>
    <n v="31.617477427301203"/>
    <n v="87.005039258283546"/>
    <n v="5.7158395142644584E-2"/>
    <n v="5.7158395142644584E-2"/>
  </r>
  <r>
    <x v="1"/>
    <x v="1"/>
    <x v="2"/>
    <x v="1"/>
    <n v="1.2701510438446102"/>
    <n v="1.104345313443891"/>
    <n v="2.3744963572885012"/>
    <n v="1.5290634532905507E-3"/>
    <n v="1.5290634532905507E-3"/>
  </r>
  <r>
    <x v="1"/>
    <x v="2"/>
    <x v="2"/>
    <x v="1"/>
    <n v="74.437284403452949"/>
    <n v="100.47514794028395"/>
    <n v="174.9124323437369"/>
    <n v="0.1097330350275082"/>
    <n v="0.1097330350275082"/>
  </r>
  <r>
    <x v="1"/>
    <x v="3"/>
    <x v="2"/>
    <x v="1"/>
    <n v="85.31044626554214"/>
    <n v="11.410340789478543"/>
    <n v="96.720787055020679"/>
    <n v="6.0527507919762281E-2"/>
    <n v="6.0527507919762281E-2"/>
  </r>
  <r>
    <x v="1"/>
    <x v="4"/>
    <x v="2"/>
    <x v="1"/>
    <n v="4.2166832395709442"/>
    <n v="19.202274202284883"/>
    <n v="23.418957441855827"/>
    <n v="1.4677674413884576E-2"/>
    <n v="1.4677674413884576E-2"/>
  </r>
  <r>
    <x v="1"/>
    <x v="5"/>
    <x v="2"/>
    <x v="1"/>
    <n v="283.77176525882146"/>
    <n v="31.127177351212758"/>
    <n v="314.89894261003423"/>
    <n v="0.21392846363067453"/>
    <n v="0.21392846363067453"/>
  </r>
  <r>
    <x v="1"/>
    <x v="6"/>
    <x v="2"/>
    <x v="1"/>
    <n v="21.98253085705646"/>
    <n v="13.218240642702915"/>
    <n v="35.200771499759377"/>
    <n v="2.3526836919520351E-2"/>
    <n v="2.3526836919520351E-2"/>
  </r>
  <r>
    <x v="2"/>
    <x v="0"/>
    <x v="0"/>
    <x v="0"/>
    <n v="276.35611650864206"/>
    <n v="81.251204911960016"/>
    <n v="357.60732142060209"/>
    <n v="8.312457001440185E-2"/>
    <n v="8.312457001440185E-2"/>
  </r>
  <r>
    <x v="2"/>
    <x v="1"/>
    <x v="0"/>
    <x v="0"/>
    <n v="17.14619185423113"/>
    <n v="3.3924950644004617"/>
    <n v="20.538686918631591"/>
    <n v="4.7142963715011265E-3"/>
    <n v="4.7142963715011265E-3"/>
  </r>
  <r>
    <x v="2"/>
    <x v="2"/>
    <x v="0"/>
    <x v="0"/>
    <n v="753.4811303033714"/>
    <n v="265.29019341143203"/>
    <n v="1018.7713237148034"/>
    <n v="0.23037122474221278"/>
    <n v="0.23037122474221278"/>
  </r>
  <r>
    <x v="2"/>
    <x v="3"/>
    <x v="0"/>
    <x v="0"/>
    <n v="292.85111496395729"/>
    <n v="32.796083399144642"/>
    <n v="325.64719836310195"/>
    <n v="7.3539202341739163E-2"/>
    <n v="7.3539202341739163E-2"/>
  </r>
  <r>
    <x v="2"/>
    <x v="4"/>
    <x v="0"/>
    <x v="0"/>
    <n v="49.276523521640975"/>
    <n v="50.072295952608421"/>
    <n v="99.348819474249396"/>
    <n v="2.2452438549864489E-2"/>
    <n v="2.2452438549864489E-2"/>
  </r>
  <r>
    <x v="2"/>
    <x v="5"/>
    <x v="0"/>
    <x v="0"/>
    <n v="1387.0107990761319"/>
    <n v="82.527378384646852"/>
    <n v="1469.5381774607788"/>
    <n v="0.34757384676043085"/>
    <n v="0.34757384676043085"/>
  </r>
  <r>
    <x v="2"/>
    <x v="6"/>
    <x v="0"/>
    <x v="0"/>
    <n v="179.87831848474644"/>
    <n v="34.568657424673304"/>
    <n v="214.44697590941976"/>
    <n v="5.0290259663540393E-2"/>
    <n v="5.0290259663540393E-2"/>
  </r>
  <r>
    <x v="2"/>
    <x v="0"/>
    <x v="0"/>
    <x v="1"/>
    <n v="79.441262319926011"/>
    <n v="42.945404621565991"/>
    <n v="122.386666941492"/>
    <n v="8.312457001440185E-2"/>
    <n v="8.312457001440185E-2"/>
  </r>
  <r>
    <x v="2"/>
    <x v="1"/>
    <x v="0"/>
    <x v="1"/>
    <n v="5.2895174784501133"/>
    <n v="1.7931066176213446"/>
    <n v="7.0826240960714575"/>
    <n v="4.7142963715011265E-3"/>
    <n v="4.7142963715011265E-3"/>
  </r>
  <r>
    <x v="2"/>
    <x v="2"/>
    <x v="0"/>
    <x v="1"/>
    <n v="215.18845369296145"/>
    <n v="140.21939379892711"/>
    <n v="355.40784749188856"/>
    <n v="0.23037122474221278"/>
    <n v="0.23037122474221278"/>
  </r>
  <r>
    <x v="2"/>
    <x v="3"/>
    <x v="0"/>
    <x v="1"/>
    <n v="96.407948094773801"/>
    <n v="17.334402278772483"/>
    <n v="113.74235037354629"/>
    <n v="7.3539202341739163E-2"/>
    <n v="7.3539202341739163E-2"/>
  </r>
  <r>
    <x v="2"/>
    <x v="4"/>
    <x v="0"/>
    <x v="1"/>
    <n v="8.2076343603895587"/>
    <n v="26.465761490498689"/>
    <n v="34.673395850888248"/>
    <n v="2.2452438549864489E-2"/>
    <n v="2.2452438549864489E-2"/>
  </r>
  <r>
    <x v="2"/>
    <x v="5"/>
    <x v="0"/>
    <x v="1"/>
    <n v="450.89922261577715"/>
    <n v="43.61992737124374"/>
    <n v="494.51914998702091"/>
    <n v="0.34757384676043085"/>
    <n v="0.34757384676043085"/>
  </r>
  <r>
    <x v="2"/>
    <x v="6"/>
    <x v="0"/>
    <x v="1"/>
    <n v="54.481766201614533"/>
    <n v="18.271298031032291"/>
    <n v="72.753064232646821"/>
    <n v="5.0290259663540393E-2"/>
    <n v="5.0290259663540393E-2"/>
  </r>
  <r>
    <x v="2"/>
    <x v="0"/>
    <x v="1"/>
    <x v="0"/>
    <n v="241.20609002736626"/>
    <n v="75.904362383777311"/>
    <n v="317.11045241114357"/>
    <n v="7.7477816449727066E-2"/>
    <n v="7.7477816449727066E-2"/>
  </r>
  <r>
    <x v="2"/>
    <x v="1"/>
    <x v="1"/>
    <x v="0"/>
    <n v="15.050886412952437"/>
    <n v="3.1692474595601281"/>
    <n v="18.220133872512566"/>
    <n v="4.3940539267441937E-3"/>
    <n v="4.3940539267441937E-3"/>
  </r>
  <r>
    <x v="2"/>
    <x v="2"/>
    <x v="1"/>
    <x v="0"/>
    <n v="656.40782541950898"/>
    <n v="247.83242290847096"/>
    <n v="904.24024832798"/>
    <n v="0.21472265099551791"/>
    <n v="0.21472265099551791"/>
  </r>
  <r>
    <x v="2"/>
    <x v="3"/>
    <x v="1"/>
    <x v="0"/>
    <n v="258.41439937923445"/>
    <n v="30.637893946245075"/>
    <n v="289.05229332547952"/>
    <n v="6.8543873111688039E-2"/>
    <n v="6.8543873111688039E-2"/>
  </r>
  <r>
    <x v="2"/>
    <x v="4"/>
    <x v="1"/>
    <x v="0"/>
    <n v="41.40444381072286"/>
    <n v="46.77722258387184"/>
    <n v="88.1816663945947"/>
    <n v="2.0927300880251472E-2"/>
    <n v="2.0927300880251472E-2"/>
  </r>
  <r>
    <x v="2"/>
    <x v="5"/>
    <x v="1"/>
    <x v="0"/>
    <n v="1225.1371143729166"/>
    <n v="77.096555580670156"/>
    <n v="1302.2336699535867"/>
    <n v="0.32396152387998584"/>
    <n v="0.32396152387998584"/>
  </r>
  <r>
    <x v="2"/>
    <x v="6"/>
    <x v="1"/>
    <x v="0"/>
    <n v="157.80183232739054"/>
    <n v="32.293821403955832"/>
    <n v="190.09565373134637"/>
    <n v="4.6873884277298244E-2"/>
    <n v="4.6873884277298244E-2"/>
  </r>
  <r>
    <x v="2"/>
    <x v="0"/>
    <x v="1"/>
    <x v="1"/>
    <n v="69.430357419046246"/>
    <n v="40.229450164171581"/>
    <n v="109.65980758321783"/>
    <n v="7.7477816449727066E-2"/>
    <n v="7.7477816449727066E-2"/>
  </r>
  <r>
    <x v="2"/>
    <x v="1"/>
    <x v="1"/>
    <x v="1"/>
    <n v="4.6670892180438148"/>
    <n v="1.6797069197112566"/>
    <n v="6.3467961377550717"/>
    <n v="4.3940539267441937E-3"/>
    <n v="4.3940539267441937E-3"/>
  </r>
  <r>
    <x v="2"/>
    <x v="2"/>
    <x v="1"/>
    <x v="1"/>
    <n v="187.20480431466748"/>
    <n v="131.35163504901666"/>
    <n v="318.55643936368415"/>
    <n v="0.21472265099551791"/>
    <n v="0.21472265099551791"/>
  </r>
  <r>
    <x v="2"/>
    <x v="3"/>
    <x v="1"/>
    <x v="1"/>
    <n v="85.713137896896228"/>
    <n v="16.238139534244564"/>
    <n v="101.9512774311408"/>
    <n v="6.8543873111688039E-2"/>
    <n v="6.8543873111688039E-2"/>
  </r>
  <r>
    <x v="2"/>
    <x v="4"/>
    <x v="1"/>
    <x v="1"/>
    <n v="6.2864614400127223"/>
    <n v="24.792013076160519"/>
    <n v="31.078474516173241"/>
    <n v="2.0927300880251472E-2"/>
    <n v="2.0927300880251472E-2"/>
  </r>
  <r>
    <x v="2"/>
    <x v="5"/>
    <x v="1"/>
    <x v="1"/>
    <n v="402.06317327176185"/>
    <n v="40.861314727606945"/>
    <n v="442.92448799936881"/>
    <n v="0.32396152387998584"/>
    <n v="0.32396152387998584"/>
  </r>
  <r>
    <x v="2"/>
    <x v="6"/>
    <x v="1"/>
    <x v="1"/>
    <n v="48.058546698585339"/>
    <n v="17.115784099633821"/>
    <n v="65.17433079821916"/>
    <n v="4.6873884277298244E-2"/>
    <n v="4.6873884277298244E-2"/>
  </r>
  <r>
    <x v="2"/>
    <x v="0"/>
    <x v="2"/>
    <x v="0"/>
    <n v="316.10115213945107"/>
    <n v="86.950706358662813"/>
    <n v="403.05185849811386"/>
    <n v="8.9156077134508682E-2"/>
    <n v="8.9156077134508682E-2"/>
  </r>
  <r>
    <x v="2"/>
    <x v="1"/>
    <x v="2"/>
    <x v="0"/>
    <n v="19.500702951384277"/>
    <n v="3.6304672956853232"/>
    <n v="23.131170247069601"/>
    <n v="5.0563614434022842E-3"/>
    <n v="5.0563614434022842E-3"/>
  </r>
  <r>
    <x v="2"/>
    <x v="2"/>
    <x v="2"/>
    <x v="0"/>
    <n v="862.34154061842582"/>
    <n v="283.89941702581274"/>
    <n v="1146.2409576442385"/>
    <n v="0.24708638095089758"/>
    <n v="0.24708638095089758"/>
  </r>
  <r>
    <x v="2"/>
    <x v="3"/>
    <x v="2"/>
    <x v="0"/>
    <n v="331.26127305659446"/>
    <n v="35.096619434052066"/>
    <n v="366.35789249064652"/>
    <n v="7.887501135584607E-2"/>
    <n v="7.887501135584607E-2"/>
  </r>
  <r>
    <x v="2"/>
    <x v="4"/>
    <x v="2"/>
    <x v="0"/>
    <n v="58.190708152839186"/>
    <n v="53.584700765938315"/>
    <n v="111.7754089187775"/>
    <n v="2.4081528605903676E-2"/>
    <n v="2.4081528605903676E-2"/>
  </r>
  <r>
    <x v="2"/>
    <x v="5"/>
    <x v="2"/>
    <x v="0"/>
    <n v="1570.0576840431595"/>
    <n v="88.316399150622559"/>
    <n v="1658.3740831937821"/>
    <n v="0.37279456038370989"/>
    <n v="0.37279456038370989"/>
  </r>
  <r>
    <x v="2"/>
    <x v="6"/>
    <x v="2"/>
    <x v="0"/>
    <n v="204.86118218859309"/>
    <n v="36.993533624552235"/>
    <n v="241.85471581314533"/>
    <n v="5.3939378474945059E-2"/>
    <n v="5.3939378474945059E-2"/>
  </r>
  <r>
    <x v="2"/>
    <x v="0"/>
    <x v="2"/>
    <x v="1"/>
    <n v="89.861258237934052"/>
    <n v="45.849829728128427"/>
    <n v="135.71108796606248"/>
    <n v="8.9156077134508682E-2"/>
    <n v="8.9156077134508682E-2"/>
  </r>
  <r>
    <x v="2"/>
    <x v="1"/>
    <x v="2"/>
    <x v="1"/>
    <n v="5.9376934955951945"/>
    <n v="1.9143755618740528"/>
    <n v="7.8520690574692473"/>
    <n v="5.0563614434022842E-3"/>
    <n v="5.0563614434022842E-3"/>
  </r>
  <r>
    <x v="2"/>
    <x v="2"/>
    <x v="2"/>
    <x v="1"/>
    <n v="244.14860959219416"/>
    <n v="149.70252083813679"/>
    <n v="393.85113043033095"/>
    <n v="0.24708638095089758"/>
    <n v="0.24708638095089758"/>
  </r>
  <r>
    <x v="2"/>
    <x v="3"/>
    <x v="2"/>
    <x v="1"/>
    <n v="107.53270061750999"/>
    <n v="18.506738961343579"/>
    <n v="126.03943957885357"/>
    <n v="7.887501135584607E-2"/>
    <n v="7.887501135584607E-2"/>
  </r>
  <r>
    <x v="2"/>
    <x v="4"/>
    <x v="2"/>
    <x v="1"/>
    <n v="10.16761535266463"/>
    <n v="28.255657820843123"/>
    <n v="38.423273173507752"/>
    <n v="2.4081528605903676E-2"/>
    <n v="2.4081528605903676E-2"/>
  </r>
  <r>
    <x v="2"/>
    <x v="5"/>
    <x v="2"/>
    <x v="1"/>
    <n v="502.17707700197559"/>
    <n v="46.569970881599914"/>
    <n v="548.74704788357553"/>
    <n v="0.37279456038370989"/>
    <n v="0.37279456038370989"/>
  </r>
  <r>
    <x v="2"/>
    <x v="6"/>
    <x v="2"/>
    <x v="1"/>
    <n v="61.196912735033663"/>
    <n v="19.506997570911949"/>
    <n v="80.703910305945612"/>
    <n v="5.3939378474945059E-2"/>
    <n v="5.3939378474945059E-2"/>
  </r>
  <r>
    <x v="3"/>
    <x v="0"/>
    <x v="0"/>
    <x v="0"/>
    <n v="487.99015982488027"/>
    <n v="109.75258777001235"/>
    <n v="597.74274759489265"/>
    <n v="0.13894320920407469"/>
    <n v="0.13894320920407469"/>
  </r>
  <r>
    <x v="3"/>
    <x v="1"/>
    <x v="0"/>
    <x v="0"/>
    <n v="35.360828299139094"/>
    <n v="4.1366409294700048"/>
    <n v="39.497469228609098"/>
    <n v="9.0659532717738724E-3"/>
    <n v="9.0659532717738724E-3"/>
  </r>
  <r>
    <x v="3"/>
    <x v="2"/>
    <x v="0"/>
    <x v="0"/>
    <n v="1184.2103074009999"/>
    <n v="361.72693756289692"/>
    <n v="1545.9372449638968"/>
    <n v="0.34957742547986637"/>
    <n v="0.34957742547986637"/>
  </r>
  <r>
    <x v="3"/>
    <x v="3"/>
    <x v="0"/>
    <x v="0"/>
    <n v="436.69625272335276"/>
    <n v="41.704444693778591"/>
    <n v="478.40069741713137"/>
    <n v="0.10803472550855736"/>
    <n v="0.10803472550855736"/>
  </r>
  <r>
    <x v="3"/>
    <x v="4"/>
    <x v="0"/>
    <x v="0"/>
    <n v="64.034472290529479"/>
    <n v="70.074322016625544"/>
    <n v="134.10879430715502"/>
    <n v="3.0308054782254623E-2"/>
    <n v="3.0308054782254623E-2"/>
  </r>
  <r>
    <x v="3"/>
    <x v="5"/>
    <x v="0"/>
    <x v="0"/>
    <n v="1956.1915013912917"/>
    <n v="110.19367714476898"/>
    <n v="2066.3851785360607"/>
    <n v="0.48873956213477115"/>
    <n v="0.48873956213477115"/>
  </r>
  <r>
    <x v="3"/>
    <x v="6"/>
    <x v="0"/>
    <x v="0"/>
    <n v="304.94104986524218"/>
    <n v="47.064371569893581"/>
    <n v="352.00542143513576"/>
    <n v="8.2549282739355148E-2"/>
    <n v="8.2549282739355148E-2"/>
  </r>
  <r>
    <x v="3"/>
    <x v="0"/>
    <x v="0"/>
    <x v="1"/>
    <n v="146.56019717262524"/>
    <n v="58.009838686752992"/>
    <n v="204.57003585937824"/>
    <n v="0.13894320920407469"/>
    <n v="0.13894320920407469"/>
  </r>
  <r>
    <x v="3"/>
    <x v="1"/>
    <x v="0"/>
    <x v="1"/>
    <n v="11.434003367996665"/>
    <n v="2.1864256497206771"/>
    <n v="13.620429017717342"/>
    <n v="9.0659532717738724E-3"/>
    <n v="9.0659532717738724E-3"/>
  </r>
  <r>
    <x v="3"/>
    <x v="2"/>
    <x v="0"/>
    <x v="1"/>
    <n v="348.12344983757373"/>
    <n v="191.19113018682003"/>
    <n v="539.31458002439376"/>
    <n v="0.34957742547986637"/>
    <n v="0.34957742547986637"/>
  </r>
  <r>
    <x v="3"/>
    <x v="3"/>
    <x v="0"/>
    <x v="1"/>
    <n v="145.05330636441028"/>
    <n v="22.042925441323622"/>
    <n v="167.09623180573391"/>
    <n v="0.10803472550855736"/>
    <n v="0.10803472550855736"/>
  </r>
  <r>
    <x v="3"/>
    <x v="4"/>
    <x v="0"/>
    <x v="1"/>
    <n v="9.7670051104325069"/>
    <n v="37.037852125967916"/>
    <n v="46.804857236400423"/>
    <n v="3.0308054782254623E-2"/>
    <n v="3.0308054782254623E-2"/>
  </r>
  <r>
    <x v="3"/>
    <x v="5"/>
    <x v="0"/>
    <x v="1"/>
    <n v="637.12313041963944"/>
    <n v="58.242976911518085"/>
    <n v="695.36610733115754"/>
    <n v="0.48873956213477115"/>
    <n v="0.48873956213477115"/>
  </r>
  <r>
    <x v="3"/>
    <x v="6"/>
    <x v="0"/>
    <x v="1"/>
    <n v="94.545083298077515"/>
    <n v="24.875920086586795"/>
    <n v="119.42100338466432"/>
    <n v="8.2549282739355148E-2"/>
    <n v="8.2549282739355148E-2"/>
  </r>
  <r>
    <x v="3"/>
    <x v="0"/>
    <x v="1"/>
    <x v="0"/>
    <n v="427.52181790574411"/>
    <n v="102.53017421315897"/>
    <n v="530.05199211890306"/>
    <n v="0.1295046273055514"/>
    <n v="0.1295046273055514"/>
  </r>
  <r>
    <x v="3"/>
    <x v="1"/>
    <x v="1"/>
    <x v="0"/>
    <n v="31.174290178421398"/>
    <n v="3.8644238261116306"/>
    <n v="35.038714004533027"/>
    <n v="8.450102504020689E-3"/>
    <n v="8.450102504020689E-3"/>
  </r>
  <r>
    <x v="3"/>
    <x v="2"/>
    <x v="1"/>
    <x v="0"/>
    <n v="1034.2187409790199"/>
    <n v="337.92302012627209"/>
    <n v="1372.1417611052921"/>
    <n v="0.325831455778473"/>
    <n v="0.325831455778473"/>
  </r>
  <r>
    <x v="3"/>
    <x v="3"/>
    <x v="1"/>
    <x v="0"/>
    <n v="385.67994787856958"/>
    <n v="38.960028795644433"/>
    <n v="424.63997667421404"/>
    <n v="0.10069620394443182"/>
    <n v="0.10069620394443182"/>
  </r>
  <r>
    <x v="3"/>
    <x v="4"/>
    <x v="1"/>
    <x v="0"/>
    <n v="53.571510093946401"/>
    <n v="65.462988984727161"/>
    <n v="119.03449907867356"/>
    <n v="2.8249304863467269E-2"/>
    <n v="2.8249304863467269E-2"/>
  </r>
  <r>
    <x v="3"/>
    <x v="5"/>
    <x v="1"/>
    <x v="0"/>
    <n v="1728.1883832706774"/>
    <n v="102.94223712079764"/>
    <n v="1831.1306203914751"/>
    <n v="0.45553718959398626"/>
    <n v="0.45553718959398626"/>
  </r>
  <r>
    <x v="3"/>
    <x v="6"/>
    <x v="1"/>
    <x v="0"/>
    <n v="268.06654231654608"/>
    <n v="43.967238625898815"/>
    <n v="312.03378094244488"/>
    <n v="7.6941450535077699E-2"/>
    <n v="7.6941450535077699E-2"/>
  </r>
  <r>
    <x v="3"/>
    <x v="0"/>
    <x v="1"/>
    <x v="1"/>
    <n v="128.95583647819689"/>
    <n v="54.341178876876633"/>
    <n v="183.29701535507351"/>
    <n v="0.1295046273055514"/>
    <n v="0.1295046273055514"/>
  </r>
  <r>
    <x v="3"/>
    <x v="1"/>
    <x v="1"/>
    <x v="1"/>
    <n v="10.157223794096442"/>
    <n v="2.0481516587908475"/>
    <n v="12.20537545288729"/>
    <n v="8.450102504020689E-3"/>
    <n v="8.450102504020689E-3"/>
  </r>
  <r>
    <x v="3"/>
    <x v="2"/>
    <x v="1"/>
    <x v="1"/>
    <n v="304.29449761653154"/>
    <n v="179.09981548572611"/>
    <n v="483.39431310225768"/>
    <n v="0.325831455778473"/>
    <n v="0.325831455778473"/>
  </r>
  <r>
    <x v="3"/>
    <x v="3"/>
    <x v="1"/>
    <x v="1"/>
    <n v="129.1253556434863"/>
    <n v="20.648886145759242"/>
    <n v="149.77424178924554"/>
    <n v="0.10069620394443182"/>
    <n v="0.10069620394443182"/>
  </r>
  <r>
    <x v="3"/>
    <x v="4"/>
    <x v="1"/>
    <x v="1"/>
    <n v="7.2566484391408537"/>
    <n v="34.695503265588989"/>
    <n v="41.952151704729843"/>
    <n v="2.8249304863467269E-2"/>
    <n v="2.8249304863467269E-2"/>
  </r>
  <r>
    <x v="3"/>
    <x v="5"/>
    <x v="1"/>
    <x v="1"/>
    <n v="568.25690859804604"/>
    <n v="54.559572967634402"/>
    <n v="622.81648156568042"/>
    <n v="0.45553718959398626"/>
    <n v="0.45553718959398626"/>
  </r>
  <r>
    <x v="3"/>
    <x v="6"/>
    <x v="1"/>
    <x v="1"/>
    <n v="83.678124285438528"/>
    <n v="23.302716465936211"/>
    <n v="106.98084075137474"/>
    <n v="7.6941450535077699E-2"/>
    <n v="7.6941450535077699E-2"/>
  </r>
  <r>
    <x v="3"/>
    <x v="0"/>
    <x v="2"/>
    <x v="0"/>
    <n v="556.25219312665297"/>
    <n v="117.45136631061811"/>
    <n v="673.70355943727111"/>
    <n v="0.14902490894050244"/>
    <n v="0.14902490894050244"/>
  </r>
  <r>
    <x v="3"/>
    <x v="1"/>
    <x v="2"/>
    <x v="0"/>
    <n v="40.05620086717007"/>
    <n v="4.4268125150797317"/>
    <n v="44.483013382249801"/>
    <n v="9.7237706242231086E-3"/>
    <n v="9.7237706242231086E-3"/>
  </r>
  <r>
    <x v="3"/>
    <x v="2"/>
    <x v="2"/>
    <x v="0"/>
    <n v="1352.2655011391062"/>
    <n v="387.10087763166302"/>
    <n v="1739.3663787707692"/>
    <n v="0.37494188356470082"/>
    <n v="0.37494188356470082"/>
  </r>
  <r>
    <x v="3"/>
    <x v="3"/>
    <x v="2"/>
    <x v="0"/>
    <n v="493.57795522831037"/>
    <n v="44.629872607416097"/>
    <n v="538.20782783572645"/>
    <n v="0.11587343797549887"/>
    <n v="0.11587343797549887"/>
  </r>
  <r>
    <x v="3"/>
    <x v="4"/>
    <x v="2"/>
    <x v="0"/>
    <n v="75.893372736853948"/>
    <n v="74.989802348803167"/>
    <n v="150.88317508565711"/>
    <n v="3.2507127749496295E-2"/>
    <n v="3.2507127749496295E-2"/>
  </r>
  <r>
    <x v="3"/>
    <x v="5"/>
    <x v="2"/>
    <x v="0"/>
    <n v="2213.9926287788753"/>
    <n v="117.92339663612471"/>
    <n v="2331.9160254150001"/>
    <n v="0.52420356682861091"/>
    <n v="0.52420356682861091"/>
  </r>
  <r>
    <x v="3"/>
    <x v="6"/>
    <x v="2"/>
    <x v="0"/>
    <n v="346.62825872047665"/>
    <n v="50.365780504584748"/>
    <n v="396.99403922506139"/>
    <n v="8.8539153193942011E-2"/>
    <n v="8.8539153193942011E-2"/>
  </r>
  <r>
    <x v="3"/>
    <x v="0"/>
    <x v="2"/>
    <x v="1"/>
    <n v="164.9088031366947"/>
    <n v="61.933081077740631"/>
    <n v="226.84188421443534"/>
    <n v="0.14902490894050244"/>
    <n v="0.14902490894050244"/>
  </r>
  <r>
    <x v="3"/>
    <x v="1"/>
    <x v="2"/>
    <x v="1"/>
    <n v="12.765835645221813"/>
    <n v="2.3342950109862111"/>
    <n v="15.100130656208025"/>
    <n v="9.7237706242231086E-3"/>
    <n v="9.7237706242231086E-3"/>
  </r>
  <r>
    <x v="3"/>
    <x v="2"/>
    <x v="2"/>
    <x v="1"/>
    <n v="393.52893332646875"/>
    <n v="204.12150826940987"/>
    <n v="597.65044159587865"/>
    <n v="0.37494188356470082"/>
    <n v="0.37494188356470082"/>
  </r>
  <r>
    <x v="3"/>
    <x v="3"/>
    <x v="2"/>
    <x v="1"/>
    <n v="161.62789595330395"/>
    <n v="23.533702548630565"/>
    <n v="185.16159850193452"/>
    <n v="0.11587343797549887"/>
    <n v="0.11587343797549887"/>
  </r>
  <r>
    <x v="3"/>
    <x v="4"/>
    <x v="2"/>
    <x v="1"/>
    <n v="12.323988771264922"/>
    <n v="39.542745689219814"/>
    <n v="51.866734460484736"/>
    <n v="3.2507127749496295E-2"/>
    <n v="3.2507127749496295E-2"/>
  </r>
  <r>
    <x v="3"/>
    <x v="5"/>
    <x v="2"/>
    <x v="1"/>
    <n v="709.43646055527677"/>
    <n v="62.181986589349883"/>
    <n v="771.61844714462666"/>
    <n v="0.52420356682861091"/>
    <n v="0.52420356682861091"/>
  </r>
  <r>
    <x v="3"/>
    <x v="6"/>
    <x v="2"/>
    <x v="1"/>
    <n v="105.91367836657155"/>
    <n v="26.558294428731006"/>
    <n v="132.47197279530255"/>
    <n v="8.8539153193942011E-2"/>
    <n v="8.8539153193942011E-2"/>
  </r>
  <r>
    <x v="4"/>
    <x v="0"/>
    <x v="0"/>
    <x v="0"/>
    <n v="2267.9336873505531"/>
    <n v="314.9000152734888"/>
    <n v="2582.833702624042"/>
    <n v="0.60037065263776568"/>
    <n v="0.60037065263776568"/>
  </r>
  <r>
    <x v="4"/>
    <x v="1"/>
    <x v="0"/>
    <x v="0"/>
    <n v="966.69593350080856"/>
    <n v="10.341323854700276"/>
    <n v="977.03725735550881"/>
    <n v="0.22426181456588853"/>
    <n v="0.22426181456588853"/>
  </r>
  <r>
    <x v="4"/>
    <x v="2"/>
    <x v="0"/>
    <x v="0"/>
    <n v="5765.7707568029309"/>
    <n v="982.00955189756417"/>
    <n v="6747.780308700495"/>
    <n v="1.5258521493699846"/>
    <n v="1.5258521493699846"/>
  </r>
  <r>
    <x v="4"/>
    <x v="3"/>
    <x v="0"/>
    <x v="0"/>
    <n v="2294.9128545821686"/>
    <n v="81.894378775958003"/>
    <n v="2376.8072333581267"/>
    <n v="0.53674193710195728"/>
    <n v="0.53674193710195728"/>
  </r>
  <r>
    <x v="4"/>
    <x v="4"/>
    <x v="0"/>
    <x v="0"/>
    <n v="378.65793337327284"/>
    <n v="204.91328366654253"/>
    <n v="583.57121703981534"/>
    <n v="0.13188477688406081"/>
    <n v="0.13188477688406081"/>
  </r>
  <r>
    <x v="4"/>
    <x v="5"/>
    <x v="0"/>
    <x v="0"/>
    <n v="5233.2520999185517"/>
    <n v="279.40454347567112"/>
    <n v="5512.6566433942226"/>
    <n v="1.3038485864482492"/>
    <n v="1.3038485864482492"/>
  </r>
  <r>
    <x v="4"/>
    <x v="6"/>
    <x v="0"/>
    <x v="0"/>
    <n v="1159.6546150423055"/>
    <n v="118.47922076613249"/>
    <n v="1278.1338358084381"/>
    <n v="0.29973694996152994"/>
    <n v="0.29973694996152994"/>
  </r>
  <r>
    <x v="4"/>
    <x v="0"/>
    <x v="0"/>
    <x v="1"/>
    <n v="717.50206104784422"/>
    <n v="166.44071415200202"/>
    <n v="883.94277519984621"/>
    <n v="0.60037065263776568"/>
    <n v="0.60037065263776568"/>
  </r>
  <r>
    <x v="4"/>
    <x v="1"/>
    <x v="0"/>
    <x v="1"/>
    <n v="331.45862205974748"/>
    <n v="5.4659169392500075"/>
    <n v="336.92453899899749"/>
    <n v="0.22426181456588853"/>
    <n v="0.22426181456588853"/>
  </r>
  <r>
    <x v="4"/>
    <x v="2"/>
    <x v="0"/>
    <x v="1"/>
    <n v="1834.9837740468197"/>
    <n v="519.04211874987004"/>
    <n v="2354.0258927966897"/>
    <n v="1.5258521493699846"/>
    <n v="1.5258521493699846"/>
  </r>
  <r>
    <x v="4"/>
    <x v="3"/>
    <x v="0"/>
    <x v="1"/>
    <n v="786.88804286781942"/>
    <n v="43.285354802752074"/>
    <n v="830.17339767057149"/>
    <n v="0.53674193710195728"/>
    <n v="0.53674193710195728"/>
  </r>
  <r>
    <x v="4"/>
    <x v="4"/>
    <x v="0"/>
    <x v="1"/>
    <n v="95.363100449738255"/>
    <n v="108.30711850893468"/>
    <n v="203.67021895867293"/>
    <n v="0.13188477688406081"/>
    <n v="0.13188477688406081"/>
  </r>
  <r>
    <x v="4"/>
    <x v="5"/>
    <x v="0"/>
    <x v="1"/>
    <n v="1707.40276292924"/>
    <n v="147.67954746847533"/>
    <n v="1855.0823103977154"/>
    <n v="1.3038485864482492"/>
    <n v="1.3038485864482492"/>
  </r>
  <r>
    <x v="4"/>
    <x v="6"/>
    <x v="0"/>
    <x v="1"/>
    <n v="370.99608371485249"/>
    <n v="62.622309177601352"/>
    <n v="433.61839289245381"/>
    <n v="0.29973694996152994"/>
    <n v="0.29973694996152994"/>
  </r>
  <r>
    <x v="4"/>
    <x v="0"/>
    <x v="1"/>
    <x v="0"/>
    <n v="1996.1657823945634"/>
    <n v="294.17760511829061"/>
    <n v="2290.343387512854"/>
    <n v="0.55958674094569827"/>
    <n v="0.55958674094569827"/>
  </r>
  <r>
    <x v="4"/>
    <x v="1"/>
    <x v="1"/>
    <x v="0"/>
    <n v="857.08154384399381"/>
    <n v="9.6607994213218973"/>
    <n v="866.74234326531575"/>
    <n v="0.20902769560036014"/>
    <n v="0.20902769560036014"/>
  </r>
  <r>
    <x v="4"/>
    <x v="2"/>
    <x v="1"/>
    <x v="0"/>
    <n v="5071.8024063520888"/>
    <n v="917.38712025661914"/>
    <n v="5989.1895266087076"/>
    <n v="1.4222046130394896"/>
    <n v="1.4222046130394896"/>
  </r>
  <r>
    <x v="4"/>
    <x v="3"/>
    <x v="1"/>
    <x v="0"/>
    <n v="2033.2061113632105"/>
    <n v="76.505211344744424"/>
    <n v="2109.7113227079549"/>
    <n v="0.50028243520336424"/>
    <n v="0.50028243520336424"/>
  </r>
  <r>
    <x v="4"/>
    <x v="4"/>
    <x v="1"/>
    <x v="0"/>
    <n v="326.54708598850641"/>
    <n v="191.42869521170016"/>
    <n v="517.9757812002066"/>
    <n v="0.12292617575805515"/>
    <n v="0.12292617575805515"/>
  </r>
  <r>
    <x v="4"/>
    <x v="5"/>
    <x v="1"/>
    <x v="0"/>
    <n v="4624.0317805522445"/>
    <n v="261.01795958141429"/>
    <n v="4885.0497401336588"/>
    <n v="1.2152720318617127"/>
    <n v="1.2152720318617127"/>
  </r>
  <r>
    <x v="4"/>
    <x v="6"/>
    <x v="1"/>
    <x v="0"/>
    <n v="1022.3140253386777"/>
    <n v="110.68253963402221"/>
    <n v="1132.9965649726998"/>
    <n v="0.27937487696674151"/>
    <n v="0.27937487696674151"/>
  </r>
  <r>
    <x v="4"/>
    <x v="0"/>
    <x v="1"/>
    <x v="1"/>
    <n v="636.10783998560112"/>
    <n v="155.91466594087322"/>
    <n v="792.02250592647431"/>
    <n v="0.55958674094569827"/>
    <n v="0.55958674094569827"/>
  </r>
  <r>
    <x v="4"/>
    <x v="1"/>
    <x v="1"/>
    <x v="1"/>
    <n v="296.80053467775991"/>
    <n v="5.1202412702065097"/>
    <n v="301.92077594796643"/>
    <n v="0.20902769560036014"/>
    <n v="0.20902769560036014"/>
  </r>
  <r>
    <x v="4"/>
    <x v="2"/>
    <x v="1"/>
    <x v="1"/>
    <n v="1623.7256130542673"/>
    <n v="486.21684283463912"/>
    <n v="2109.9424558889064"/>
    <n v="1.4222046130394896"/>
    <n v="1.4222046130394896"/>
  </r>
  <r>
    <x v="4"/>
    <x v="3"/>
    <x v="1"/>
    <x v="1"/>
    <n v="703.5657741649427"/>
    <n v="40.547901206671703"/>
    <n v="744.11367537161436"/>
    <n v="0.50028243520336424"/>
    <n v="0.50028243520336424"/>
  </r>
  <r>
    <x v="4"/>
    <x v="4"/>
    <x v="1"/>
    <x v="1"/>
    <n v="81.096229930808491"/>
    <n v="101.45755674850908"/>
    <n v="182.55378667931757"/>
    <n v="0.12292617575805515"/>
    <n v="0.12292617575805515"/>
  </r>
  <r>
    <x v="4"/>
    <x v="5"/>
    <x v="1"/>
    <x v="1"/>
    <n v="1523.1960310670479"/>
    <n v="138.33999347550684"/>
    <n v="1661.5360245425547"/>
    <n v="1.2152720318617127"/>
    <n v="1.2152720318617127"/>
  </r>
  <r>
    <x v="4"/>
    <x v="6"/>
    <x v="1"/>
    <x v="1"/>
    <n v="329.78613898540902"/>
    <n v="58.661947382387808"/>
    <n v="388.4480863677968"/>
    <n v="0.27937487696674151"/>
    <n v="0.27937487696674151"/>
  </r>
  <r>
    <x v="4"/>
    <x v="0"/>
    <x v="2"/>
    <x v="0"/>
    <n v="2574.0695527653452"/>
    <n v="336.98920268385029"/>
    <n v="2911.0587554491954"/>
    <n v="0.64393346283287967"/>
    <n v="0.64393346283287967"/>
  </r>
  <r>
    <x v="4"/>
    <x v="1"/>
    <x v="2"/>
    <x v="0"/>
    <n v="1089.2964606793576"/>
    <n v="11.066733285053356"/>
    <n v="1100.3631939644108"/>
    <n v="0.24053404857050198"/>
    <n v="0.24053404857050198"/>
  </r>
  <r>
    <x v="4"/>
    <x v="2"/>
    <x v="2"/>
    <x v="0"/>
    <n v="6541.1747268220633"/>
    <n v="1050.8942517340865"/>
    <n v="7592.0689785561499"/>
    <n v="1.6365641406641103"/>
    <n v="1.6365641406641103"/>
  </r>
  <r>
    <x v="4"/>
    <x v="3"/>
    <x v="2"/>
    <x v="0"/>
    <n v="2586.3041332813664"/>
    <n v="87.638996727361373"/>
    <n v="2673.9431300087276"/>
    <n v="0.57568650510160657"/>
    <n v="0.57568650510160657"/>
  </r>
  <r>
    <x v="4"/>
    <x v="4"/>
    <x v="2"/>
    <x v="0"/>
    <n v="437.27726644075085"/>
    <n v="219.28726812586902"/>
    <n v="656.56453456661984"/>
    <n v="0.14145399040568374"/>
    <n v="0.14145399040568374"/>
  </r>
  <r>
    <x v="4"/>
    <x v="5"/>
    <x v="2"/>
    <x v="0"/>
    <n v="5922.03011788208"/>
    <n v="299.003841744299"/>
    <n v="6221.0339596263793"/>
    <n v="1.3984586732353435"/>
    <n v="1.3984586732353435"/>
  </r>
  <r>
    <x v="4"/>
    <x v="6"/>
    <x v="2"/>
    <x v="0"/>
    <n v="1314.6976383111603"/>
    <n v="126.7901435505082"/>
    <n v="1441.4877818616685"/>
    <n v="0.32148620617725476"/>
    <n v="0.32148620617725476"/>
  </r>
  <r>
    <x v="4"/>
    <x v="0"/>
    <x v="2"/>
    <x v="1"/>
    <n v="802.48175256684476"/>
    <n v="177.69720581151935"/>
    <n v="980.17895837836409"/>
    <n v="0.64393346283287967"/>
    <n v="0.64393346283287967"/>
  </r>
  <r>
    <x v="4"/>
    <x v="1"/>
    <x v="2"/>
    <x v="1"/>
    <n v="367.69190200968103"/>
    <n v="5.8355803881949164"/>
    <n v="373.52748239787593"/>
    <n v="0.24053404857050198"/>
    <n v="0.24053404857050198"/>
  </r>
  <r>
    <x v="4"/>
    <x v="2"/>
    <x v="2"/>
    <x v="1"/>
    <n v="2054.5077636515548"/>
    <n v="554.14526830323246"/>
    <n v="2608.6530319547874"/>
    <n v="1.6365641406641103"/>
    <n v="1.6365641406641103"/>
  </r>
  <r>
    <x v="4"/>
    <x v="3"/>
    <x v="2"/>
    <x v="1"/>
    <n v="873.71361927539078"/>
    <n v="46.212770956899668"/>
    <n v="919.92639023229049"/>
    <n v="0.57568650510160657"/>
    <n v="0.57568650510160657"/>
  </r>
  <r>
    <x v="4"/>
    <x v="4"/>
    <x v="2"/>
    <x v="1"/>
    <n v="110.06485884873115"/>
    <n v="115.63199801557269"/>
    <n v="225.69685686430384"/>
    <n v="0.14145399040568374"/>
    <n v="0.14145399040568374"/>
  </r>
  <r>
    <x v="4"/>
    <x v="5"/>
    <x v="2"/>
    <x v="1"/>
    <n v="1900.8394053781819"/>
    <n v="157.66720945869045"/>
    <n v="2058.5066148368724"/>
    <n v="1.3984586732353435"/>
    <n v="1.3984586732353435"/>
  </r>
  <r>
    <x v="4"/>
    <x v="6"/>
    <x v="2"/>
    <x v="1"/>
    <n v="414.14904666751409"/>
    <n v="66.857495889871998"/>
    <n v="481.00654255738607"/>
    <n v="0.32148620617725476"/>
    <n v="0.32148620617725476"/>
  </r>
  <r>
    <x v="5"/>
    <x v="0"/>
    <x v="0"/>
    <x v="0"/>
    <n v="4241.678612134695"/>
    <n v="470.84492853879362"/>
    <n v="4712.5235406734882"/>
    <n v="1.0954096002427773"/>
    <n v="1.0954096002427773"/>
  </r>
  <r>
    <x v="5"/>
    <x v="1"/>
    <x v="0"/>
    <x v="0"/>
    <n v="3326.9808858091419"/>
    <n v="14.852592134952104"/>
    <n v="3341.8334779440938"/>
    <n v="0.76705942797849103"/>
    <n v="0.76705942797849103"/>
  </r>
  <r>
    <x v="5"/>
    <x v="2"/>
    <x v="0"/>
    <x v="0"/>
    <n v="9598.0858806551842"/>
    <n v="1388.054507574471"/>
    <n v="10986.140388229654"/>
    <n v="2.484257808904383"/>
    <n v="2.484257808904383"/>
  </r>
  <r>
    <x v="5"/>
    <x v="3"/>
    <x v="0"/>
    <x v="0"/>
    <n v="3362.0282773133595"/>
    <n v="114.50220516408369"/>
    <n v="3476.530482477443"/>
    <n v="0.78508668240735535"/>
    <n v="0.78508668240735535"/>
  </r>
  <r>
    <x v="5"/>
    <x v="4"/>
    <x v="0"/>
    <x v="0"/>
    <n v="744.21716401501192"/>
    <n v="306.79010419999815"/>
    <n v="1051.0072682150101"/>
    <n v="0.23752346761578391"/>
    <n v="0.23752346761578391"/>
  </r>
  <r>
    <x v="5"/>
    <x v="5"/>
    <x v="0"/>
    <x v="0"/>
    <n v="9612.8904637029809"/>
    <n v="410.82970178161708"/>
    <n v="10023.720165484598"/>
    <n v="2.3708012695441161"/>
    <n v="2.3708012695441161"/>
  </r>
  <r>
    <x v="5"/>
    <x v="6"/>
    <x v="0"/>
    <x v="0"/>
    <n v="2679.1724725631907"/>
    <n v="164.53206064155327"/>
    <n v="2843.7045332047442"/>
    <n v="0.66688111956244345"/>
    <n v="0.66688111956244345"/>
  </r>
  <r>
    <x v="5"/>
    <x v="0"/>
    <x v="0"/>
    <x v="1"/>
    <n v="1363.9371353036402"/>
    <n v="248.86555211114623"/>
    <n v="1612.8026874147863"/>
    <n v="1.0954096002427773"/>
    <n v="1.0954096002427773"/>
  </r>
  <r>
    <x v="5"/>
    <x v="1"/>
    <x v="0"/>
    <x v="1"/>
    <n v="1144.5578036271422"/>
    <n v="7.8503522453082573"/>
    <n v="1152.4081558724504"/>
    <n v="0.76705942797849103"/>
    <n v="0.76705942797849103"/>
  </r>
  <r>
    <x v="5"/>
    <x v="2"/>
    <x v="0"/>
    <x v="1"/>
    <n v="3098.9596281223517"/>
    <n v="733.657581191139"/>
    <n v="3832.6172093134905"/>
    <n v="2.484257808904383"/>
    <n v="2.484257808904383"/>
  </r>
  <r>
    <x v="5"/>
    <x v="3"/>
    <x v="0"/>
    <x v="1"/>
    <n v="1153.7654832123155"/>
    <n v="60.520253652377669"/>
    <n v="1214.2857368646933"/>
    <n v="0.78508668240735535"/>
    <n v="0.78508668240735535"/>
  </r>
  <r>
    <x v="5"/>
    <x v="4"/>
    <x v="0"/>
    <x v="1"/>
    <n v="204.65428338009716"/>
    <n v="162.15421264259848"/>
    <n v="366.80849602269564"/>
    <n v="0.23752346761578391"/>
    <n v="0.23752346761578391"/>
  </r>
  <r>
    <x v="5"/>
    <x v="5"/>
    <x v="0"/>
    <x v="1"/>
    <n v="3155.9707638320501"/>
    <n v="217.144444721604"/>
    <n v="3373.1152085536542"/>
    <n v="2.3708012695441161"/>
    <n v="2.3708012695441161"/>
  </r>
  <r>
    <x v="5"/>
    <x v="6"/>
    <x v="0"/>
    <x v="1"/>
    <n v="877.78874164934598"/>
    <n v="86.963583187816226"/>
    <n v="964.75232483716218"/>
    <n v="0.66688111956244345"/>
    <n v="0.66688111956244345"/>
  </r>
  <r>
    <x v="5"/>
    <x v="0"/>
    <x v="1"/>
    <x v="0"/>
    <n v="3738.9983578574611"/>
    <n v="439.86035802296846"/>
    <n v="4178.8587158804294"/>
    <n v="1.0209970882276389"/>
    <n v="1.0209970882276389"/>
  </r>
  <r>
    <x v="5"/>
    <x v="1"/>
    <x v="1"/>
    <x v="0"/>
    <n v="2950.7083507970697"/>
    <n v="13.875197752100018"/>
    <n v="2964.5835485491698"/>
    <n v="0.71495303348563233"/>
    <n v="0.71495303348563233"/>
  </r>
  <r>
    <x v="5"/>
    <x v="2"/>
    <x v="1"/>
    <x v="0"/>
    <n v="8454.3580716177039"/>
    <n v="1296.7117529583804"/>
    <n v="9751.069824576085"/>
    <n v="2.3155080374346841"/>
    <n v="2.3155080374346841"/>
  </r>
  <r>
    <x v="5"/>
    <x v="3"/>
    <x v="1"/>
    <x v="0"/>
    <n v="2978.8849180277766"/>
    <n v="106.96723678047138"/>
    <n v="3085.8521548082481"/>
    <n v="0.73175775949452937"/>
    <n v="0.73175775949452937"/>
  </r>
  <r>
    <x v="5"/>
    <x v="4"/>
    <x v="1"/>
    <x v="0"/>
    <n v="646.26901595058257"/>
    <n v="286.6013774218589"/>
    <n v="932.87039337244153"/>
    <n v="0.22138909597176809"/>
    <n v="0.22138909597176809"/>
  </r>
  <r>
    <x v="5"/>
    <x v="5"/>
    <x v="1"/>
    <x v="0"/>
    <n v="8498.741578227542"/>
    <n v="383.79451228865196"/>
    <n v="8882.5360905161942"/>
    <n v="2.2097416110467685"/>
    <n v="2.2097416110467685"/>
  </r>
  <r>
    <x v="5"/>
    <x v="6"/>
    <x v="1"/>
    <x v="0"/>
    <n v="2367.0855606388673"/>
    <n v="153.70481174055516"/>
    <n v="2520.7903723794225"/>
    <n v="0.62157778930196184"/>
    <n v="0.62157778930196184"/>
  </r>
  <r>
    <x v="5"/>
    <x v="0"/>
    <x v="1"/>
    <x v="1"/>
    <n v="1211.9622608498787"/>
    <n v="233.12679003626843"/>
    <n v="1445.0890508861471"/>
    <n v="1.0209970882276389"/>
    <n v="1.0209970882276389"/>
  </r>
  <r>
    <x v="5"/>
    <x v="1"/>
    <x v="1"/>
    <x v="1"/>
    <n v="1025.3282916386854"/>
    <n v="7.353880053215927"/>
    <n v="1032.6821716919014"/>
    <n v="0.71495303348563233"/>
    <n v="0.71495303348563233"/>
  </r>
  <r>
    <x v="5"/>
    <x v="2"/>
    <x v="1"/>
    <x v="1"/>
    <n v="2747.9625100713201"/>
    <n v="687.25958831167145"/>
    <n v="3435.2220983829916"/>
    <n v="2.3155080374346841"/>
    <n v="2.3155080374346841"/>
  </r>
  <r>
    <x v="5"/>
    <x v="3"/>
    <x v="1"/>
    <x v="1"/>
    <n v="1031.7142727251094"/>
    <n v="56.692830110365634"/>
    <n v="1088.4071028354749"/>
    <n v="0.73175775949452937"/>
    <n v="0.73175775949452937"/>
  </r>
  <r>
    <x v="5"/>
    <x v="4"/>
    <x v="1"/>
    <x v="1"/>
    <n v="176.87871261290996"/>
    <n v="151.89925147753848"/>
    <n v="328.77796409044845"/>
    <n v="0.22138909597176809"/>
    <n v="0.22138909597176809"/>
  </r>
  <r>
    <x v="5"/>
    <x v="5"/>
    <x v="1"/>
    <x v="1"/>
    <n v="2817.7762203212919"/>
    <n v="203.41178979060561"/>
    <n v="3021.1880101118977"/>
    <n v="2.2097416110467685"/>
    <n v="2.2097416110467685"/>
  </r>
  <r>
    <x v="5"/>
    <x v="6"/>
    <x v="1"/>
    <x v="1"/>
    <n v="782.78962557137061"/>
    <n v="81.463829873783368"/>
    <n v="864.25345544515392"/>
    <n v="0.62157778930196184"/>
    <n v="0.62157778930196184"/>
  </r>
  <r>
    <x v="5"/>
    <x v="0"/>
    <x v="2"/>
    <x v="0"/>
    <n v="4807.5152468318647"/>
    <n v="503.87313229635424"/>
    <n v="5311.3883791282187"/>
    <n v="1.1748923669163729"/>
    <n v="1.1748923669163729"/>
  </r>
  <r>
    <x v="5"/>
    <x v="1"/>
    <x v="2"/>
    <x v="0"/>
    <n v="3747.7599345573017"/>
    <n v="15.894452012010811"/>
    <n v="3763.6543865693125"/>
    <n v="0.82271656484627387"/>
    <n v="0.82271656484627387"/>
  </r>
  <r>
    <x v="5"/>
    <x v="2"/>
    <x v="2"/>
    <x v="0"/>
    <n v="10875.314780797984"/>
    <n v="1485.4219088652615"/>
    <n v="12360.736689663245"/>
    <n v="2.6645093024880482"/>
    <n v="2.6645093024880482"/>
  </r>
  <r>
    <x v="5"/>
    <x v="3"/>
    <x v="2"/>
    <x v="0"/>
    <n v="3788.6138223660473"/>
    <n v="122.53415354799368"/>
    <n v="3911.1479759140411"/>
    <n v="0.84205048488889001"/>
    <n v="0.84205048488889001"/>
  </r>
  <r>
    <x v="5"/>
    <x v="4"/>
    <x v="2"/>
    <x v="0"/>
    <n v="854.15726265461763"/>
    <n v="328.310408355692"/>
    <n v="1182.4676710103097"/>
    <n v="0.25475754748240736"/>
    <n v="0.25475754748240736"/>
  </r>
  <r>
    <x v="5"/>
    <x v="5"/>
    <x v="2"/>
    <x v="0"/>
    <n v="10872.121874275821"/>
    <n v="439.64803724125676"/>
    <n v="11311.769911517078"/>
    <n v="2.5428317615796452"/>
    <n v="2.5428317615796452"/>
  </r>
  <r>
    <x v="5"/>
    <x v="6"/>
    <x v="2"/>
    <x v="0"/>
    <n v="3031.0753179084991"/>
    <n v="176.07343678079491"/>
    <n v="3207.148754689294"/>
    <n v="0.715270777015936"/>
    <n v="0.715270777015936"/>
  </r>
  <r>
    <x v="5"/>
    <x v="0"/>
    <x v="2"/>
    <x v="1"/>
    <n v="1522.6944604334988"/>
    <n v="265.69648813514095"/>
    <n v="1788.3909485686397"/>
    <n v="1.1748923669163729"/>
    <n v="1.1748923669163729"/>
  </r>
  <r>
    <x v="5"/>
    <x v="1"/>
    <x v="2"/>
    <x v="1"/>
    <n v="1269.2226594183414"/>
    <n v="8.3812765748739473"/>
    <n v="1277.6039359932154"/>
    <n v="0.82271656484627387"/>
    <n v="0.82271656484627387"/>
  </r>
  <r>
    <x v="5"/>
    <x v="2"/>
    <x v="2"/>
    <x v="1"/>
    <n v="3463.9033343785541"/>
    <n v="783.27531135827655"/>
    <n v="4247.1786457368307"/>
    <n v="2.6645093024880482"/>
    <n v="2.6645093024880482"/>
  </r>
  <r>
    <x v="5"/>
    <x v="3"/>
    <x v="2"/>
    <x v="1"/>
    <n v="1280.953200740259"/>
    <n v="64.613277008716565"/>
    <n v="1345.5664777489756"/>
    <n v="0.84205048488889001"/>
    <n v="0.84205048488889001"/>
  </r>
  <r>
    <x v="5"/>
    <x v="4"/>
    <x v="2"/>
    <x v="1"/>
    <n v="233.35749580804347"/>
    <n v="173.12080547096187"/>
    <n v="406.47830127900534"/>
    <n v="0.25475754748240736"/>
    <n v="0.25475754748240736"/>
  </r>
  <r>
    <x v="5"/>
    <x v="5"/>
    <x v="2"/>
    <x v="1"/>
    <n v="3511.1736475705334"/>
    <n v="231.83006202006771"/>
    <n v="3743.0037095906009"/>
    <n v="2.5428317615796452"/>
    <n v="2.5428317615796452"/>
  </r>
  <r>
    <x v="5"/>
    <x v="6"/>
    <x v="2"/>
    <x v="1"/>
    <n v="977.34066085642621"/>
    <n v="92.844985787070996"/>
    <n v="1070.1856466434972"/>
    <n v="0.715270777015936"/>
    <n v="0.7152707770159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ScenResults" cacheId="0" dataOnRows="1" applyNumberFormats="0" applyBorderFormats="0" applyFontFormats="0" applyPatternFormats="0" applyAlignmentFormats="0" applyWidthHeightFormats="1" dataCaption="Data" updatedVersion="4" showItems="0" showMultipleLabel="0" showMemberPropertyTips="0" useAutoFormatting="1" colGrandTotals="0" itemPrintTitles="1" showDropZones="0" indent="0" compact="0" compactData="0" gridDropZones="1">
  <location ref="K11:R28" firstHeaderRow="1" firstDataRow="2" firstDataCol="2" rowPageCount="2" colPageCount="1"/>
  <pivotFields count="9">
    <pivotField axis="axisCol" compact="0" outline="0" subtotalTop="0" showAll="0" includeNewItemsInFilter="1">
      <items count="7">
        <item x="0"/>
        <item x="1"/>
        <item x="2"/>
        <item x="3"/>
        <item x="4"/>
        <item x="5"/>
        <item t="default"/>
      </items>
    </pivotField>
    <pivotField axis="axisRow" compact="0" outline="0" subtotalTop="0" showAll="0" includeNewItemsInFilter="1">
      <items count="8">
        <item x="0"/>
        <item x="1"/>
        <item x="2"/>
        <item x="3"/>
        <item x="4"/>
        <item x="6"/>
        <item x="5"/>
        <item t="default"/>
      </items>
    </pivotField>
    <pivotField axis="axisPage" compact="0" outline="0" subtotalTop="0" showAll="0" includeNewItemsInFilter="1">
      <items count="4">
        <item x="2"/>
        <item x="1"/>
        <item x="0"/>
        <item t="default"/>
      </items>
    </pivotField>
    <pivotField axis="axisPage" compact="0" numFmtId="9" outline="0" subtotalTop="0" showAll="0" includeNewItemsInFilter="1">
      <items count="3">
        <item x="0"/>
        <item x="1"/>
        <item t="default"/>
      </items>
    </pivotField>
    <pivotField dataField="1" compact="0" numFmtId="164" outline="0" subtotalTop="0" showAll="0" includeNewItemsInFilter="1"/>
    <pivotField compact="0" numFmtId="164" outline="0" subtotalTop="0" showAll="0" includeNewItemsInFilter="1"/>
    <pivotField compact="0" numFmtId="164" outline="0" subtotalTop="0" showAll="0" includeNewItemsInFilter="1"/>
    <pivotField dataField="1" compact="0" numFmtId="164" outline="0" subtotalTop="0" showAll="0" includeNewItemsInFilter="1"/>
    <pivotField compact="0" numFmtId="164" outline="0" subtotalTop="0" showAll="0" includeNewItemsInFilter="1"/>
  </pivotFields>
  <rowFields count="2">
    <field x="-2"/>
    <field x="1"/>
  </rowFields>
  <rowItems count="16">
    <i>
      <x/>
      <x/>
    </i>
    <i r="1">
      <x v="1"/>
    </i>
    <i r="1">
      <x v="2"/>
    </i>
    <i r="1">
      <x v="3"/>
    </i>
    <i r="1">
      <x v="4"/>
    </i>
    <i r="1">
      <x v="5"/>
    </i>
    <i r="1">
      <x v="6"/>
    </i>
    <i i="1">
      <x v="1"/>
      <x/>
    </i>
    <i r="1" i="1">
      <x v="1"/>
    </i>
    <i r="1" i="1">
      <x v="2"/>
    </i>
    <i r="1" i="1">
      <x v="3"/>
    </i>
    <i r="1" i="1">
      <x v="4"/>
    </i>
    <i r="1" i="1">
      <x v="5"/>
    </i>
    <i r="1" i="1">
      <x v="6"/>
    </i>
    <i t="grand">
      <x/>
    </i>
    <i t="grand" i="1">
      <x/>
    </i>
  </rowItems>
  <colFields count="1">
    <field x="0"/>
  </colFields>
  <colItems count="6">
    <i>
      <x/>
    </i>
    <i>
      <x v="1"/>
    </i>
    <i>
      <x v="2"/>
    </i>
    <i>
      <x v="3"/>
    </i>
    <i>
      <x v="4"/>
    </i>
    <i>
      <x v="5"/>
    </i>
  </colItems>
  <pageFields count="2">
    <pageField fld="2" item="2" hier="-1"/>
    <pageField fld="3" item="1" hier="-1"/>
  </pageFields>
  <dataFields count="2">
    <dataField name="Sum of FFC Energy Savings" fld="7" baseField="0" baseItem="0" numFmtId="166"/>
    <dataField name="Sum of NPV" fld="4" baseField="0" baseItem="0" numFmtId="166"/>
  </dataField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6.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M41"/>
  <sheetViews>
    <sheetView tabSelected="1" zoomScale="85" zoomScaleNormal="85" workbookViewId="0">
      <selection activeCell="B2" sqref="B2"/>
    </sheetView>
  </sheetViews>
  <sheetFormatPr defaultColWidth="9.109375" defaultRowHeight="14.4"/>
  <cols>
    <col min="1" max="1" width="3.5546875" style="131" customWidth="1"/>
    <col min="2" max="2" width="16.88671875" style="131" customWidth="1"/>
    <col min="3" max="3" width="20" style="131" customWidth="1"/>
    <col min="4" max="16384" width="9.109375" style="131"/>
  </cols>
  <sheetData>
    <row r="1" spans="2:13" s="130" customFormat="1">
      <c r="B1" s="129" t="s">
        <v>86</v>
      </c>
    </row>
    <row r="3" spans="2:13" ht="11.25" customHeight="1">
      <c r="B3" s="242" t="s">
        <v>127</v>
      </c>
      <c r="C3" s="242"/>
      <c r="D3" s="242"/>
      <c r="E3" s="242"/>
      <c r="F3" s="242"/>
      <c r="G3" s="242"/>
      <c r="H3" s="242"/>
      <c r="I3" s="242"/>
      <c r="J3" s="242"/>
      <c r="K3" s="242"/>
      <c r="L3" s="242"/>
      <c r="M3" s="242"/>
    </row>
    <row r="4" spans="2:13">
      <c r="B4" s="242"/>
      <c r="C4" s="242"/>
      <c r="D4" s="242"/>
      <c r="E4" s="242"/>
      <c r="F4" s="242"/>
      <c r="G4" s="242"/>
      <c r="H4" s="242"/>
      <c r="I4" s="242"/>
      <c r="J4" s="242"/>
      <c r="K4" s="242"/>
      <c r="L4" s="242"/>
      <c r="M4" s="242"/>
    </row>
    <row r="5" spans="2:13">
      <c r="B5" s="242"/>
      <c r="C5" s="242"/>
      <c r="D5" s="242"/>
      <c r="E5" s="242"/>
      <c r="F5" s="242"/>
      <c r="G5" s="242"/>
      <c r="H5" s="242"/>
      <c r="I5" s="242"/>
      <c r="J5" s="242"/>
      <c r="K5" s="242"/>
      <c r="L5" s="242"/>
      <c r="M5" s="242"/>
    </row>
    <row r="6" spans="2:13" ht="26.25" customHeight="1">
      <c r="B6" s="243"/>
      <c r="C6" s="243"/>
      <c r="D6" s="243"/>
      <c r="E6" s="243"/>
      <c r="F6" s="243"/>
      <c r="G6" s="243"/>
      <c r="H6" s="243"/>
      <c r="I6" s="243"/>
      <c r="J6" s="243"/>
      <c r="K6" s="243"/>
      <c r="L6" s="243"/>
      <c r="M6" s="243"/>
    </row>
    <row r="7" spans="2:13" ht="11.25" customHeight="1">
      <c r="B7" s="250" t="s">
        <v>87</v>
      </c>
      <c r="C7" s="250"/>
      <c r="D7" s="244" t="s">
        <v>128</v>
      </c>
      <c r="E7" s="244"/>
      <c r="F7" s="244"/>
      <c r="G7" s="244"/>
      <c r="H7" s="244"/>
      <c r="I7" s="244"/>
      <c r="J7" s="244"/>
      <c r="K7" s="244"/>
      <c r="L7" s="244"/>
      <c r="M7" s="244"/>
    </row>
    <row r="8" spans="2:13" ht="28.5" customHeight="1">
      <c r="B8" s="251"/>
      <c r="C8" s="251"/>
      <c r="D8" s="243"/>
      <c r="E8" s="243"/>
      <c r="F8" s="243"/>
      <c r="G8" s="243"/>
      <c r="H8" s="243"/>
      <c r="I8" s="243"/>
      <c r="J8" s="243"/>
      <c r="K8" s="243"/>
      <c r="L8" s="243"/>
      <c r="M8" s="243"/>
    </row>
    <row r="9" spans="2:13">
      <c r="B9" s="132" t="s">
        <v>97</v>
      </c>
      <c r="C9" s="133"/>
      <c r="D9" s="245" t="s">
        <v>98</v>
      </c>
      <c r="E9" s="246"/>
      <c r="F9" s="246"/>
      <c r="G9" s="246"/>
      <c r="H9" s="246"/>
      <c r="I9" s="246"/>
      <c r="J9" s="246"/>
      <c r="K9" s="246"/>
      <c r="L9" s="246"/>
      <c r="M9" s="246"/>
    </row>
    <row r="10" spans="2:13" ht="12" customHeight="1">
      <c r="B10" s="132" t="s">
        <v>9</v>
      </c>
      <c r="C10" s="133"/>
      <c r="D10" s="247" t="s">
        <v>129</v>
      </c>
      <c r="E10" s="247"/>
      <c r="F10" s="247"/>
      <c r="G10" s="247"/>
      <c r="H10" s="247"/>
      <c r="I10" s="247"/>
      <c r="J10" s="247"/>
      <c r="K10" s="247"/>
      <c r="L10" s="247"/>
      <c r="M10" s="247"/>
    </row>
    <row r="11" spans="2:13" ht="12" customHeight="1">
      <c r="B11" s="132" t="s">
        <v>10</v>
      </c>
      <c r="C11" s="133"/>
      <c r="D11" s="248"/>
      <c r="E11" s="248"/>
      <c r="F11" s="248"/>
      <c r="G11" s="248"/>
      <c r="H11" s="248"/>
      <c r="I11" s="248"/>
      <c r="J11" s="248"/>
      <c r="K11" s="248"/>
      <c r="L11" s="248"/>
      <c r="M11" s="248"/>
    </row>
    <row r="12" spans="2:13" ht="12" customHeight="1">
      <c r="B12" s="132" t="s">
        <v>11</v>
      </c>
      <c r="C12" s="133"/>
      <c r="D12" s="248"/>
      <c r="E12" s="248"/>
      <c r="F12" s="248"/>
      <c r="G12" s="248"/>
      <c r="H12" s="248"/>
      <c r="I12" s="248"/>
      <c r="J12" s="248"/>
      <c r="K12" s="248"/>
      <c r="L12" s="248"/>
      <c r="M12" s="248"/>
    </row>
    <row r="13" spans="2:13" ht="12" customHeight="1">
      <c r="B13" s="132" t="s">
        <v>12</v>
      </c>
      <c r="C13" s="133"/>
      <c r="D13" s="248"/>
      <c r="E13" s="248"/>
      <c r="F13" s="248"/>
      <c r="G13" s="248"/>
      <c r="H13" s="248"/>
      <c r="I13" s="248"/>
      <c r="J13" s="248"/>
      <c r="K13" s="248"/>
      <c r="L13" s="248"/>
      <c r="M13" s="248"/>
    </row>
    <row r="14" spans="2:13" ht="12" customHeight="1">
      <c r="B14" s="132" t="s">
        <v>13</v>
      </c>
      <c r="C14" s="133"/>
      <c r="D14" s="248"/>
      <c r="E14" s="248"/>
      <c r="F14" s="248"/>
      <c r="G14" s="248"/>
      <c r="H14" s="248"/>
      <c r="I14" s="248"/>
      <c r="J14" s="248"/>
      <c r="K14" s="248"/>
      <c r="L14" s="248"/>
      <c r="M14" s="248"/>
    </row>
    <row r="15" spans="2:13" ht="12" customHeight="1">
      <c r="B15" s="132" t="s">
        <v>14</v>
      </c>
      <c r="C15" s="133"/>
      <c r="D15" s="248"/>
      <c r="E15" s="248"/>
      <c r="F15" s="248"/>
      <c r="G15" s="248"/>
      <c r="H15" s="248"/>
      <c r="I15" s="248"/>
      <c r="J15" s="248"/>
      <c r="K15" s="248"/>
      <c r="L15" s="248"/>
      <c r="M15" s="248"/>
    </row>
    <row r="16" spans="2:13" ht="12" customHeight="1">
      <c r="B16" s="132" t="s">
        <v>15</v>
      </c>
      <c r="C16" s="133"/>
      <c r="D16" s="249"/>
      <c r="E16" s="249"/>
      <c r="F16" s="249"/>
      <c r="G16" s="249"/>
      <c r="H16" s="249"/>
      <c r="I16" s="249"/>
      <c r="J16" s="249"/>
      <c r="K16" s="249"/>
      <c r="L16" s="249"/>
      <c r="M16" s="249"/>
    </row>
    <row r="17" spans="2:13">
      <c r="B17" s="134" t="s">
        <v>92</v>
      </c>
      <c r="C17" s="135"/>
      <c r="D17" s="198" t="s">
        <v>130</v>
      </c>
      <c r="E17" s="198"/>
      <c r="F17" s="198"/>
      <c r="G17" s="198"/>
      <c r="H17" s="198"/>
      <c r="I17" s="198"/>
      <c r="J17" s="198"/>
      <c r="K17" s="198"/>
      <c r="L17" s="198"/>
      <c r="M17" s="198"/>
    </row>
    <row r="18" spans="2:13">
      <c r="B18" s="134" t="s">
        <v>90</v>
      </c>
      <c r="C18" s="135"/>
      <c r="D18" s="198" t="s">
        <v>131</v>
      </c>
      <c r="E18" s="137"/>
      <c r="F18" s="136"/>
      <c r="G18" s="136"/>
      <c r="H18" s="136"/>
      <c r="I18" s="136"/>
      <c r="J18" s="136"/>
      <c r="K18" s="136"/>
      <c r="L18" s="136"/>
      <c r="M18" s="136"/>
    </row>
    <row r="19" spans="2:13">
      <c r="B19" s="132" t="s">
        <v>88</v>
      </c>
      <c r="C19" s="133"/>
      <c r="D19" s="138" t="s">
        <v>95</v>
      </c>
      <c r="E19" s="138"/>
      <c r="F19" s="138"/>
      <c r="G19" s="138"/>
      <c r="H19" s="138"/>
      <c r="I19" s="138"/>
      <c r="J19" s="138"/>
      <c r="K19" s="138"/>
      <c r="L19" s="138"/>
      <c r="M19" s="138"/>
    </row>
    <row r="20" spans="2:13">
      <c r="B20" s="134" t="s">
        <v>89</v>
      </c>
      <c r="C20" s="135"/>
      <c r="D20" s="136" t="s">
        <v>93</v>
      </c>
      <c r="E20" s="136"/>
      <c r="F20" s="136"/>
      <c r="G20" s="136"/>
      <c r="H20" s="138"/>
      <c r="I20" s="138"/>
      <c r="J20" s="138"/>
      <c r="K20" s="138"/>
      <c r="L20" s="138"/>
      <c r="M20" s="138"/>
    </row>
    <row r="21" spans="2:13" ht="52.5" customHeight="1">
      <c r="B21" s="134" t="s">
        <v>94</v>
      </c>
      <c r="C21" s="135"/>
      <c r="D21" s="241" t="s">
        <v>132</v>
      </c>
      <c r="E21" s="241"/>
      <c r="F21" s="241"/>
      <c r="G21" s="241"/>
      <c r="H21" s="241"/>
      <c r="I21" s="241"/>
      <c r="J21" s="241"/>
      <c r="K21" s="241"/>
      <c r="L21" s="241"/>
      <c r="M21" s="241"/>
    </row>
    <row r="22" spans="2:13">
      <c r="B22" s="131" t="s">
        <v>96</v>
      </c>
    </row>
    <row r="41" spans="3:3">
      <c r="C41" s="118"/>
    </row>
  </sheetData>
  <mergeCells count="6">
    <mergeCell ref="D21:M21"/>
    <mergeCell ref="B3:M6"/>
    <mergeCell ref="D7:M8"/>
    <mergeCell ref="D9:M9"/>
    <mergeCell ref="D10:M16"/>
    <mergeCell ref="B7: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2:AL190"/>
  <sheetViews>
    <sheetView zoomScale="85" zoomScaleNormal="85" workbookViewId="0"/>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8.6640625" style="148" bestFit="1" customWidth="1"/>
    <col min="6" max="37" width="8.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INDEX(_doName,7,stdCSL+1)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209.49207371906664</v>
      </c>
      <c r="F5" s="28">
        <f ca="1"/>
        <v>217.49384245789292</v>
      </c>
      <c r="G5" s="28">
        <f ca="1"/>
        <v>219.67023549980411</v>
      </c>
      <c r="H5" s="28">
        <f ca="1"/>
        <v>222.96423563271242</v>
      </c>
      <c r="I5" s="28">
        <f ca="1"/>
        <v>225.75746383199134</v>
      </c>
      <c r="J5" s="28">
        <f ca="1"/>
        <v>228.42069941085481</v>
      </c>
      <c r="K5" s="28">
        <f ca="1"/>
        <v>230.90547781118562</v>
      </c>
      <c r="L5" s="28">
        <f ca="1"/>
        <v>235.13160431184031</v>
      </c>
      <c r="M5" s="28">
        <f ca="1"/>
        <v>238.80301706159139</v>
      </c>
      <c r="N5" s="28">
        <f ca="1"/>
        <v>242.11810964379515</v>
      </c>
      <c r="O5" s="28">
        <f ca="1"/>
        <v>246.20249788125989</v>
      </c>
      <c r="P5" s="28">
        <f ca="1"/>
        <v>251.445780530511</v>
      </c>
      <c r="Q5" s="28">
        <f ca="1"/>
        <v>257.14210422021654</v>
      </c>
      <c r="R5" s="28">
        <f ca="1"/>
        <v>265.07992888357967</v>
      </c>
      <c r="S5" s="28">
        <f ca="1"/>
        <v>275.81972154474533</v>
      </c>
      <c r="T5" s="28">
        <f ca="1"/>
        <v>286.17365507379793</v>
      </c>
      <c r="U5" s="28">
        <f ca="1"/>
        <v>296.53772512941316</v>
      </c>
      <c r="V5" s="28">
        <f ca="1"/>
        <v>307.94203347742655</v>
      </c>
      <c r="W5" s="28">
        <f ca="1"/>
        <v>320.95772145178819</v>
      </c>
      <c r="X5" s="28">
        <f ca="1"/>
        <v>328.82799177380605</v>
      </c>
      <c r="Y5" s="28">
        <f ca="1"/>
        <v>335.48575611202227</v>
      </c>
      <c r="Z5" s="28">
        <f ca="1"/>
        <v>340.61224079485544</v>
      </c>
      <c r="AA5" s="28">
        <f ca="1"/>
        <v>344.29449224251243</v>
      </c>
      <c r="AB5" s="28">
        <f ca="1"/>
        <v>352.3323542293582</v>
      </c>
      <c r="AC5" s="28">
        <f ca="1"/>
        <v>360.39222640206515</v>
      </c>
      <c r="AD5" s="28">
        <f ca="1"/>
        <v>369.54226807415307</v>
      </c>
      <c r="AE5" s="28">
        <f ca="1"/>
        <v>379.32292807082524</v>
      </c>
      <c r="AF5" s="28">
        <f ca="1"/>
        <v>388.78943754462182</v>
      </c>
      <c r="AG5" s="28">
        <f ca="1"/>
        <v>398.83094778481791</v>
      </c>
      <c r="AH5" s="28">
        <f ca="1"/>
        <v>408.54250119966434</v>
      </c>
      <c r="AI5" s="28">
        <f ca="1"/>
        <v>418.83792766627653</v>
      </c>
      <c r="AJ5" s="28">
        <f ca="1"/>
        <v>428.78760160370166</v>
      </c>
      <c r="AK5" s="29">
        <f ca="1"/>
        <v>439.32696482935148</v>
      </c>
      <c r="AL5" s="3"/>
    </row>
    <row r="6" spans="2:38">
      <c r="B6" s="3"/>
      <c r="C6" s="23" t="s">
        <v>58</v>
      </c>
      <c r="D6" s="16" t="str">
        <f>"th " &amp; _yearDol &amp; "$"</f>
        <v>th 2013$</v>
      </c>
      <c r="E6" s="141">
        <f t="array" aca="1" ref="E6:AK6" ca="1">tiecU*tShpPRV</f>
        <v>601.59691656139728</v>
      </c>
      <c r="F6" s="28">
        <f ca="1"/>
        <v>614.12372327860089</v>
      </c>
      <c r="G6" s="28">
        <f ca="1"/>
        <v>611.19919923232374</v>
      </c>
      <c r="H6" s="28">
        <f ca="1"/>
        <v>610.64405474604428</v>
      </c>
      <c r="I6" s="28">
        <f ca="1"/>
        <v>609.88058799893406</v>
      </c>
      <c r="J6" s="28">
        <f ca="1"/>
        <v>608.0583405305689</v>
      </c>
      <c r="K6" s="28">
        <f ca="1"/>
        <v>606.9320267687151</v>
      </c>
      <c r="L6" s="28">
        <f ca="1"/>
        <v>609.66310871564917</v>
      </c>
      <c r="M6" s="28">
        <f ca="1"/>
        <v>610.17590197307857</v>
      </c>
      <c r="N6" s="28">
        <f ca="1"/>
        <v>610.82948445073976</v>
      </c>
      <c r="O6" s="28">
        <f ca="1"/>
        <v>612.6940831479551</v>
      </c>
      <c r="P6" s="28">
        <f ca="1"/>
        <v>616.61786726953528</v>
      </c>
      <c r="Q6" s="28">
        <f ca="1"/>
        <v>622.52414675242721</v>
      </c>
      <c r="R6" s="28">
        <f ca="1"/>
        <v>632.9265242602803</v>
      </c>
      <c r="S6" s="28">
        <f ca="1"/>
        <v>650.68428005438602</v>
      </c>
      <c r="T6" s="28">
        <f ca="1"/>
        <v>666.41146611929605</v>
      </c>
      <c r="U6" s="28">
        <f ca="1"/>
        <v>680.98601198279687</v>
      </c>
      <c r="V6" s="28">
        <f ca="1"/>
        <v>698.56062732782061</v>
      </c>
      <c r="W6" s="28">
        <f ca="1"/>
        <v>718.54811808949887</v>
      </c>
      <c r="X6" s="28">
        <f ca="1"/>
        <v>727.72230996069641</v>
      </c>
      <c r="Y6" s="28">
        <f ca="1"/>
        <v>733.28634572936653</v>
      </c>
      <c r="Z6" s="28">
        <f ca="1"/>
        <v>734.60495696275632</v>
      </c>
      <c r="AA6" s="28">
        <f ca="1"/>
        <v>733.82889930977171</v>
      </c>
      <c r="AB6" s="28">
        <f ca="1"/>
        <v>741.4715791755217</v>
      </c>
      <c r="AC6" s="28">
        <f ca="1"/>
        <v>749.99447782467166</v>
      </c>
      <c r="AD6" s="28">
        <f ca="1"/>
        <v>759.81996291791665</v>
      </c>
      <c r="AE6" s="28">
        <f ca="1"/>
        <v>769.8858198505817</v>
      </c>
      <c r="AF6" s="28">
        <f ca="1"/>
        <v>780.05469328585548</v>
      </c>
      <c r="AG6" s="28">
        <f ca="1"/>
        <v>790.32887247935128</v>
      </c>
      <c r="AH6" s="28">
        <f ca="1"/>
        <v>800.71064668668271</v>
      </c>
      <c r="AI6" s="28">
        <f ca="1"/>
        <v>811.20573904688354</v>
      </c>
      <c r="AJ6" s="28">
        <f ca="1"/>
        <v>821.81529418776063</v>
      </c>
      <c r="AK6" s="29">
        <f ca="1"/>
        <v>832.54274599273413</v>
      </c>
      <c r="AL6" s="3"/>
    </row>
    <row r="7" spans="2:38">
      <c r="B7" s="3"/>
      <c r="C7" s="23" t="s">
        <v>59</v>
      </c>
      <c r="D7" s="16" t="str">
        <f>"th " &amp; _yearDol &amp; "$"</f>
        <v>th 2013$</v>
      </c>
      <c r="E7" s="141">
        <f t="array" aca="1" ref="E7:AK7" ca="1">tecsU*tShpPRV</f>
        <v>811.08899028046392</v>
      </c>
      <c r="F7" s="28">
        <f ca="1"/>
        <v>831.61756573649382</v>
      </c>
      <c r="G7" s="28">
        <f ca="1"/>
        <v>830.86943473212784</v>
      </c>
      <c r="H7" s="28">
        <f ca="1"/>
        <v>833.60829037875669</v>
      </c>
      <c r="I7" s="28">
        <f ca="1"/>
        <v>835.63805183092541</v>
      </c>
      <c r="J7" s="28">
        <f ca="1"/>
        <v>836.47903994142371</v>
      </c>
      <c r="K7" s="28">
        <f ca="1"/>
        <v>837.83750457990072</v>
      </c>
      <c r="L7" s="28">
        <f ca="1"/>
        <v>844.79471302748948</v>
      </c>
      <c r="M7" s="28">
        <f ca="1"/>
        <v>848.97891903466996</v>
      </c>
      <c r="N7" s="28">
        <f ca="1"/>
        <v>852.94759409453491</v>
      </c>
      <c r="O7" s="28">
        <f ca="1"/>
        <v>858.89658102921499</v>
      </c>
      <c r="P7" s="28">
        <f ca="1"/>
        <v>868.06364780004628</v>
      </c>
      <c r="Q7" s="28">
        <f ca="1"/>
        <v>879.66625097264375</v>
      </c>
      <c r="R7" s="28">
        <f ca="1"/>
        <v>898.00645314385997</v>
      </c>
      <c r="S7" s="28">
        <f ca="1"/>
        <v>926.50400159913136</v>
      </c>
      <c r="T7" s="28">
        <f ca="1"/>
        <v>952.58512119309398</v>
      </c>
      <c r="U7" s="28">
        <f ca="1"/>
        <v>977.52373711221003</v>
      </c>
      <c r="V7" s="28">
        <f ca="1"/>
        <v>1006.5026608052472</v>
      </c>
      <c r="W7" s="28">
        <f ca="1"/>
        <v>1039.5058395412871</v>
      </c>
      <c r="X7" s="28">
        <f ca="1"/>
        <v>1056.5503017345025</v>
      </c>
      <c r="Y7" s="28">
        <f ca="1"/>
        <v>1068.7721018413888</v>
      </c>
      <c r="Z7" s="28">
        <f ca="1"/>
        <v>1075.2171977576118</v>
      </c>
      <c r="AA7" s="28">
        <f ca="1"/>
        <v>1078.1233915522841</v>
      </c>
      <c r="AB7" s="28">
        <f ca="1"/>
        <v>1093.8039334048799</v>
      </c>
      <c r="AC7" s="28">
        <f ca="1"/>
        <v>1110.3867042267368</v>
      </c>
      <c r="AD7" s="28">
        <f ca="1"/>
        <v>1129.3622309920697</v>
      </c>
      <c r="AE7" s="28">
        <f ca="1"/>
        <v>1149.2087479214069</v>
      </c>
      <c r="AF7" s="28">
        <f ca="1"/>
        <v>1168.8441308304773</v>
      </c>
      <c r="AG7" s="28">
        <f ca="1"/>
        <v>1189.1598202641692</v>
      </c>
      <c r="AH7" s="28">
        <f ca="1"/>
        <v>1209.2531478863471</v>
      </c>
      <c r="AI7" s="28">
        <f ca="1"/>
        <v>1230.0436667131601</v>
      </c>
      <c r="AJ7" s="28">
        <f ca="1"/>
        <v>1250.6028957914623</v>
      </c>
      <c r="AK7" s="29">
        <f ca="1"/>
        <v>1271.8697108220856</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tsavUElec*tShpPRV</f>
        <v>183.42987896938095</v>
      </c>
      <c r="F9" s="24">
        <f ca="1"/>
        <v>185.95960132767328</v>
      </c>
      <c r="G9" s="24">
        <f ca="1"/>
        <v>183.78096311801079</v>
      </c>
      <c r="H9" s="24">
        <f ca="1"/>
        <v>182.4795896373964</v>
      </c>
      <c r="I9" s="24">
        <f ca="1"/>
        <v>181.1770922406684</v>
      </c>
      <c r="J9" s="24">
        <f ca="1"/>
        <v>179.70306480712341</v>
      </c>
      <c r="K9" s="24">
        <f ca="1"/>
        <v>178.64841742251465</v>
      </c>
      <c r="L9" s="24">
        <f ca="1"/>
        <v>178.85131238568465</v>
      </c>
      <c r="M9" s="24">
        <f ca="1"/>
        <v>178.39751925088578</v>
      </c>
      <c r="N9" s="24">
        <f ca="1"/>
        <v>178.10475023663881</v>
      </c>
      <c r="O9" s="24">
        <f ca="1"/>
        <v>178.31414529214925</v>
      </c>
      <c r="P9" s="24">
        <f ca="1"/>
        <v>179.20987150936574</v>
      </c>
      <c r="Q9" s="24">
        <f ca="1"/>
        <v>180.71719474209812</v>
      </c>
      <c r="R9" s="24">
        <f ca="1"/>
        <v>183.58001412754962</v>
      </c>
      <c r="S9" s="24">
        <f ca="1"/>
        <v>188.60761400368034</v>
      </c>
      <c r="T9" s="24">
        <f ca="1"/>
        <v>193.15048052359475</v>
      </c>
      <c r="U9" s="24">
        <f ca="1"/>
        <v>197.4077217243107</v>
      </c>
      <c r="V9" s="24">
        <f ca="1"/>
        <v>202.55213061515124</v>
      </c>
      <c r="W9" s="24">
        <f ca="1"/>
        <v>208.42087439985531</v>
      </c>
      <c r="X9" s="24">
        <f ca="1"/>
        <v>211.1520225734769</v>
      </c>
      <c r="Y9" s="24">
        <f ca="1"/>
        <v>212.82497693624902</v>
      </c>
      <c r="Z9" s="24">
        <f ca="1"/>
        <v>213.24697287244985</v>
      </c>
      <c r="AA9" s="24">
        <f ca="1"/>
        <v>213.04755972023344</v>
      </c>
      <c r="AB9" s="24">
        <f ca="1"/>
        <v>215.26640705188322</v>
      </c>
      <c r="AC9" s="24">
        <f ca="1"/>
        <v>217.74080232393121</v>
      </c>
      <c r="AD9" s="24">
        <f ca="1"/>
        <v>220.59336867032653</v>
      </c>
      <c r="AE9" s="24">
        <f ca="1"/>
        <v>223.51572054010757</v>
      </c>
      <c r="AF9" s="24">
        <f ca="1"/>
        <v>226.46798049133969</v>
      </c>
      <c r="AG9" s="24">
        <f ca="1"/>
        <v>229.45081314805506</v>
      </c>
      <c r="AH9" s="24">
        <f ca="1"/>
        <v>232.46488313428594</v>
      </c>
      <c r="AI9" s="24">
        <f ca="1"/>
        <v>235.51185201011293</v>
      </c>
      <c r="AJ9" s="24">
        <f ca="1"/>
        <v>238.59205208755219</v>
      </c>
      <c r="AK9" s="26">
        <f ca="1"/>
        <v>241.70648030265201</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INDEX(_doName,7,stdCSL+1)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2.4156963441182597</v>
      </c>
      <c r="F13" s="28">
        <f ca="1"/>
        <v>2.4568092560948571</v>
      </c>
      <c r="G13" s="28">
        <f ca="1"/>
        <v>2.4932669889149111</v>
      </c>
      <c r="H13" s="28">
        <f ca="1"/>
        <v>2.5329546882567229</v>
      </c>
      <c r="I13" s="28">
        <f ca="1"/>
        <v>2.5678973265403329</v>
      </c>
      <c r="J13" s="28">
        <f ca="1"/>
        <v>2.6059768596860522</v>
      </c>
      <c r="K13" s="28">
        <f ca="1"/>
        <v>2.6392135285823315</v>
      </c>
      <c r="L13" s="28">
        <f ca="1"/>
        <v>2.6754783360538568</v>
      </c>
      <c r="M13" s="28">
        <f ca="1"/>
        <v>2.7149704405255761</v>
      </c>
      <c r="N13" s="28">
        <f ca="1"/>
        <v>2.7497146676741977</v>
      </c>
      <c r="O13" s="28">
        <f ca="1"/>
        <v>2.7875914025898965</v>
      </c>
      <c r="P13" s="28">
        <f ca="1"/>
        <v>2.8288413743248384</v>
      </c>
      <c r="Q13" s="28">
        <f ca="1"/>
        <v>2.8654797234503349</v>
      </c>
      <c r="R13" s="28">
        <f ca="1"/>
        <v>2.9053863857334363</v>
      </c>
      <c r="S13" s="28">
        <f ca="1"/>
        <v>2.9405959104624344</v>
      </c>
      <c r="T13" s="28">
        <f ca="1"/>
        <v>2.9789796573149943</v>
      </c>
      <c r="U13" s="28">
        <f ca="1"/>
        <v>3.0208009434845735</v>
      </c>
      <c r="V13" s="28">
        <f ca="1"/>
        <v>3.0580544726872176</v>
      </c>
      <c r="W13" s="28">
        <f ca="1"/>
        <v>3.0986485404846462</v>
      </c>
      <c r="X13" s="28">
        <f ca="1"/>
        <v>3.1346094509372051</v>
      </c>
      <c r="Y13" s="28">
        <f ca="1"/>
        <v>3.1738093522180861</v>
      </c>
      <c r="Z13" s="28">
        <f ca="1"/>
        <v>3.216523619090367</v>
      </c>
      <c r="AA13" s="28">
        <f ca="1"/>
        <v>3.2547348357111332</v>
      </c>
      <c r="AB13" s="28">
        <f ca="1"/>
        <v>3.2963883044194517</v>
      </c>
      <c r="AC13" s="28">
        <f ca="1"/>
        <v>3.3334787960375252</v>
      </c>
      <c r="AD13" s="28">
        <f ca="1"/>
        <v>3.3739121343332954</v>
      </c>
      <c r="AE13" s="28">
        <f ca="1"/>
        <v>3.4179296660058753</v>
      </c>
      <c r="AF13" s="28">
        <f ca="1"/>
        <v>3.4575602083114063</v>
      </c>
      <c r="AG13" s="28">
        <f ca="1"/>
        <v>3.5007520396338805</v>
      </c>
      <c r="AH13" s="28">
        <f ca="1"/>
        <v>3.5395005829359434</v>
      </c>
      <c r="AI13" s="28">
        <f ca="1"/>
        <v>3.5817505440554669</v>
      </c>
      <c r="AJ13" s="28">
        <f ca="1"/>
        <v>3.6194980570271582</v>
      </c>
      <c r="AK13" s="29">
        <f ca="1"/>
        <v>3.6606791599515418</v>
      </c>
      <c r="AL13" s="3"/>
    </row>
    <row r="14" spans="2:38">
      <c r="B14" s="3"/>
      <c r="C14" s="23" t="s">
        <v>58</v>
      </c>
      <c r="D14" s="16" t="str">
        <f>_yearDol &amp; "$"</f>
        <v>2013$</v>
      </c>
      <c r="E14" s="141">
        <f t="array" aca="1" ref="E14:AK14" ca="1">tlccQmpol-tlccQmbc</f>
        <v>6.9371382228000584</v>
      </c>
      <c r="F14" s="28">
        <f ca="1"/>
        <v>6.9371382228000584</v>
      </c>
      <c r="G14" s="28">
        <f ca="1"/>
        <v>6.9371382228000584</v>
      </c>
      <c r="H14" s="28">
        <f ca="1"/>
        <v>6.9371382228000584</v>
      </c>
      <c r="I14" s="28">
        <f ca="1"/>
        <v>6.9371382228000584</v>
      </c>
      <c r="J14" s="28">
        <f ca="1"/>
        <v>6.9371382228000584</v>
      </c>
      <c r="K14" s="28">
        <f ca="1"/>
        <v>6.9371382228000584</v>
      </c>
      <c r="L14" s="28">
        <f ca="1"/>
        <v>6.9371382228000584</v>
      </c>
      <c r="M14" s="28">
        <f ca="1"/>
        <v>6.9371382228000584</v>
      </c>
      <c r="N14" s="28">
        <f ca="1"/>
        <v>6.9371382228000584</v>
      </c>
      <c r="O14" s="28">
        <f ca="1"/>
        <v>6.9371382228000584</v>
      </c>
      <c r="P14" s="28">
        <f ca="1"/>
        <v>6.9371382228000584</v>
      </c>
      <c r="Q14" s="28">
        <f ca="1"/>
        <v>6.9371382228000584</v>
      </c>
      <c r="R14" s="28">
        <f ca="1"/>
        <v>6.9371382228000584</v>
      </c>
      <c r="S14" s="28">
        <f ca="1"/>
        <v>6.9371382228000584</v>
      </c>
      <c r="T14" s="28">
        <f ca="1"/>
        <v>6.9371382228000584</v>
      </c>
      <c r="U14" s="28">
        <f ca="1"/>
        <v>6.9371382228000584</v>
      </c>
      <c r="V14" s="28">
        <f ca="1"/>
        <v>6.9371382228000584</v>
      </c>
      <c r="W14" s="28">
        <f ca="1"/>
        <v>6.9371382228000584</v>
      </c>
      <c r="X14" s="28">
        <f ca="1"/>
        <v>6.9371382228000584</v>
      </c>
      <c r="Y14" s="28">
        <f ca="1"/>
        <v>6.9371382228000584</v>
      </c>
      <c r="Z14" s="28">
        <f ca="1"/>
        <v>6.9371382228000584</v>
      </c>
      <c r="AA14" s="28">
        <f ca="1"/>
        <v>6.9371382228000584</v>
      </c>
      <c r="AB14" s="28">
        <f ca="1"/>
        <v>6.9371382228000584</v>
      </c>
      <c r="AC14" s="28">
        <f ca="1"/>
        <v>6.9371382228000584</v>
      </c>
      <c r="AD14" s="28">
        <f ca="1"/>
        <v>6.9371382228000584</v>
      </c>
      <c r="AE14" s="28">
        <f ca="1"/>
        <v>6.9371382228000584</v>
      </c>
      <c r="AF14" s="28">
        <f ca="1"/>
        <v>6.9371382228000584</v>
      </c>
      <c r="AG14" s="28">
        <f ca="1"/>
        <v>6.9371382228000584</v>
      </c>
      <c r="AH14" s="28">
        <f ca="1"/>
        <v>6.9371382228000584</v>
      </c>
      <c r="AI14" s="28">
        <f ca="1"/>
        <v>6.9371382228000584</v>
      </c>
      <c r="AJ14" s="28">
        <f ca="1"/>
        <v>6.9371382228000584</v>
      </c>
      <c r="AK14" s="29">
        <f ca="1"/>
        <v>6.9371382228000584</v>
      </c>
      <c r="AL14" s="3"/>
    </row>
    <row r="15" spans="2:38">
      <c r="B15" s="3"/>
      <c r="C15" s="23" t="s">
        <v>59</v>
      </c>
      <c r="D15" s="16" t="str">
        <f>_yearDol &amp; "$"</f>
        <v>2013$</v>
      </c>
      <c r="E15" s="141">
        <f t="array" aca="1" ref="E15:AK15" ca="1">tlccEmbc-tlccEmpol</f>
        <v>9.3528345669183182</v>
      </c>
      <c r="F15" s="28">
        <f ca="1"/>
        <v>9.3939474788949155</v>
      </c>
      <c r="G15" s="28">
        <f ca="1"/>
        <v>9.4304052117149695</v>
      </c>
      <c r="H15" s="28">
        <f ca="1"/>
        <v>9.4700929110567813</v>
      </c>
      <c r="I15" s="28">
        <f ca="1"/>
        <v>9.5050355493403913</v>
      </c>
      <c r="J15" s="28">
        <f ca="1"/>
        <v>9.5431150824861106</v>
      </c>
      <c r="K15" s="28">
        <f ca="1"/>
        <v>9.5763517513823899</v>
      </c>
      <c r="L15" s="28">
        <f ca="1"/>
        <v>9.6126165588539152</v>
      </c>
      <c r="M15" s="28">
        <f ca="1"/>
        <v>9.6521086633256346</v>
      </c>
      <c r="N15" s="28">
        <f ca="1"/>
        <v>9.6868528904742561</v>
      </c>
      <c r="O15" s="28">
        <f ca="1"/>
        <v>9.7247296253899549</v>
      </c>
      <c r="P15" s="28">
        <f ca="1"/>
        <v>9.7659795971248968</v>
      </c>
      <c r="Q15" s="28">
        <f ca="1"/>
        <v>9.8026179462503933</v>
      </c>
      <c r="R15" s="28">
        <f ca="1"/>
        <v>9.8425246085334948</v>
      </c>
      <c r="S15" s="28">
        <f ca="1"/>
        <v>9.8777341332624928</v>
      </c>
      <c r="T15" s="28">
        <f ca="1"/>
        <v>9.9161178801150527</v>
      </c>
      <c r="U15" s="28">
        <f ca="1"/>
        <v>9.9579391662846319</v>
      </c>
      <c r="V15" s="28">
        <f ca="1"/>
        <v>9.9951926954872761</v>
      </c>
      <c r="W15" s="28">
        <f ca="1"/>
        <v>10.035786763284705</v>
      </c>
      <c r="X15" s="28">
        <f ca="1"/>
        <v>10.071747673737264</v>
      </c>
      <c r="Y15" s="28">
        <f ca="1"/>
        <v>10.110947575018145</v>
      </c>
      <c r="Z15" s="28">
        <f ca="1"/>
        <v>10.153661841890425</v>
      </c>
      <c r="AA15" s="28">
        <f ca="1"/>
        <v>10.191873058511192</v>
      </c>
      <c r="AB15" s="28">
        <f ca="1"/>
        <v>10.23352652721951</v>
      </c>
      <c r="AC15" s="28">
        <f ca="1"/>
        <v>10.270617018837584</v>
      </c>
      <c r="AD15" s="28">
        <f ca="1"/>
        <v>10.311050357133354</v>
      </c>
      <c r="AE15" s="28">
        <f ca="1"/>
        <v>10.355067888805934</v>
      </c>
      <c r="AF15" s="28">
        <f ca="1"/>
        <v>10.394698431111465</v>
      </c>
      <c r="AG15" s="28">
        <f ca="1"/>
        <v>10.437890262433939</v>
      </c>
      <c r="AH15" s="28">
        <f ca="1"/>
        <v>10.476638805736002</v>
      </c>
      <c r="AI15" s="28">
        <f ca="1"/>
        <v>10.518888766855525</v>
      </c>
      <c r="AJ15" s="28">
        <f ca="1"/>
        <v>10.556636279827217</v>
      </c>
      <c r="AK15" s="29">
        <f ca="1"/>
        <v>10.5978173827516</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2.1151677968618969</v>
      </c>
      <c r="F17" s="24">
        <f ca="1"/>
        <v>2.1005986405798467</v>
      </c>
      <c r="G17" s="24">
        <f ca="1"/>
        <v>2.0859221436649023</v>
      </c>
      <c r="H17" s="24">
        <f ca="1"/>
        <v>2.0730344073863307</v>
      </c>
      <c r="I17" s="24">
        <f ca="1"/>
        <v>2.0608141272414287</v>
      </c>
      <c r="J17" s="24">
        <f ca="1"/>
        <v>2.0501733411633722</v>
      </c>
      <c r="K17" s="24">
        <f ca="1"/>
        <v>2.041923494369712</v>
      </c>
      <c r="L17" s="24">
        <f ca="1"/>
        <v>2.0350850455138243</v>
      </c>
      <c r="M17" s="24">
        <f ca="1"/>
        <v>2.0282155451341168</v>
      </c>
      <c r="N17" s="24">
        <f ca="1"/>
        <v>2.0227204186776362</v>
      </c>
      <c r="O17" s="24">
        <f ca="1"/>
        <v>2.0189355618003901</v>
      </c>
      <c r="P17" s="24">
        <f ca="1"/>
        <v>2.0161654657458712</v>
      </c>
      <c r="Q17" s="24">
        <f ca="1"/>
        <v>2.0138337857297302</v>
      </c>
      <c r="R17" s="24">
        <f ca="1"/>
        <v>2.0121133877819375</v>
      </c>
      <c r="S17" s="24">
        <f ca="1"/>
        <v>2.0108017487477809</v>
      </c>
      <c r="T17" s="24">
        <f ca="1"/>
        <v>2.0106370453004274</v>
      </c>
      <c r="U17" s="24">
        <f ca="1"/>
        <v>2.0109732472510586</v>
      </c>
      <c r="V17" s="24">
        <f ca="1"/>
        <v>2.0114676843081725</v>
      </c>
      <c r="W17" s="24">
        <f ca="1"/>
        <v>2.0121747978032545</v>
      </c>
      <c r="X17" s="24">
        <f ca="1"/>
        <v>2.0128430124605075</v>
      </c>
      <c r="Y17" s="24">
        <f ca="1"/>
        <v>2.0133966640310064</v>
      </c>
      <c r="Z17" s="24">
        <f ca="1"/>
        <v>2.013767688862572</v>
      </c>
      <c r="AA17" s="24">
        <f ca="1"/>
        <v>2.0140122189241083</v>
      </c>
      <c r="AB17" s="24">
        <f ca="1"/>
        <v>2.0140122189241083</v>
      </c>
      <c r="AC17" s="24">
        <f ca="1"/>
        <v>2.0140122189241083</v>
      </c>
      <c r="AD17" s="24">
        <f ca="1"/>
        <v>2.0140122189241083</v>
      </c>
      <c r="AE17" s="24">
        <f ca="1"/>
        <v>2.0140122189241083</v>
      </c>
      <c r="AF17" s="24">
        <f ca="1"/>
        <v>2.0140122189241083</v>
      </c>
      <c r="AG17" s="24">
        <f ca="1"/>
        <v>2.0140122189241083</v>
      </c>
      <c r="AH17" s="24">
        <f ca="1"/>
        <v>2.0140122189241083</v>
      </c>
      <c r="AI17" s="24">
        <f ca="1"/>
        <v>2.0140122189241083</v>
      </c>
      <c r="AJ17" s="24">
        <f ca="1"/>
        <v>2.0140122189241083</v>
      </c>
      <c r="AK17" s="26">
        <f ca="1"/>
        <v>2.0140122189241083</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INDEX(_doName,7,1)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1522.6091106591998</v>
      </c>
      <c r="F21" s="28">
        <f ca="1">SUMPRODUCT(INDEX(bcEff,,2),INDEX(tlccQubc,,2))</f>
        <v>1522.6091106591998</v>
      </c>
      <c r="G21" s="28">
        <f ca="1">SUMPRODUCT(INDEX(bcEff,,3),INDEX(tlccQubc,,3))</f>
        <v>1522.6091106591998</v>
      </c>
      <c r="H21" s="28">
        <f ca="1">SUMPRODUCT(INDEX(bcEff,,4),INDEX(tlccQubc,,4))</f>
        <v>1522.6091106591998</v>
      </c>
      <c r="I21" s="28">
        <f ca="1">SUMPRODUCT(INDEX(bcEff,,5),INDEX(tlccQubc,,5))</f>
        <v>1522.6091106591998</v>
      </c>
      <c r="J21" s="28">
        <f ca="1">SUMPRODUCT(INDEX(bcEff,,6),INDEX(tlccQubc,,6))</f>
        <v>1522.6091106591998</v>
      </c>
      <c r="K21" s="28">
        <f ca="1">SUMPRODUCT(INDEX(bcEff,,7),INDEX(tlccQubc,,7))</f>
        <v>1522.6091106591998</v>
      </c>
      <c r="L21" s="28">
        <f ca="1">SUMPRODUCT(INDEX(bcEff,,8),INDEX(tlccQubc,,8))</f>
        <v>1522.6091106591998</v>
      </c>
      <c r="M21" s="28">
        <f ca="1">SUMPRODUCT(INDEX(bcEff,,9),INDEX(tlccQubc,,9))</f>
        <v>1522.6091106591998</v>
      </c>
      <c r="N21" s="28">
        <f ca="1">SUMPRODUCT(INDEX(bcEff,,10),INDEX(tlccQubc,,10))</f>
        <v>1522.6091106591998</v>
      </c>
      <c r="O21" s="28">
        <f ca="1">SUMPRODUCT(INDEX(bcEff,,11),INDEX(tlccQubc,,11))</f>
        <v>1522.6091106591998</v>
      </c>
      <c r="P21" s="28">
        <f ca="1">SUMPRODUCT(INDEX(bcEff,,12),INDEX(tlccQubc,,12))</f>
        <v>1522.6091106591998</v>
      </c>
      <c r="Q21" s="28">
        <f ca="1">SUMPRODUCT(INDEX(bcEff,,13),INDEX(tlccQubc,,13))</f>
        <v>1522.6091106591998</v>
      </c>
      <c r="R21" s="28">
        <f ca="1">SUMPRODUCT(INDEX(bcEff,,14),INDEX(tlccQubc,,14))</f>
        <v>1522.6091106591998</v>
      </c>
      <c r="S21" s="28">
        <f ca="1">SUMPRODUCT(INDEX(bcEff,,15),INDEX(tlccQubc,,15))</f>
        <v>1522.6091106591998</v>
      </c>
      <c r="T21" s="28">
        <f ca="1">SUMPRODUCT(INDEX(bcEff,,16),INDEX(tlccQubc,,16))</f>
        <v>1522.6091106591998</v>
      </c>
      <c r="U21" s="28">
        <f ca="1">SUMPRODUCT(INDEX(bcEff,,17),INDEX(tlccQubc,,17))</f>
        <v>1522.6091106591998</v>
      </c>
      <c r="V21" s="28">
        <f ca="1">SUMPRODUCT(INDEX(bcEff,,18),INDEX(tlccQubc,,18))</f>
        <v>1522.6091106591998</v>
      </c>
      <c r="W21" s="28">
        <f ca="1">SUMPRODUCT(INDEX(bcEff,,19),INDEX(tlccQubc,,19))</f>
        <v>1522.6091106591998</v>
      </c>
      <c r="X21" s="28">
        <f ca="1">SUMPRODUCT(INDEX(bcEff,,20),INDEX(tlccQubc,,20))</f>
        <v>1522.6091106591998</v>
      </c>
      <c r="Y21" s="28">
        <f ca="1">SUMPRODUCT(INDEX(bcEff,,21),INDEX(tlccQubc,,21))</f>
        <v>1522.6091106591998</v>
      </c>
      <c r="Z21" s="28">
        <f ca="1">SUMPRODUCT(INDEX(bcEff,,22),INDEX(tlccQubc,,22))</f>
        <v>1522.6091106591998</v>
      </c>
      <c r="AA21" s="28">
        <f ca="1">SUMPRODUCT(INDEX(bcEff,,23),INDEX(tlccQubc,,23))</f>
        <v>1522.6091106591998</v>
      </c>
      <c r="AB21" s="28">
        <f ca="1">SUMPRODUCT(INDEX(bcEff,,24),INDEX(tlccQubc,,24))</f>
        <v>1522.6091106591998</v>
      </c>
      <c r="AC21" s="28">
        <f ca="1">SUMPRODUCT(INDEX(bcEff,,25),INDEX(tlccQubc,,25))</f>
        <v>1522.6091106591998</v>
      </c>
      <c r="AD21" s="28">
        <f ca="1">SUMPRODUCT(INDEX(bcEff,,26),INDEX(tlccQubc,,26))</f>
        <v>1522.6091106591998</v>
      </c>
      <c r="AE21" s="28">
        <f ca="1">SUMPRODUCT(INDEX(bcEff,,27),INDEX(tlccQubc,,27))</f>
        <v>1522.6091106591998</v>
      </c>
      <c r="AF21" s="28">
        <f ca="1">SUMPRODUCT(INDEX(bcEff,,28),INDEX(tlccQubc,,28))</f>
        <v>1522.6091106591998</v>
      </c>
      <c r="AG21" s="28">
        <f ca="1">SUMPRODUCT(INDEX(bcEff,,29),INDEX(tlccQubc,,29))</f>
        <v>1522.6091106591998</v>
      </c>
      <c r="AH21" s="28">
        <f ca="1">SUMPRODUCT(INDEX(bcEff,,30),INDEX(tlccQubc,,30))</f>
        <v>1522.6091106591998</v>
      </c>
      <c r="AI21" s="28">
        <f ca="1">SUMPRODUCT(INDEX(bcEff,,31),INDEX(tlccQubc,,31))</f>
        <v>1522.6091106591998</v>
      </c>
      <c r="AJ21" s="28">
        <f ca="1">SUMPRODUCT(INDEX(bcEff,,32),INDEX(tlccQubc,,32))</f>
        <v>1522.6091106591998</v>
      </c>
      <c r="AK21" s="29">
        <f ca="1">SUMPRODUCT(INDEX(bcEff,,33),INDEX(tlccQubc,,33))</f>
        <v>1522.6091106591998</v>
      </c>
      <c r="AL21" s="3"/>
    </row>
    <row r="22" spans="2:38">
      <c r="B22" s="3"/>
      <c r="C22" s="23" t="s">
        <v>47</v>
      </c>
      <c r="D22" s="16" t="str">
        <f>_yearDol &amp; "$"</f>
        <v>2013$</v>
      </c>
      <c r="E22" s="141">
        <f ca="1">SUMPRODUCT(INDEX(bcEff,,1),INDEX(tlccEubc,,1))</f>
        <v>13269.025497636021</v>
      </c>
      <c r="F22" s="28">
        <f ca="1">SUMPRODUCT(INDEX(bcEff,,2),INDEX(tlccEubc,,2))</f>
        <v>13327.353085214749</v>
      </c>
      <c r="G22" s="28">
        <f ca="1">SUMPRODUCT(INDEX(bcEff,,3),INDEX(tlccEubc,,3))</f>
        <v>13379.076290935496</v>
      </c>
      <c r="H22" s="28">
        <f ca="1">SUMPRODUCT(INDEX(bcEff,,4),INDEX(tlccEubc,,4))</f>
        <v>13435.381905101411</v>
      </c>
      <c r="I22" s="28">
        <f ca="1">SUMPRODUCT(INDEX(bcEff,,5),INDEX(tlccEubc,,5))</f>
        <v>13484.955620431623</v>
      </c>
      <c r="J22" s="28">
        <f ca="1">SUMPRODUCT(INDEX(bcEff,,6),INDEX(tlccEubc,,6))</f>
        <v>13538.979701860922</v>
      </c>
      <c r="K22" s="28">
        <f ca="1">SUMPRODUCT(INDEX(bcEff,,7),INDEX(tlccEubc,,7))</f>
        <v>13586.133129399823</v>
      </c>
      <c r="L22" s="28">
        <f ca="1">SUMPRODUCT(INDEX(bcEff,,8),INDEX(tlccEubc,,8))</f>
        <v>13637.58262865146</v>
      </c>
      <c r="M22" s="28">
        <f ca="1">SUMPRODUCT(INDEX(bcEff,,9),INDEX(tlccEubc,,9))</f>
        <v>13693.610749047366</v>
      </c>
      <c r="N22" s="28">
        <f ca="1">SUMPRODUCT(INDEX(bcEff,,10),INDEX(tlccEubc,,10))</f>
        <v>13742.902975122823</v>
      </c>
      <c r="O22" s="28">
        <f ca="1">SUMPRODUCT(INDEX(bcEff,,11),INDEX(tlccEubc,,11))</f>
        <v>13796.639343257801</v>
      </c>
      <c r="P22" s="28">
        <f ca="1">SUMPRODUCT(INDEX(bcEff,,12),INDEX(tlccEubc,,12))</f>
        <v>13855.161379845096</v>
      </c>
      <c r="Q22" s="28">
        <f ca="1">SUMPRODUCT(INDEX(bcEff,,13),INDEX(tlccEubc,,13))</f>
        <v>13907.14082898897</v>
      </c>
      <c r="R22" s="28">
        <f ca="1">SUMPRODUCT(INDEX(bcEff,,14),INDEX(tlccEubc,,14))</f>
        <v>13963.757089608522</v>
      </c>
      <c r="S22" s="28">
        <f ca="1">SUMPRODUCT(INDEX(bcEff,,15),INDEX(tlccEubc,,15))</f>
        <v>14013.709441279349</v>
      </c>
      <c r="T22" s="28">
        <f ca="1">SUMPRODUCT(INDEX(bcEff,,16),INDEX(tlccEubc,,16))</f>
        <v>14068.165115871885</v>
      </c>
      <c r="U22" s="28">
        <f ca="1">SUMPRODUCT(INDEX(bcEff,,17),INDEX(tlccEubc,,17))</f>
        <v>14127.497685962153</v>
      </c>
      <c r="V22" s="28">
        <f ca="1">SUMPRODUCT(INDEX(bcEff,,18),INDEX(tlccEubc,,18))</f>
        <v>14180.349901548814</v>
      </c>
      <c r="W22" s="28">
        <f ca="1">SUMPRODUCT(INDEX(bcEff,,19),INDEX(tlccEubc,,19))</f>
        <v>14237.941396061724</v>
      </c>
      <c r="X22" s="28">
        <f ca="1">SUMPRODUCT(INDEX(bcEff,,20),INDEX(tlccEubc,,20))</f>
        <v>14288.959751440994</v>
      </c>
      <c r="Y22" s="28">
        <f ca="1">SUMPRODUCT(INDEX(bcEff,,21),INDEX(tlccEubc,,21))</f>
        <v>14344.573318203831</v>
      </c>
      <c r="Z22" s="28">
        <f ca="1">SUMPRODUCT(INDEX(bcEff,,22),INDEX(tlccEubc,,22))</f>
        <v>14405.172775208546</v>
      </c>
      <c r="AA22" s="28">
        <f ca="1">SUMPRODUCT(INDEX(bcEff,,23),INDEX(tlccEubc,,23))</f>
        <v>14459.383678228018</v>
      </c>
      <c r="AB22" s="28">
        <f ca="1">SUMPRODUCT(INDEX(bcEff,,24),INDEX(tlccEubc,,24))</f>
        <v>14518.478162836644</v>
      </c>
      <c r="AC22" s="28">
        <f ca="1">SUMPRODUCT(INDEX(bcEff,,25),INDEX(tlccEubc,,25))</f>
        <v>14571.099074224749</v>
      </c>
      <c r="AD22" s="28">
        <f ca="1">SUMPRODUCT(INDEX(bcEff,,26),INDEX(tlccEubc,,26))</f>
        <v>14628.462539061806</v>
      </c>
      <c r="AE22" s="28">
        <f ca="1">SUMPRODUCT(INDEX(bcEff,,27),INDEX(tlccEubc,,27))</f>
        <v>14690.910960013578</v>
      </c>
      <c r="AF22" s="28">
        <f ca="1">SUMPRODUCT(INDEX(bcEff,,28),INDEX(tlccEubc,,28))</f>
        <v>14747.135484521335</v>
      </c>
      <c r="AG22" s="28">
        <f ca="1">SUMPRODUCT(INDEX(bcEff,,29),INDEX(tlccEubc,,29))</f>
        <v>14808.412470338517</v>
      </c>
      <c r="AH22" s="28">
        <f ca="1">SUMPRODUCT(INDEX(bcEff,,30),INDEX(tlccEubc,,30))</f>
        <v>14863.385687858881</v>
      </c>
      <c r="AI22" s="28">
        <f ca="1">SUMPRODUCT(INDEX(bcEff,,31),INDEX(tlccEubc,,31))</f>
        <v>14923.326426398788</v>
      </c>
      <c r="AJ22" s="28">
        <f ca="1">SUMPRODUCT(INDEX(bcEff,,32),INDEX(tlccEubc,,32))</f>
        <v>14976.87946516374</v>
      </c>
      <c r="AK22" s="29">
        <f ca="1">SUMPRODUCT(INDEX(bcEff,,33),INDEX(tlccEubc,,33))</f>
        <v>15035.303796394563</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3000.8245337312501</v>
      </c>
      <c r="F24" s="22">
        <f ca="1">SUMPRODUCT(INDEX(bcEff,,2),INDEX(tlccFubcElec,,2))</f>
        <v>2980.1550238839009</v>
      </c>
      <c r="G24" s="22">
        <f ca="1">SUMPRODUCT(INDEX(bcEff,,3),INDEX(tlccFubcElec,,3))</f>
        <v>2959.3332280540835</v>
      </c>
      <c r="H24" s="22">
        <f ca="1">SUMPRODUCT(INDEX(bcEff,,4),INDEX(tlccFubcElec,,4))</f>
        <v>2941.0491773667782</v>
      </c>
      <c r="I24" s="22">
        <f ca="1">SUMPRODUCT(INDEX(bcEff,,5),INDEX(tlccFubcElec,,5))</f>
        <v>2923.7120580511082</v>
      </c>
      <c r="J24" s="22">
        <f ca="1">SUMPRODUCT(INDEX(bcEff,,6),INDEX(tlccFubcElec,,6))</f>
        <v>2908.6157938350157</v>
      </c>
      <c r="K24" s="22">
        <f ca="1">SUMPRODUCT(INDEX(bcEff,,7),INDEX(tlccFubcElec,,7))</f>
        <v>2896.9115958543794</v>
      </c>
      <c r="L24" s="22">
        <f ca="1">SUMPRODUCT(INDEX(bcEff,,8),INDEX(tlccFubcElec,,8))</f>
        <v>2887.209772136122</v>
      </c>
      <c r="M24" s="22">
        <f ca="1">SUMPRODUCT(INDEX(bcEff,,9),INDEX(tlccFubcElec,,9))</f>
        <v>2877.4638950930034</v>
      </c>
      <c r="N24" s="22">
        <f ca="1">SUMPRODUCT(INDEX(bcEff,,10),INDEX(tlccFubcElec,,10))</f>
        <v>2869.6678657138737</v>
      </c>
      <c r="O24" s="22">
        <f ca="1">SUMPRODUCT(INDEX(bcEff,,11),INDEX(tlccFubcElec,,11))</f>
        <v>2864.2982248791177</v>
      </c>
      <c r="P24" s="22">
        <f ca="1">SUMPRODUCT(INDEX(bcEff,,12),INDEX(tlccFubcElec,,12))</f>
        <v>2860.3682424853632</v>
      </c>
      <c r="Q24" s="22">
        <f ca="1">SUMPRODUCT(INDEX(bcEff,,13),INDEX(tlccFubcElec,,13))</f>
        <v>2857.0602483837947</v>
      </c>
      <c r="R24" s="22">
        <f ca="1">SUMPRODUCT(INDEX(bcEff,,14),INDEX(tlccFubcElec,,14))</f>
        <v>2854.6194905497746</v>
      </c>
      <c r="S24" s="22">
        <f ca="1">SUMPRODUCT(INDEX(bcEff,,15),INDEX(tlccFubcElec,,15))</f>
        <v>2852.7586459406411</v>
      </c>
      <c r="T24" s="22">
        <f ca="1">SUMPRODUCT(INDEX(bcEff,,16),INDEX(tlccFubcElec,,16))</f>
        <v>2852.5249783577101</v>
      </c>
      <c r="U24" s="22">
        <f ca="1">SUMPRODUCT(INDEX(bcEff,,17),INDEX(tlccFubcElec,,17))</f>
        <v>2853.0019537841217</v>
      </c>
      <c r="V24" s="22">
        <f ca="1">SUMPRODUCT(INDEX(bcEff,,18),INDEX(tlccFubcElec,,18))</f>
        <v>2853.7034200477624</v>
      </c>
      <c r="W24" s="22">
        <f ca="1">SUMPRODUCT(INDEX(bcEff,,19),INDEX(tlccFubcElec,,19))</f>
        <v>2854.7066139917529</v>
      </c>
      <c r="X24" s="22">
        <f ca="1">SUMPRODUCT(INDEX(bcEff,,20),INDEX(tlccFubcElec,,20))</f>
        <v>2855.654621492492</v>
      </c>
      <c r="Y24" s="22">
        <f ca="1">SUMPRODUCT(INDEX(bcEff,,21),INDEX(tlccFubcElec,,21))</f>
        <v>2856.4400963934208</v>
      </c>
      <c r="Z24" s="22">
        <f ca="1">SUMPRODUCT(INDEX(bcEff,,22),INDEX(tlccFubcElec,,22))</f>
        <v>2856.9664756333277</v>
      </c>
      <c r="AA24" s="22">
        <f ca="1">SUMPRODUCT(INDEX(bcEff,,23),INDEX(tlccFubcElec,,23))</f>
        <v>2857.3133945917061</v>
      </c>
      <c r="AB24" s="22">
        <f ca="1">SUMPRODUCT(INDEX(bcEff,,24),INDEX(tlccFubcElec,,24))</f>
        <v>2857.3133945917061</v>
      </c>
      <c r="AC24" s="22">
        <f ca="1">SUMPRODUCT(INDEX(bcEff,,25),INDEX(tlccFubcElec,,25))</f>
        <v>2857.3133945917061</v>
      </c>
      <c r="AD24" s="22">
        <f ca="1">SUMPRODUCT(INDEX(bcEff,,26),INDEX(tlccFubcElec,,26))</f>
        <v>2857.3133945917061</v>
      </c>
      <c r="AE24" s="22">
        <f ca="1">SUMPRODUCT(INDEX(bcEff,,27),INDEX(tlccFubcElec,,27))</f>
        <v>2857.3133945917061</v>
      </c>
      <c r="AF24" s="22">
        <f ca="1">SUMPRODUCT(INDEX(bcEff,,28),INDEX(tlccFubcElec,,28))</f>
        <v>2857.3133945917061</v>
      </c>
      <c r="AG24" s="22">
        <f ca="1">SUMPRODUCT(INDEX(bcEff,,29),INDEX(tlccFubcElec,,29))</f>
        <v>2857.3133945917061</v>
      </c>
      <c r="AH24" s="22">
        <f ca="1">SUMPRODUCT(INDEX(bcEff,,30),INDEX(tlccFubcElec,,30))</f>
        <v>2857.3133945917061</v>
      </c>
      <c r="AI24" s="22">
        <f ca="1">SUMPRODUCT(INDEX(bcEff,,31),INDEX(tlccFubcElec,,31))</f>
        <v>2857.3133945917061</v>
      </c>
      <c r="AJ24" s="22">
        <f ca="1">SUMPRODUCT(INDEX(bcEff,,32),INDEX(tlccFubcElec,,32))</f>
        <v>2857.3133945917061</v>
      </c>
      <c r="AK24" s="25">
        <f ca="1">SUMPRODUCT(INDEX(bcEff,,33),INDEX(tlccFubcElec,,33))</f>
        <v>2857.3133945917061</v>
      </c>
      <c r="AL24" s="3"/>
    </row>
    <row r="25" spans="2:38">
      <c r="B25" s="3"/>
      <c r="C25" s="30" t="str">
        <f>"Std (CSL " &amp; stdCSL &amp; "): " &amp; INDEX(_doName,7,stdCSL+1)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1529.5462488819999</v>
      </c>
      <c r="F26" s="28">
        <f ca="1">SUMPRODUCT(INDEX(polEff,,2),INDEX(tlccQupol,,2))</f>
        <v>1529.5462488819999</v>
      </c>
      <c r="G26" s="28">
        <f ca="1">SUMPRODUCT(INDEX(polEff,,3),INDEX(tlccQupol,,3))</f>
        <v>1529.5462488819999</v>
      </c>
      <c r="H26" s="28">
        <f ca="1">SUMPRODUCT(INDEX(polEff,,4),INDEX(tlccQupol,,4))</f>
        <v>1529.5462488819999</v>
      </c>
      <c r="I26" s="28">
        <f ca="1">SUMPRODUCT(INDEX(polEff,,5),INDEX(tlccQupol,,5))</f>
        <v>1529.5462488819999</v>
      </c>
      <c r="J26" s="28">
        <f ca="1">SUMPRODUCT(INDEX(polEff,,6),INDEX(tlccQupol,,6))</f>
        <v>1529.5462488819999</v>
      </c>
      <c r="K26" s="28">
        <f ca="1">SUMPRODUCT(INDEX(polEff,,7),INDEX(tlccQupol,,7))</f>
        <v>1529.5462488819999</v>
      </c>
      <c r="L26" s="28">
        <f ca="1">SUMPRODUCT(INDEX(polEff,,8),INDEX(tlccQupol,,8))</f>
        <v>1529.5462488819999</v>
      </c>
      <c r="M26" s="28">
        <f ca="1">SUMPRODUCT(INDEX(polEff,,9),INDEX(tlccQupol,,9))</f>
        <v>1529.5462488819999</v>
      </c>
      <c r="N26" s="28">
        <f ca="1">SUMPRODUCT(INDEX(polEff,,10),INDEX(tlccQupol,,10))</f>
        <v>1529.5462488819999</v>
      </c>
      <c r="O26" s="28">
        <f ca="1">SUMPRODUCT(INDEX(polEff,,11),INDEX(tlccQupol,,11))</f>
        <v>1529.5462488819999</v>
      </c>
      <c r="P26" s="28">
        <f ca="1">SUMPRODUCT(INDEX(polEff,,12),INDEX(tlccQupol,,12))</f>
        <v>1529.5462488819999</v>
      </c>
      <c r="Q26" s="28">
        <f ca="1">SUMPRODUCT(INDEX(polEff,,13),INDEX(tlccQupol,,13))</f>
        <v>1529.5462488819999</v>
      </c>
      <c r="R26" s="28">
        <f ca="1">SUMPRODUCT(INDEX(polEff,,14),INDEX(tlccQupol,,14))</f>
        <v>1529.5462488819999</v>
      </c>
      <c r="S26" s="28">
        <f ca="1">SUMPRODUCT(INDEX(polEff,,15),INDEX(tlccQupol,,15))</f>
        <v>1529.5462488819999</v>
      </c>
      <c r="T26" s="28">
        <f ca="1">SUMPRODUCT(INDEX(polEff,,16),INDEX(tlccQupol,,16))</f>
        <v>1529.5462488819999</v>
      </c>
      <c r="U26" s="28">
        <f ca="1">SUMPRODUCT(INDEX(polEff,,17),INDEX(tlccQupol,,17))</f>
        <v>1529.5462488819999</v>
      </c>
      <c r="V26" s="28">
        <f ca="1">SUMPRODUCT(INDEX(polEff,,18),INDEX(tlccQupol,,18))</f>
        <v>1529.5462488819999</v>
      </c>
      <c r="W26" s="28">
        <f ca="1">SUMPRODUCT(INDEX(polEff,,19),INDEX(tlccQupol,,19))</f>
        <v>1529.5462488819999</v>
      </c>
      <c r="X26" s="28">
        <f ca="1">SUMPRODUCT(INDEX(polEff,,20),INDEX(tlccQupol,,20))</f>
        <v>1529.5462488819999</v>
      </c>
      <c r="Y26" s="28">
        <f ca="1">SUMPRODUCT(INDEX(polEff,,21),INDEX(tlccQupol,,21))</f>
        <v>1529.5462488819999</v>
      </c>
      <c r="Z26" s="28">
        <f ca="1">SUMPRODUCT(INDEX(polEff,,22),INDEX(tlccQupol,,22))</f>
        <v>1529.5462488819999</v>
      </c>
      <c r="AA26" s="28">
        <f ca="1">SUMPRODUCT(INDEX(polEff,,23),INDEX(tlccQupol,,23))</f>
        <v>1529.5462488819999</v>
      </c>
      <c r="AB26" s="28">
        <f ca="1">SUMPRODUCT(INDEX(polEff,,24),INDEX(tlccQupol,,24))</f>
        <v>1529.5462488819999</v>
      </c>
      <c r="AC26" s="28">
        <f ca="1">SUMPRODUCT(INDEX(polEff,,25),INDEX(tlccQupol,,25))</f>
        <v>1529.5462488819999</v>
      </c>
      <c r="AD26" s="28">
        <f ca="1">SUMPRODUCT(INDEX(polEff,,26),INDEX(tlccQupol,,26))</f>
        <v>1529.5462488819999</v>
      </c>
      <c r="AE26" s="28">
        <f ca="1">SUMPRODUCT(INDEX(polEff,,27),INDEX(tlccQupol,,27))</f>
        <v>1529.5462488819999</v>
      </c>
      <c r="AF26" s="28">
        <f ca="1">SUMPRODUCT(INDEX(polEff,,28),INDEX(tlccQupol,,28))</f>
        <v>1529.5462488819999</v>
      </c>
      <c r="AG26" s="28">
        <f ca="1">SUMPRODUCT(INDEX(polEff,,29),INDEX(tlccQupol,,29))</f>
        <v>1529.5462488819999</v>
      </c>
      <c r="AH26" s="28">
        <f ca="1">SUMPRODUCT(INDEX(polEff,,30),INDEX(tlccQupol,,30))</f>
        <v>1529.5462488819999</v>
      </c>
      <c r="AI26" s="28">
        <f ca="1">SUMPRODUCT(INDEX(polEff,,31),INDEX(tlccQupol,,31))</f>
        <v>1529.5462488819999</v>
      </c>
      <c r="AJ26" s="28">
        <f ca="1">SUMPRODUCT(INDEX(polEff,,32),INDEX(tlccQupol,,32))</f>
        <v>1529.5462488819999</v>
      </c>
      <c r="AK26" s="29">
        <f ca="1">SUMPRODUCT(INDEX(polEff,,33),INDEX(tlccQupol,,33))</f>
        <v>1529.5462488819999</v>
      </c>
      <c r="AL26" s="3"/>
    </row>
    <row r="27" spans="2:38">
      <c r="B27" s="3"/>
      <c r="C27" s="23" t="s">
        <v>47</v>
      </c>
      <c r="D27" s="16" t="str">
        <f>_yearDol &amp; "$"</f>
        <v>2013$</v>
      </c>
      <c r="E27" s="141">
        <f ca="1">SUMPRODUCT(INDEX(polEff,,1),INDEX(tlccEupol,,1))</f>
        <v>13259.672663069103</v>
      </c>
      <c r="F27" s="28">
        <f ca="1">SUMPRODUCT(INDEX(polEff,,2),INDEX(tlccEupol,,2))</f>
        <v>13317.959137735854</v>
      </c>
      <c r="G27" s="28">
        <f ca="1">SUMPRODUCT(INDEX(polEff,,3),INDEX(tlccEupol,,3))</f>
        <v>13369.645885723781</v>
      </c>
      <c r="H27" s="28">
        <f ca="1">SUMPRODUCT(INDEX(polEff,,4),INDEX(tlccEupol,,4))</f>
        <v>13425.911812190354</v>
      </c>
      <c r="I27" s="28">
        <f ca="1">SUMPRODUCT(INDEX(polEff,,5),INDEX(tlccEupol,,5))</f>
        <v>13475.450584882283</v>
      </c>
      <c r="J27" s="28">
        <f ca="1">SUMPRODUCT(INDEX(polEff,,6),INDEX(tlccEupol,,6))</f>
        <v>13529.436586778436</v>
      </c>
      <c r="K27" s="28">
        <f ca="1">SUMPRODUCT(INDEX(polEff,,7),INDEX(tlccEupol,,7))</f>
        <v>13576.55677764844</v>
      </c>
      <c r="L27" s="28">
        <f ca="1">SUMPRODUCT(INDEX(polEff,,8),INDEX(tlccEupol,,8))</f>
        <v>13627.970012092606</v>
      </c>
      <c r="M27" s="28">
        <f ca="1">SUMPRODUCT(INDEX(polEff,,9),INDEX(tlccEupol,,9))</f>
        <v>13683.95864038404</v>
      </c>
      <c r="N27" s="28">
        <f ca="1">SUMPRODUCT(INDEX(polEff,,10),INDEX(tlccEupol,,10))</f>
        <v>13733.216122232348</v>
      </c>
      <c r="O27" s="28">
        <f ca="1">SUMPRODUCT(INDEX(polEff,,11),INDEX(tlccEupol,,11))</f>
        <v>13786.914613632411</v>
      </c>
      <c r="P27" s="28">
        <f ca="1">SUMPRODUCT(INDEX(polEff,,12),INDEX(tlccEupol,,12))</f>
        <v>13845.395400247971</v>
      </c>
      <c r="Q27" s="28">
        <f ca="1">SUMPRODUCT(INDEX(polEff,,13),INDEX(tlccEupol,,13))</f>
        <v>13897.338211042719</v>
      </c>
      <c r="R27" s="28">
        <f ca="1">SUMPRODUCT(INDEX(polEff,,14),INDEX(tlccEupol,,14))</f>
        <v>13953.914564999988</v>
      </c>
      <c r="S27" s="28">
        <f ca="1">SUMPRODUCT(INDEX(polEff,,15),INDEX(tlccEupol,,15))</f>
        <v>14003.831707146086</v>
      </c>
      <c r="T27" s="28">
        <f ca="1">SUMPRODUCT(INDEX(polEff,,16),INDEX(tlccEupol,,16))</f>
        <v>14058.24899799177</v>
      </c>
      <c r="U27" s="28">
        <f ca="1">SUMPRODUCT(INDEX(polEff,,17),INDEX(tlccEupol,,17))</f>
        <v>14117.539746795868</v>
      </c>
      <c r="V27" s="28">
        <f ca="1">SUMPRODUCT(INDEX(polEff,,18),INDEX(tlccEupol,,18))</f>
        <v>14170.354708853327</v>
      </c>
      <c r="W27" s="28">
        <f ca="1">SUMPRODUCT(INDEX(polEff,,19),INDEX(tlccEupol,,19))</f>
        <v>14227.905609298439</v>
      </c>
      <c r="X27" s="28">
        <f ca="1">SUMPRODUCT(INDEX(polEff,,20),INDEX(tlccEupol,,20))</f>
        <v>14278.888003767257</v>
      </c>
      <c r="Y27" s="28">
        <f ca="1">SUMPRODUCT(INDEX(polEff,,21),INDEX(tlccEupol,,21))</f>
        <v>14334.462370628813</v>
      </c>
      <c r="Z27" s="28">
        <f ca="1">SUMPRODUCT(INDEX(polEff,,22),INDEX(tlccEupol,,22))</f>
        <v>14395.019113366656</v>
      </c>
      <c r="AA27" s="28">
        <f ca="1">SUMPRODUCT(INDEX(polEff,,23),INDEX(tlccEupol,,23))</f>
        <v>14449.191805169507</v>
      </c>
      <c r="AB27" s="28">
        <f ca="1">SUMPRODUCT(INDEX(polEff,,24),INDEX(tlccEupol,,24))</f>
        <v>14508.244636309424</v>
      </c>
      <c r="AC27" s="28">
        <f ca="1">SUMPRODUCT(INDEX(polEff,,25),INDEX(tlccEupol,,25))</f>
        <v>14560.828457205911</v>
      </c>
      <c r="AD27" s="28">
        <f ca="1">SUMPRODUCT(INDEX(polEff,,26),INDEX(tlccEupol,,26))</f>
        <v>14618.151488704672</v>
      </c>
      <c r="AE27" s="28">
        <f ca="1">SUMPRODUCT(INDEX(polEff,,27),INDEX(tlccEupol,,27))</f>
        <v>14680.555892124772</v>
      </c>
      <c r="AF27" s="28">
        <f ca="1">SUMPRODUCT(INDEX(polEff,,28),INDEX(tlccEupol,,28))</f>
        <v>14736.740786090224</v>
      </c>
      <c r="AG27" s="28">
        <f ca="1">SUMPRODUCT(INDEX(polEff,,29),INDEX(tlccEupol,,29))</f>
        <v>14797.974580076083</v>
      </c>
      <c r="AH27" s="28">
        <f ca="1">SUMPRODUCT(INDEX(polEff,,30),INDEX(tlccEupol,,30))</f>
        <v>14852.909049053145</v>
      </c>
      <c r="AI27" s="28">
        <f ca="1">SUMPRODUCT(INDEX(polEff,,31),INDEX(tlccEupol,,31))</f>
        <v>14912.807537631932</v>
      </c>
      <c r="AJ27" s="28">
        <f ca="1">SUMPRODUCT(INDEX(polEff,,32),INDEX(tlccEupol,,32))</f>
        <v>14966.322828883913</v>
      </c>
      <c r="AK27" s="29">
        <f ca="1">SUMPRODUCT(INDEX(polEff,,33),INDEX(tlccEupol,,33))</f>
        <v>15024.705979011811</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2998.7093659343882</v>
      </c>
      <c r="F29" s="24">
        <f ca="1">SUMPRODUCT(INDEX(polEff,,2),INDEX(tlccFupolElec,,2))</f>
        <v>2978.054425243321</v>
      </c>
      <c r="G29" s="24">
        <f ca="1">SUMPRODUCT(INDEX(polEff,,3),INDEX(tlccFupolElec,,3))</f>
        <v>2957.2473059104186</v>
      </c>
      <c r="H29" s="24">
        <f ca="1">SUMPRODUCT(INDEX(polEff,,4),INDEX(tlccFupolElec,,4))</f>
        <v>2938.9761429593918</v>
      </c>
      <c r="I29" s="24">
        <f ca="1">SUMPRODUCT(INDEX(polEff,,5),INDEX(tlccFupolElec,,5))</f>
        <v>2921.6512439238668</v>
      </c>
      <c r="J29" s="24">
        <f ca="1">SUMPRODUCT(INDEX(polEff,,6),INDEX(tlccFupolElec,,6))</f>
        <v>2906.5656204938523</v>
      </c>
      <c r="K29" s="24">
        <f ca="1">SUMPRODUCT(INDEX(polEff,,7),INDEX(tlccFupolElec,,7))</f>
        <v>2894.8696723600096</v>
      </c>
      <c r="L29" s="24">
        <f ca="1">SUMPRODUCT(INDEX(polEff,,8),INDEX(tlccFupolElec,,8))</f>
        <v>2885.1746870906081</v>
      </c>
      <c r="M29" s="24">
        <f ca="1">SUMPRODUCT(INDEX(polEff,,9),INDEX(tlccFupolElec,,9))</f>
        <v>2875.4356795478693</v>
      </c>
      <c r="N29" s="24">
        <f ca="1">SUMPRODUCT(INDEX(polEff,,10),INDEX(tlccFupolElec,,10))</f>
        <v>2867.645145295196</v>
      </c>
      <c r="O29" s="24">
        <f ca="1">SUMPRODUCT(INDEX(polEff,,11),INDEX(tlccFupolElec,,11))</f>
        <v>2862.2792893173173</v>
      </c>
      <c r="P29" s="24">
        <f ca="1">SUMPRODUCT(INDEX(polEff,,12),INDEX(tlccFupolElec,,12))</f>
        <v>2858.3520770196174</v>
      </c>
      <c r="Q29" s="24">
        <f ca="1">SUMPRODUCT(INDEX(polEff,,13),INDEX(tlccFupolElec,,13))</f>
        <v>2855.046414598065</v>
      </c>
      <c r="R29" s="24">
        <f ca="1">SUMPRODUCT(INDEX(polEff,,14),INDEX(tlccFupolElec,,14))</f>
        <v>2852.6073771619926</v>
      </c>
      <c r="S29" s="24">
        <f ca="1">SUMPRODUCT(INDEX(polEff,,15),INDEX(tlccFupolElec,,15))</f>
        <v>2850.7478441918934</v>
      </c>
      <c r="T29" s="24">
        <f ca="1">SUMPRODUCT(INDEX(polEff,,16),INDEX(tlccFupolElec,,16))</f>
        <v>2850.5143413124097</v>
      </c>
      <c r="U29" s="24">
        <f ca="1">SUMPRODUCT(INDEX(polEff,,17),INDEX(tlccFupolElec,,17))</f>
        <v>2850.9909805368707</v>
      </c>
      <c r="V29" s="24">
        <f ca="1">SUMPRODUCT(INDEX(polEff,,18),INDEX(tlccFupolElec,,18))</f>
        <v>2851.6919523634542</v>
      </c>
      <c r="W29" s="24">
        <f ca="1">SUMPRODUCT(INDEX(polEff,,19),INDEX(tlccFupolElec,,19))</f>
        <v>2852.6944391939496</v>
      </c>
      <c r="X29" s="24">
        <f ca="1">SUMPRODUCT(INDEX(polEff,,20),INDEX(tlccFupolElec,,20))</f>
        <v>2853.6417784800315</v>
      </c>
      <c r="Y29" s="24">
        <f ca="1">SUMPRODUCT(INDEX(polEff,,21),INDEX(tlccFupolElec,,21))</f>
        <v>2854.4266997293898</v>
      </c>
      <c r="Z29" s="24">
        <f ca="1">SUMPRODUCT(INDEX(polEff,,22),INDEX(tlccFupolElec,,22))</f>
        <v>2854.9527079444651</v>
      </c>
      <c r="AA29" s="24">
        <f ca="1">SUMPRODUCT(INDEX(polEff,,23),INDEX(tlccFupolElec,,23))</f>
        <v>2855.299382372782</v>
      </c>
      <c r="AB29" s="24">
        <f ca="1">SUMPRODUCT(INDEX(polEff,,24),INDEX(tlccFupolElec,,24))</f>
        <v>2855.299382372782</v>
      </c>
      <c r="AC29" s="24">
        <f ca="1">SUMPRODUCT(INDEX(polEff,,25),INDEX(tlccFupolElec,,25))</f>
        <v>2855.299382372782</v>
      </c>
      <c r="AD29" s="24">
        <f ca="1">SUMPRODUCT(INDEX(polEff,,26),INDEX(tlccFupolElec,,26))</f>
        <v>2855.299382372782</v>
      </c>
      <c r="AE29" s="24">
        <f ca="1">SUMPRODUCT(INDEX(polEff,,27),INDEX(tlccFupolElec,,27))</f>
        <v>2855.299382372782</v>
      </c>
      <c r="AF29" s="24">
        <f ca="1">SUMPRODUCT(INDEX(polEff,,28),INDEX(tlccFupolElec,,28))</f>
        <v>2855.299382372782</v>
      </c>
      <c r="AG29" s="24">
        <f ca="1">SUMPRODUCT(INDEX(polEff,,29),INDEX(tlccFupolElec,,29))</f>
        <v>2855.299382372782</v>
      </c>
      <c r="AH29" s="24">
        <f ca="1">SUMPRODUCT(INDEX(polEff,,30),INDEX(tlccFupolElec,,30))</f>
        <v>2855.299382372782</v>
      </c>
      <c r="AI29" s="24">
        <f ca="1">SUMPRODUCT(INDEX(polEff,,31),INDEX(tlccFupolElec,,31))</f>
        <v>2855.299382372782</v>
      </c>
      <c r="AJ29" s="24">
        <f ca="1">SUMPRODUCT(INDEX(polEff,,32),INDEX(tlccFupolElec,,32))</f>
        <v>2855.299382372782</v>
      </c>
      <c r="AK29" s="26">
        <f ca="1">SUMPRODUCT(INDEX(polEff,,33),INDEX(tlccFupolElec,,33))</f>
        <v>2855.299382372782</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INDEX(_doName,7,1)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INDEX(_doName,7,2)</f>
        <v>EL 1: EL 1</v>
      </c>
      <c r="D33" s="16" t="s">
        <v>35</v>
      </c>
      <c r="E33" s="145">
        <v>0.1119</v>
      </c>
      <c r="F33" s="17">
        <f t="array" ref="F33:AK33">$E$33</f>
        <v>0.1119</v>
      </c>
      <c r="G33" s="17">
        <v>0.1119</v>
      </c>
      <c r="H33" s="17">
        <v>0.1119</v>
      </c>
      <c r="I33" s="17">
        <v>0.1119</v>
      </c>
      <c r="J33" s="17">
        <v>0.1119</v>
      </c>
      <c r="K33" s="17">
        <v>0.1119</v>
      </c>
      <c r="L33" s="17">
        <v>0.1119</v>
      </c>
      <c r="M33" s="17">
        <v>0.1119</v>
      </c>
      <c r="N33" s="17">
        <v>0.1119</v>
      </c>
      <c r="O33" s="17">
        <v>0.1119</v>
      </c>
      <c r="P33" s="17">
        <v>0.1119</v>
      </c>
      <c r="Q33" s="17">
        <v>0.1119</v>
      </c>
      <c r="R33" s="17">
        <v>0.1119</v>
      </c>
      <c r="S33" s="17">
        <v>0.1119</v>
      </c>
      <c r="T33" s="17">
        <v>0.1119</v>
      </c>
      <c r="U33" s="17">
        <v>0.1119</v>
      </c>
      <c r="V33" s="17">
        <v>0.1119</v>
      </c>
      <c r="W33" s="17">
        <v>0.1119</v>
      </c>
      <c r="X33" s="17">
        <v>0.1119</v>
      </c>
      <c r="Y33" s="17">
        <v>0.1119</v>
      </c>
      <c r="Z33" s="17">
        <v>0.1119</v>
      </c>
      <c r="AA33" s="17">
        <v>0.1119</v>
      </c>
      <c r="AB33" s="17">
        <v>0.1119</v>
      </c>
      <c r="AC33" s="17">
        <v>0.1119</v>
      </c>
      <c r="AD33" s="17">
        <v>0.1119</v>
      </c>
      <c r="AE33" s="17">
        <v>0.1119</v>
      </c>
      <c r="AF33" s="17">
        <v>0.1119</v>
      </c>
      <c r="AG33" s="17">
        <v>0.1119</v>
      </c>
      <c r="AH33" s="17">
        <v>0.1119</v>
      </c>
      <c r="AI33" s="17">
        <v>0.1119</v>
      </c>
      <c r="AJ33" s="17">
        <v>0.1119</v>
      </c>
      <c r="AK33" s="18">
        <v>0.1119</v>
      </c>
      <c r="AL33" s="3"/>
    </row>
    <row r="34" spans="2:38">
      <c r="B34" s="3"/>
      <c r="C34" s="12" t="str">
        <f>"EL 2: " &amp; INDEX(_doName,7,3)</f>
        <v>EL 2: EL 2</v>
      </c>
      <c r="D34" s="16" t="s">
        <v>35</v>
      </c>
      <c r="E34" s="145">
        <v>3.5000000000000003E-2</v>
      </c>
      <c r="F34" s="17">
        <f t="array" ref="F34:AK34">$E$34</f>
        <v>3.5000000000000003E-2</v>
      </c>
      <c r="G34" s="17">
        <v>3.5000000000000003E-2</v>
      </c>
      <c r="H34" s="17">
        <v>3.5000000000000003E-2</v>
      </c>
      <c r="I34" s="17">
        <v>3.5000000000000003E-2</v>
      </c>
      <c r="J34" s="17">
        <v>3.5000000000000003E-2</v>
      </c>
      <c r="K34" s="17">
        <v>3.5000000000000003E-2</v>
      </c>
      <c r="L34" s="17">
        <v>3.5000000000000003E-2</v>
      </c>
      <c r="M34" s="17">
        <v>3.5000000000000003E-2</v>
      </c>
      <c r="N34" s="17">
        <v>3.5000000000000003E-2</v>
      </c>
      <c r="O34" s="17">
        <v>3.5000000000000003E-2</v>
      </c>
      <c r="P34" s="17">
        <v>3.5000000000000003E-2</v>
      </c>
      <c r="Q34" s="17">
        <v>3.5000000000000003E-2</v>
      </c>
      <c r="R34" s="17">
        <v>3.5000000000000003E-2</v>
      </c>
      <c r="S34" s="17">
        <v>3.5000000000000003E-2</v>
      </c>
      <c r="T34" s="17">
        <v>3.5000000000000003E-2</v>
      </c>
      <c r="U34" s="17">
        <v>3.5000000000000003E-2</v>
      </c>
      <c r="V34" s="17">
        <v>3.5000000000000003E-2</v>
      </c>
      <c r="W34" s="17">
        <v>3.5000000000000003E-2</v>
      </c>
      <c r="X34" s="17">
        <v>3.5000000000000003E-2</v>
      </c>
      <c r="Y34" s="17">
        <v>3.5000000000000003E-2</v>
      </c>
      <c r="Z34" s="17">
        <v>3.5000000000000003E-2</v>
      </c>
      <c r="AA34" s="17">
        <v>3.5000000000000003E-2</v>
      </c>
      <c r="AB34" s="17">
        <v>3.5000000000000003E-2</v>
      </c>
      <c r="AC34" s="17">
        <v>3.5000000000000003E-2</v>
      </c>
      <c r="AD34" s="17">
        <v>3.5000000000000003E-2</v>
      </c>
      <c r="AE34" s="17">
        <v>3.5000000000000003E-2</v>
      </c>
      <c r="AF34" s="17">
        <v>3.5000000000000003E-2</v>
      </c>
      <c r="AG34" s="17">
        <v>3.5000000000000003E-2</v>
      </c>
      <c r="AH34" s="17">
        <v>3.5000000000000003E-2</v>
      </c>
      <c r="AI34" s="17">
        <v>3.5000000000000003E-2</v>
      </c>
      <c r="AJ34" s="17">
        <v>3.5000000000000003E-2</v>
      </c>
      <c r="AK34" s="18">
        <v>3.5000000000000003E-2</v>
      </c>
      <c r="AL34" s="3"/>
    </row>
    <row r="35" spans="2:38">
      <c r="B35" s="3"/>
      <c r="C35" s="12" t="str">
        <f>"EL 3: " &amp; INDEX(_doName,7,4)</f>
        <v>EL 3: EL 3</v>
      </c>
      <c r="D35" s="16" t="s">
        <v>35</v>
      </c>
      <c r="E35" s="145">
        <v>2.12E-2</v>
      </c>
      <c r="F35" s="17">
        <f t="array" ref="F35:AK35">$E$35</f>
        <v>2.12E-2</v>
      </c>
      <c r="G35" s="17">
        <v>2.12E-2</v>
      </c>
      <c r="H35" s="17">
        <v>2.12E-2</v>
      </c>
      <c r="I35" s="17">
        <v>2.12E-2</v>
      </c>
      <c r="J35" s="17">
        <v>2.12E-2</v>
      </c>
      <c r="K35" s="17">
        <v>2.12E-2</v>
      </c>
      <c r="L35" s="17">
        <v>2.12E-2</v>
      </c>
      <c r="M35" s="17">
        <v>2.12E-2</v>
      </c>
      <c r="N35" s="17">
        <v>2.12E-2</v>
      </c>
      <c r="O35" s="17">
        <v>2.12E-2</v>
      </c>
      <c r="P35" s="17">
        <v>2.12E-2</v>
      </c>
      <c r="Q35" s="17">
        <v>2.12E-2</v>
      </c>
      <c r="R35" s="17">
        <v>2.12E-2</v>
      </c>
      <c r="S35" s="17">
        <v>2.12E-2</v>
      </c>
      <c r="T35" s="17">
        <v>2.12E-2</v>
      </c>
      <c r="U35" s="17">
        <v>2.12E-2</v>
      </c>
      <c r="V35" s="17">
        <v>2.12E-2</v>
      </c>
      <c r="W35" s="17">
        <v>2.12E-2</v>
      </c>
      <c r="X35" s="17">
        <v>2.12E-2</v>
      </c>
      <c r="Y35" s="17">
        <v>2.12E-2</v>
      </c>
      <c r="Z35" s="17">
        <v>2.12E-2</v>
      </c>
      <c r="AA35" s="17">
        <v>2.12E-2</v>
      </c>
      <c r="AB35" s="17">
        <v>2.12E-2</v>
      </c>
      <c r="AC35" s="17">
        <v>2.12E-2</v>
      </c>
      <c r="AD35" s="17">
        <v>2.12E-2</v>
      </c>
      <c r="AE35" s="17">
        <v>2.12E-2</v>
      </c>
      <c r="AF35" s="17">
        <v>2.12E-2</v>
      </c>
      <c r="AG35" s="17">
        <v>2.12E-2</v>
      </c>
      <c r="AH35" s="17">
        <v>2.12E-2</v>
      </c>
      <c r="AI35" s="17">
        <v>2.12E-2</v>
      </c>
      <c r="AJ35" s="17">
        <v>2.12E-2</v>
      </c>
      <c r="AK35" s="18">
        <v>2.12E-2</v>
      </c>
      <c r="AL35" s="3"/>
    </row>
    <row r="36" spans="2:38">
      <c r="B36" s="3"/>
      <c r="C36" s="12" t="str">
        <f>"EL 4: " &amp; INDEX(_doName,7,5)</f>
        <v>EL 4: EL 4</v>
      </c>
      <c r="D36" s="16" t="s">
        <v>35</v>
      </c>
      <c r="E36" s="145">
        <v>0.23749999999999999</v>
      </c>
      <c r="F36" s="17">
        <f t="array" ref="F36:AK36">$E$36</f>
        <v>0.23749999999999999</v>
      </c>
      <c r="G36" s="17">
        <v>0.23749999999999999</v>
      </c>
      <c r="H36" s="17">
        <v>0.23749999999999999</v>
      </c>
      <c r="I36" s="17">
        <v>0.23749999999999999</v>
      </c>
      <c r="J36" s="17">
        <v>0.23749999999999999</v>
      </c>
      <c r="K36" s="17">
        <v>0.23749999999999999</v>
      </c>
      <c r="L36" s="17">
        <v>0.23749999999999999</v>
      </c>
      <c r="M36" s="17">
        <v>0.23749999999999999</v>
      </c>
      <c r="N36" s="17">
        <v>0.23749999999999999</v>
      </c>
      <c r="O36" s="17">
        <v>0.23749999999999999</v>
      </c>
      <c r="P36" s="17">
        <v>0.23749999999999999</v>
      </c>
      <c r="Q36" s="17">
        <v>0.23749999999999999</v>
      </c>
      <c r="R36" s="17">
        <v>0.23749999999999999</v>
      </c>
      <c r="S36" s="17">
        <v>0.23749999999999999</v>
      </c>
      <c r="T36" s="17">
        <v>0.23749999999999999</v>
      </c>
      <c r="U36" s="17">
        <v>0.23749999999999999</v>
      </c>
      <c r="V36" s="17">
        <v>0.23749999999999999</v>
      </c>
      <c r="W36" s="17">
        <v>0.23749999999999999</v>
      </c>
      <c r="X36" s="17">
        <v>0.23749999999999999</v>
      </c>
      <c r="Y36" s="17">
        <v>0.23749999999999999</v>
      </c>
      <c r="Z36" s="17">
        <v>0.23749999999999999</v>
      </c>
      <c r="AA36" s="17">
        <v>0.23749999999999999</v>
      </c>
      <c r="AB36" s="17">
        <v>0.23749999999999999</v>
      </c>
      <c r="AC36" s="17">
        <v>0.23749999999999999</v>
      </c>
      <c r="AD36" s="17">
        <v>0.23749999999999999</v>
      </c>
      <c r="AE36" s="17">
        <v>0.23749999999999999</v>
      </c>
      <c r="AF36" s="17">
        <v>0.23749999999999999</v>
      </c>
      <c r="AG36" s="17">
        <v>0.23749999999999999</v>
      </c>
      <c r="AH36" s="17">
        <v>0.23749999999999999</v>
      </c>
      <c r="AI36" s="17">
        <v>0.23749999999999999</v>
      </c>
      <c r="AJ36" s="17">
        <v>0.23749999999999999</v>
      </c>
      <c r="AK36" s="18">
        <v>0.23749999999999999</v>
      </c>
      <c r="AL36" s="3"/>
    </row>
    <row r="37" spans="2:38">
      <c r="B37" s="3"/>
      <c r="C37" s="12" t="str">
        <f>"EL 5: " &amp; INDEX(_doName,7,6)</f>
        <v>EL 5: EL 5</v>
      </c>
      <c r="D37" s="16" t="s">
        <v>35</v>
      </c>
      <c r="E37" s="145">
        <v>0.1439</v>
      </c>
      <c r="F37" s="17">
        <f t="array" ref="F37:AK37">$E$37</f>
        <v>0.1439</v>
      </c>
      <c r="G37" s="17">
        <v>0.1439</v>
      </c>
      <c r="H37" s="17">
        <v>0.1439</v>
      </c>
      <c r="I37" s="17">
        <v>0.1439</v>
      </c>
      <c r="J37" s="17">
        <v>0.1439</v>
      </c>
      <c r="K37" s="17">
        <v>0.1439</v>
      </c>
      <c r="L37" s="17">
        <v>0.1439</v>
      </c>
      <c r="M37" s="17">
        <v>0.1439</v>
      </c>
      <c r="N37" s="17">
        <v>0.1439</v>
      </c>
      <c r="O37" s="17">
        <v>0.1439</v>
      </c>
      <c r="P37" s="17">
        <v>0.1439</v>
      </c>
      <c r="Q37" s="17">
        <v>0.1439</v>
      </c>
      <c r="R37" s="17">
        <v>0.1439</v>
      </c>
      <c r="S37" s="17">
        <v>0.1439</v>
      </c>
      <c r="T37" s="17">
        <v>0.1439</v>
      </c>
      <c r="U37" s="17">
        <v>0.1439</v>
      </c>
      <c r="V37" s="17">
        <v>0.1439</v>
      </c>
      <c r="W37" s="17">
        <v>0.1439</v>
      </c>
      <c r="X37" s="17">
        <v>0.1439</v>
      </c>
      <c r="Y37" s="17">
        <v>0.1439</v>
      </c>
      <c r="Z37" s="17">
        <v>0.1439</v>
      </c>
      <c r="AA37" s="17">
        <v>0.1439</v>
      </c>
      <c r="AB37" s="17">
        <v>0.1439</v>
      </c>
      <c r="AC37" s="17">
        <v>0.1439</v>
      </c>
      <c r="AD37" s="17">
        <v>0.1439</v>
      </c>
      <c r="AE37" s="17">
        <v>0.1439</v>
      </c>
      <c r="AF37" s="17">
        <v>0.1439</v>
      </c>
      <c r="AG37" s="17">
        <v>0.1439</v>
      </c>
      <c r="AH37" s="17">
        <v>0.1439</v>
      </c>
      <c r="AI37" s="17">
        <v>0.1439</v>
      </c>
      <c r="AJ37" s="17">
        <v>0.1439</v>
      </c>
      <c r="AK37" s="18">
        <v>0.1439</v>
      </c>
      <c r="AL37" s="3"/>
    </row>
    <row r="38" spans="2:38">
      <c r="B38" s="3"/>
      <c r="C38" s="4" t="str">
        <f>"EL 6: " &amp; INDEX(_doName,7,7)</f>
        <v>EL 6: EL 6</v>
      </c>
      <c r="D38" s="5" t="s">
        <v>35</v>
      </c>
      <c r="E38" s="146">
        <v>0.45050000000000001</v>
      </c>
      <c r="F38" s="19">
        <f t="array" ref="F38:AK38">$E$38</f>
        <v>0.45050000000000001</v>
      </c>
      <c r="G38" s="19">
        <v>0.45050000000000001</v>
      </c>
      <c r="H38" s="19">
        <v>0.45050000000000001</v>
      </c>
      <c r="I38" s="19">
        <v>0.45050000000000001</v>
      </c>
      <c r="J38" s="19">
        <v>0.45050000000000001</v>
      </c>
      <c r="K38" s="19">
        <v>0.45050000000000001</v>
      </c>
      <c r="L38" s="19">
        <v>0.45050000000000001</v>
      </c>
      <c r="M38" s="19">
        <v>0.45050000000000001</v>
      </c>
      <c r="N38" s="19">
        <v>0.45050000000000001</v>
      </c>
      <c r="O38" s="19">
        <v>0.45050000000000001</v>
      </c>
      <c r="P38" s="19">
        <v>0.45050000000000001</v>
      </c>
      <c r="Q38" s="19">
        <v>0.45050000000000001</v>
      </c>
      <c r="R38" s="19">
        <v>0.45050000000000001</v>
      </c>
      <c r="S38" s="19">
        <v>0.45050000000000001</v>
      </c>
      <c r="T38" s="19">
        <v>0.45050000000000001</v>
      </c>
      <c r="U38" s="19">
        <v>0.45050000000000001</v>
      </c>
      <c r="V38" s="19">
        <v>0.45050000000000001</v>
      </c>
      <c r="W38" s="19">
        <v>0.45050000000000001</v>
      </c>
      <c r="X38" s="19">
        <v>0.45050000000000001</v>
      </c>
      <c r="Y38" s="19">
        <v>0.45050000000000001</v>
      </c>
      <c r="Z38" s="19">
        <v>0.45050000000000001</v>
      </c>
      <c r="AA38" s="19">
        <v>0.45050000000000001</v>
      </c>
      <c r="AB38" s="19">
        <v>0.45050000000000001</v>
      </c>
      <c r="AC38" s="19">
        <v>0.45050000000000001</v>
      </c>
      <c r="AD38" s="19">
        <v>0.45050000000000001</v>
      </c>
      <c r="AE38" s="19">
        <v>0.45050000000000001</v>
      </c>
      <c r="AF38" s="19">
        <v>0.45050000000000001</v>
      </c>
      <c r="AG38" s="19">
        <v>0.45050000000000001</v>
      </c>
      <c r="AH38" s="19">
        <v>0.45050000000000001</v>
      </c>
      <c r="AI38" s="19">
        <v>0.45050000000000001</v>
      </c>
      <c r="AJ38" s="19">
        <v>0.45050000000000001</v>
      </c>
      <c r="AK38" s="20">
        <v>0.45050000000000001</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INDEX(_doName,7,1)</f>
        <v>EL 0: EL 0</v>
      </c>
      <c r="D41" s="16" t="s">
        <v>35</v>
      </c>
      <c r="E41" s="145">
        <f>INDEX(bcPRV,1)</f>
        <v>1.5299999999999999E-2</v>
      </c>
      <c r="F41" s="17">
        <f t="array" ref="F41:AK41">$E$41</f>
        <v>1.5299999999999999E-2</v>
      </c>
      <c r="G41" s="17">
        <v>1.5299999999999999E-2</v>
      </c>
      <c r="H41" s="17">
        <v>1.5299999999999999E-2</v>
      </c>
      <c r="I41" s="17">
        <v>1.5299999999999999E-2</v>
      </c>
      <c r="J41" s="17">
        <v>1.5299999999999999E-2</v>
      </c>
      <c r="K41" s="17">
        <v>1.5299999999999999E-2</v>
      </c>
      <c r="L41" s="17">
        <v>1.5299999999999999E-2</v>
      </c>
      <c r="M41" s="17">
        <v>1.5299999999999999E-2</v>
      </c>
      <c r="N41" s="17">
        <v>1.5299999999999999E-2</v>
      </c>
      <c r="O41" s="17">
        <v>1.5299999999999999E-2</v>
      </c>
      <c r="P41" s="17">
        <v>1.5299999999999999E-2</v>
      </c>
      <c r="Q41" s="17">
        <v>1.5299999999999999E-2</v>
      </c>
      <c r="R41" s="17">
        <v>1.5299999999999999E-2</v>
      </c>
      <c r="S41" s="17">
        <v>1.5299999999999999E-2</v>
      </c>
      <c r="T41" s="17">
        <v>1.5299999999999999E-2</v>
      </c>
      <c r="U41" s="17">
        <v>1.5299999999999999E-2</v>
      </c>
      <c r="V41" s="17">
        <v>1.5299999999999999E-2</v>
      </c>
      <c r="W41" s="17">
        <v>1.5299999999999999E-2</v>
      </c>
      <c r="X41" s="17">
        <v>1.5299999999999999E-2</v>
      </c>
      <c r="Y41" s="17">
        <v>1.5299999999999999E-2</v>
      </c>
      <c r="Z41" s="17">
        <v>1.5299999999999999E-2</v>
      </c>
      <c r="AA41" s="17">
        <v>1.5299999999999999E-2</v>
      </c>
      <c r="AB41" s="17">
        <v>1.5299999999999999E-2</v>
      </c>
      <c r="AC41" s="17">
        <v>1.5299999999999999E-2</v>
      </c>
      <c r="AD41" s="17">
        <v>1.5299999999999999E-2</v>
      </c>
      <c r="AE41" s="17">
        <v>1.5299999999999999E-2</v>
      </c>
      <c r="AF41" s="17">
        <v>1.5299999999999999E-2</v>
      </c>
      <c r="AG41" s="17">
        <v>1.5299999999999999E-2</v>
      </c>
      <c r="AH41" s="17">
        <v>1.5299999999999999E-2</v>
      </c>
      <c r="AI41" s="17">
        <v>1.5299999999999999E-2</v>
      </c>
      <c r="AJ41" s="17">
        <v>1.5299999999999999E-2</v>
      </c>
      <c r="AK41" s="18">
        <v>1.5299999999999999E-2</v>
      </c>
      <c r="AL41" s="3"/>
    </row>
    <row r="42" spans="2:38">
      <c r="B42" s="3"/>
      <c r="C42" s="12" t="str">
        <f>"EL 1: " &amp; INDEX(_doName,7,2)</f>
        <v>EL 1: EL 1</v>
      </c>
      <c r="D42" s="16" t="s">
        <v>35</v>
      </c>
      <c r="E42" s="145">
        <f>INDEX(bcPRV,2)</f>
        <v>9.6600000000000005E-2</v>
      </c>
      <c r="F42" s="17">
        <f t="array" ref="F42:AK42">$E$42</f>
        <v>9.6600000000000005E-2</v>
      </c>
      <c r="G42" s="17">
        <v>9.6600000000000005E-2</v>
      </c>
      <c r="H42" s="17">
        <v>9.6600000000000005E-2</v>
      </c>
      <c r="I42" s="17">
        <v>9.6600000000000005E-2</v>
      </c>
      <c r="J42" s="17">
        <v>9.6600000000000005E-2</v>
      </c>
      <c r="K42" s="17">
        <v>9.6600000000000005E-2</v>
      </c>
      <c r="L42" s="17">
        <v>9.6600000000000005E-2</v>
      </c>
      <c r="M42" s="17">
        <v>9.6600000000000005E-2</v>
      </c>
      <c r="N42" s="17">
        <v>9.6600000000000005E-2</v>
      </c>
      <c r="O42" s="17">
        <v>9.6600000000000005E-2</v>
      </c>
      <c r="P42" s="17">
        <v>9.6600000000000005E-2</v>
      </c>
      <c r="Q42" s="17">
        <v>9.6600000000000005E-2</v>
      </c>
      <c r="R42" s="17">
        <v>9.6600000000000005E-2</v>
      </c>
      <c r="S42" s="17">
        <v>9.6600000000000005E-2</v>
      </c>
      <c r="T42" s="17">
        <v>9.6600000000000005E-2</v>
      </c>
      <c r="U42" s="17">
        <v>9.6600000000000005E-2</v>
      </c>
      <c r="V42" s="17">
        <v>9.6600000000000005E-2</v>
      </c>
      <c r="W42" s="17">
        <v>9.6600000000000005E-2</v>
      </c>
      <c r="X42" s="17">
        <v>9.6600000000000005E-2</v>
      </c>
      <c r="Y42" s="17">
        <v>9.6600000000000005E-2</v>
      </c>
      <c r="Z42" s="17">
        <v>9.6600000000000005E-2</v>
      </c>
      <c r="AA42" s="17">
        <v>9.6600000000000005E-2</v>
      </c>
      <c r="AB42" s="17">
        <v>9.6600000000000005E-2</v>
      </c>
      <c r="AC42" s="17">
        <v>9.6600000000000005E-2</v>
      </c>
      <c r="AD42" s="17">
        <v>9.6600000000000005E-2</v>
      </c>
      <c r="AE42" s="17">
        <v>9.6600000000000005E-2</v>
      </c>
      <c r="AF42" s="17">
        <v>9.6600000000000005E-2</v>
      </c>
      <c r="AG42" s="17">
        <v>9.6600000000000005E-2</v>
      </c>
      <c r="AH42" s="17">
        <v>9.6600000000000005E-2</v>
      </c>
      <c r="AI42" s="17">
        <v>9.6600000000000005E-2</v>
      </c>
      <c r="AJ42" s="17">
        <v>9.6600000000000005E-2</v>
      </c>
      <c r="AK42" s="18">
        <v>9.6600000000000005E-2</v>
      </c>
      <c r="AL42" s="3"/>
    </row>
    <row r="43" spans="2:38">
      <c r="B43" s="3"/>
      <c r="C43" s="12" t="str">
        <f>"EL 2: " &amp; INDEX(_doName,7,3)</f>
        <v>EL 2: EL 2</v>
      </c>
      <c r="D43" s="16" t="s">
        <v>35</v>
      </c>
      <c r="E43" s="145">
        <f>INDEX(bcPRV,3)</f>
        <v>3.5000000000000003E-2</v>
      </c>
      <c r="F43" s="17">
        <f t="array" ref="F43:AK43">$E$43</f>
        <v>3.5000000000000003E-2</v>
      </c>
      <c r="G43" s="17">
        <v>3.5000000000000003E-2</v>
      </c>
      <c r="H43" s="17">
        <v>3.5000000000000003E-2</v>
      </c>
      <c r="I43" s="17">
        <v>3.5000000000000003E-2</v>
      </c>
      <c r="J43" s="17">
        <v>3.5000000000000003E-2</v>
      </c>
      <c r="K43" s="17">
        <v>3.5000000000000003E-2</v>
      </c>
      <c r="L43" s="17">
        <v>3.5000000000000003E-2</v>
      </c>
      <c r="M43" s="17">
        <v>3.5000000000000003E-2</v>
      </c>
      <c r="N43" s="17">
        <v>3.5000000000000003E-2</v>
      </c>
      <c r="O43" s="17">
        <v>3.5000000000000003E-2</v>
      </c>
      <c r="P43" s="17">
        <v>3.5000000000000003E-2</v>
      </c>
      <c r="Q43" s="17">
        <v>3.5000000000000003E-2</v>
      </c>
      <c r="R43" s="17">
        <v>3.5000000000000003E-2</v>
      </c>
      <c r="S43" s="17">
        <v>3.5000000000000003E-2</v>
      </c>
      <c r="T43" s="17">
        <v>3.5000000000000003E-2</v>
      </c>
      <c r="U43" s="17">
        <v>3.5000000000000003E-2</v>
      </c>
      <c r="V43" s="17">
        <v>3.5000000000000003E-2</v>
      </c>
      <c r="W43" s="17">
        <v>3.5000000000000003E-2</v>
      </c>
      <c r="X43" s="17">
        <v>3.5000000000000003E-2</v>
      </c>
      <c r="Y43" s="17">
        <v>3.5000000000000003E-2</v>
      </c>
      <c r="Z43" s="17">
        <v>3.5000000000000003E-2</v>
      </c>
      <c r="AA43" s="17">
        <v>3.5000000000000003E-2</v>
      </c>
      <c r="AB43" s="17">
        <v>3.5000000000000003E-2</v>
      </c>
      <c r="AC43" s="17">
        <v>3.5000000000000003E-2</v>
      </c>
      <c r="AD43" s="17">
        <v>3.5000000000000003E-2</v>
      </c>
      <c r="AE43" s="17">
        <v>3.5000000000000003E-2</v>
      </c>
      <c r="AF43" s="17">
        <v>3.5000000000000003E-2</v>
      </c>
      <c r="AG43" s="17">
        <v>3.5000000000000003E-2</v>
      </c>
      <c r="AH43" s="17">
        <v>3.5000000000000003E-2</v>
      </c>
      <c r="AI43" s="17">
        <v>3.5000000000000003E-2</v>
      </c>
      <c r="AJ43" s="17">
        <v>3.5000000000000003E-2</v>
      </c>
      <c r="AK43" s="18">
        <v>3.5000000000000003E-2</v>
      </c>
      <c r="AL43" s="3"/>
    </row>
    <row r="44" spans="2:38">
      <c r="B44" s="3"/>
      <c r="C44" s="12" t="str">
        <f>"EL 3: " &amp; INDEX(_doName,7,4)</f>
        <v>EL 3: EL 3</v>
      </c>
      <c r="D44" s="16" t="s">
        <v>35</v>
      </c>
      <c r="E44" s="145">
        <f>INDEX(bcPRV,4)</f>
        <v>2.12E-2</v>
      </c>
      <c r="F44" s="17">
        <f t="array" ref="F44:AK44">$E$44</f>
        <v>2.12E-2</v>
      </c>
      <c r="G44" s="17">
        <v>2.12E-2</v>
      </c>
      <c r="H44" s="17">
        <v>2.12E-2</v>
      </c>
      <c r="I44" s="17">
        <v>2.12E-2</v>
      </c>
      <c r="J44" s="17">
        <v>2.12E-2</v>
      </c>
      <c r="K44" s="17">
        <v>2.12E-2</v>
      </c>
      <c r="L44" s="17">
        <v>2.12E-2</v>
      </c>
      <c r="M44" s="17">
        <v>2.12E-2</v>
      </c>
      <c r="N44" s="17">
        <v>2.12E-2</v>
      </c>
      <c r="O44" s="17">
        <v>2.12E-2</v>
      </c>
      <c r="P44" s="17">
        <v>2.12E-2</v>
      </c>
      <c r="Q44" s="17">
        <v>2.12E-2</v>
      </c>
      <c r="R44" s="17">
        <v>2.12E-2</v>
      </c>
      <c r="S44" s="17">
        <v>2.12E-2</v>
      </c>
      <c r="T44" s="17">
        <v>2.12E-2</v>
      </c>
      <c r="U44" s="17">
        <v>2.12E-2</v>
      </c>
      <c r="V44" s="17">
        <v>2.12E-2</v>
      </c>
      <c r="W44" s="17">
        <v>2.12E-2</v>
      </c>
      <c r="X44" s="17">
        <v>2.12E-2</v>
      </c>
      <c r="Y44" s="17">
        <v>2.12E-2</v>
      </c>
      <c r="Z44" s="17">
        <v>2.12E-2</v>
      </c>
      <c r="AA44" s="17">
        <v>2.12E-2</v>
      </c>
      <c r="AB44" s="17">
        <v>2.12E-2</v>
      </c>
      <c r="AC44" s="17">
        <v>2.12E-2</v>
      </c>
      <c r="AD44" s="17">
        <v>2.12E-2</v>
      </c>
      <c r="AE44" s="17">
        <v>2.12E-2</v>
      </c>
      <c r="AF44" s="17">
        <v>2.12E-2</v>
      </c>
      <c r="AG44" s="17">
        <v>2.12E-2</v>
      </c>
      <c r="AH44" s="17">
        <v>2.12E-2</v>
      </c>
      <c r="AI44" s="17">
        <v>2.12E-2</v>
      </c>
      <c r="AJ44" s="17">
        <v>2.12E-2</v>
      </c>
      <c r="AK44" s="18">
        <v>2.12E-2</v>
      </c>
      <c r="AL44" s="3"/>
    </row>
    <row r="45" spans="2:38">
      <c r="B45" s="3"/>
      <c r="C45" s="12" t="str">
        <f>"EL 4: " &amp; INDEX(_doName,7,5)</f>
        <v>EL 4: EL 4</v>
      </c>
      <c r="D45" s="16" t="s">
        <v>35</v>
      </c>
      <c r="E45" s="145">
        <f>INDEX(bcPRV,5)</f>
        <v>0.23749999999999999</v>
      </c>
      <c r="F45" s="17">
        <f t="array" ref="F45:AK45">$E$45</f>
        <v>0.23749999999999999</v>
      </c>
      <c r="G45" s="17">
        <v>0.23749999999999999</v>
      </c>
      <c r="H45" s="17">
        <v>0.23749999999999999</v>
      </c>
      <c r="I45" s="17">
        <v>0.23749999999999999</v>
      </c>
      <c r="J45" s="17">
        <v>0.23749999999999999</v>
      </c>
      <c r="K45" s="17">
        <v>0.23749999999999999</v>
      </c>
      <c r="L45" s="17">
        <v>0.23749999999999999</v>
      </c>
      <c r="M45" s="17">
        <v>0.23749999999999999</v>
      </c>
      <c r="N45" s="17">
        <v>0.23749999999999999</v>
      </c>
      <c r="O45" s="17">
        <v>0.23749999999999999</v>
      </c>
      <c r="P45" s="17">
        <v>0.23749999999999999</v>
      </c>
      <c r="Q45" s="17">
        <v>0.23749999999999999</v>
      </c>
      <c r="R45" s="17">
        <v>0.23749999999999999</v>
      </c>
      <c r="S45" s="17">
        <v>0.23749999999999999</v>
      </c>
      <c r="T45" s="17">
        <v>0.23749999999999999</v>
      </c>
      <c r="U45" s="17">
        <v>0.23749999999999999</v>
      </c>
      <c r="V45" s="17">
        <v>0.23749999999999999</v>
      </c>
      <c r="W45" s="17">
        <v>0.23749999999999999</v>
      </c>
      <c r="X45" s="17">
        <v>0.23749999999999999</v>
      </c>
      <c r="Y45" s="17">
        <v>0.23749999999999999</v>
      </c>
      <c r="Z45" s="17">
        <v>0.23749999999999999</v>
      </c>
      <c r="AA45" s="17">
        <v>0.23749999999999999</v>
      </c>
      <c r="AB45" s="17">
        <v>0.23749999999999999</v>
      </c>
      <c r="AC45" s="17">
        <v>0.23749999999999999</v>
      </c>
      <c r="AD45" s="17">
        <v>0.23749999999999999</v>
      </c>
      <c r="AE45" s="17">
        <v>0.23749999999999999</v>
      </c>
      <c r="AF45" s="17">
        <v>0.23749999999999999</v>
      </c>
      <c r="AG45" s="17">
        <v>0.23749999999999999</v>
      </c>
      <c r="AH45" s="17">
        <v>0.23749999999999999</v>
      </c>
      <c r="AI45" s="17">
        <v>0.23749999999999999</v>
      </c>
      <c r="AJ45" s="17">
        <v>0.23749999999999999</v>
      </c>
      <c r="AK45" s="18">
        <v>0.23749999999999999</v>
      </c>
      <c r="AL45" s="3"/>
    </row>
    <row r="46" spans="2:38">
      <c r="B46" s="3"/>
      <c r="C46" s="12" t="str">
        <f>"EL 5: " &amp; INDEX(_doName,7,6)</f>
        <v>EL 5: EL 5</v>
      </c>
      <c r="D46" s="16" t="s">
        <v>35</v>
      </c>
      <c r="E46" s="145">
        <f>INDEX(bcPRV,6)</f>
        <v>0.1439</v>
      </c>
      <c r="F46" s="17">
        <f t="array" ref="F46:AK46">$E$46</f>
        <v>0.1439</v>
      </c>
      <c r="G46" s="17">
        <v>0.1439</v>
      </c>
      <c r="H46" s="17">
        <v>0.1439</v>
      </c>
      <c r="I46" s="17">
        <v>0.1439</v>
      </c>
      <c r="J46" s="17">
        <v>0.1439</v>
      </c>
      <c r="K46" s="17">
        <v>0.1439</v>
      </c>
      <c r="L46" s="17">
        <v>0.1439</v>
      </c>
      <c r="M46" s="17">
        <v>0.1439</v>
      </c>
      <c r="N46" s="17">
        <v>0.1439</v>
      </c>
      <c r="O46" s="17">
        <v>0.1439</v>
      </c>
      <c r="P46" s="17">
        <v>0.1439</v>
      </c>
      <c r="Q46" s="17">
        <v>0.1439</v>
      </c>
      <c r="R46" s="17">
        <v>0.1439</v>
      </c>
      <c r="S46" s="17">
        <v>0.1439</v>
      </c>
      <c r="T46" s="17">
        <v>0.1439</v>
      </c>
      <c r="U46" s="17">
        <v>0.1439</v>
      </c>
      <c r="V46" s="17">
        <v>0.1439</v>
      </c>
      <c r="W46" s="17">
        <v>0.1439</v>
      </c>
      <c r="X46" s="17">
        <v>0.1439</v>
      </c>
      <c r="Y46" s="17">
        <v>0.1439</v>
      </c>
      <c r="Z46" s="17">
        <v>0.1439</v>
      </c>
      <c r="AA46" s="17">
        <v>0.1439</v>
      </c>
      <c r="AB46" s="17">
        <v>0.1439</v>
      </c>
      <c r="AC46" s="17">
        <v>0.1439</v>
      </c>
      <c r="AD46" s="17">
        <v>0.1439</v>
      </c>
      <c r="AE46" s="17">
        <v>0.1439</v>
      </c>
      <c r="AF46" s="17">
        <v>0.1439</v>
      </c>
      <c r="AG46" s="17">
        <v>0.1439</v>
      </c>
      <c r="AH46" s="17">
        <v>0.1439</v>
      </c>
      <c r="AI46" s="17">
        <v>0.1439</v>
      </c>
      <c r="AJ46" s="17">
        <v>0.1439</v>
      </c>
      <c r="AK46" s="18">
        <v>0.1439</v>
      </c>
      <c r="AL46" s="3"/>
    </row>
    <row r="47" spans="2:38">
      <c r="B47" s="3"/>
      <c r="C47" s="4" t="str">
        <f>"EL 6: " &amp; INDEX(_doName,7,7)</f>
        <v>EL 6: EL 6</v>
      </c>
      <c r="D47" s="5" t="s">
        <v>35</v>
      </c>
      <c r="E47" s="146">
        <f>INDEX(bcPRV,7)</f>
        <v>0.45050000000000001</v>
      </c>
      <c r="F47" s="19">
        <f t="array" ref="F47:AK47">$E$47</f>
        <v>0.45050000000000001</v>
      </c>
      <c r="G47" s="19">
        <v>0.45050000000000001</v>
      </c>
      <c r="H47" s="19">
        <v>0.45050000000000001</v>
      </c>
      <c r="I47" s="19">
        <v>0.45050000000000001</v>
      </c>
      <c r="J47" s="19">
        <v>0.45050000000000001</v>
      </c>
      <c r="K47" s="19">
        <v>0.45050000000000001</v>
      </c>
      <c r="L47" s="19">
        <v>0.45050000000000001</v>
      </c>
      <c r="M47" s="19">
        <v>0.45050000000000001</v>
      </c>
      <c r="N47" s="19">
        <v>0.45050000000000001</v>
      </c>
      <c r="O47" s="19">
        <v>0.45050000000000001</v>
      </c>
      <c r="P47" s="19">
        <v>0.45050000000000001</v>
      </c>
      <c r="Q47" s="19">
        <v>0.45050000000000001</v>
      </c>
      <c r="R47" s="19">
        <v>0.45050000000000001</v>
      </c>
      <c r="S47" s="19">
        <v>0.45050000000000001</v>
      </c>
      <c r="T47" s="19">
        <v>0.45050000000000001</v>
      </c>
      <c r="U47" s="19">
        <v>0.45050000000000001</v>
      </c>
      <c r="V47" s="19">
        <v>0.45050000000000001</v>
      </c>
      <c r="W47" s="19">
        <v>0.45050000000000001</v>
      </c>
      <c r="X47" s="19">
        <v>0.45050000000000001</v>
      </c>
      <c r="Y47" s="19">
        <v>0.45050000000000001</v>
      </c>
      <c r="Z47" s="19">
        <v>0.45050000000000001</v>
      </c>
      <c r="AA47" s="19">
        <v>0.45050000000000001</v>
      </c>
      <c r="AB47" s="19">
        <v>0.45050000000000001</v>
      </c>
      <c r="AC47" s="19">
        <v>0.45050000000000001</v>
      </c>
      <c r="AD47" s="19">
        <v>0.45050000000000001</v>
      </c>
      <c r="AE47" s="19">
        <v>0.45050000000000001</v>
      </c>
      <c r="AF47" s="19">
        <v>0.45050000000000001</v>
      </c>
      <c r="AG47" s="19">
        <v>0.45050000000000001</v>
      </c>
      <c r="AH47" s="19">
        <v>0.45050000000000001</v>
      </c>
      <c r="AI47" s="19">
        <v>0.45050000000000001</v>
      </c>
      <c r="AJ47" s="19">
        <v>0.45050000000000001</v>
      </c>
      <c r="AK47" s="20">
        <v>0.45050000000000001</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756.91380600000002</v>
      </c>
      <c r="F50" s="28">
        <f ca="1"/>
        <v>756.91380600000002</v>
      </c>
      <c r="G50" s="28">
        <f ca="1"/>
        <v>756.91380600000002</v>
      </c>
      <c r="H50" s="28">
        <f ca="1"/>
        <v>756.91380600000002</v>
      </c>
      <c r="I50" s="28">
        <f ca="1"/>
        <v>756.91380600000002</v>
      </c>
      <c r="J50" s="28">
        <f ca="1"/>
        <v>756.91380600000002</v>
      </c>
      <c r="K50" s="28">
        <f ca="1"/>
        <v>756.91380600000002</v>
      </c>
      <c r="L50" s="28">
        <f ca="1"/>
        <v>756.91380600000002</v>
      </c>
      <c r="M50" s="28">
        <f ca="1"/>
        <v>756.91380600000002</v>
      </c>
      <c r="N50" s="28">
        <f ca="1"/>
        <v>756.91380600000002</v>
      </c>
      <c r="O50" s="28">
        <f ca="1"/>
        <v>756.91380600000002</v>
      </c>
      <c r="P50" s="28">
        <f ca="1"/>
        <v>756.91380600000002</v>
      </c>
      <c r="Q50" s="28">
        <f ca="1"/>
        <v>756.91380600000002</v>
      </c>
      <c r="R50" s="28">
        <f ca="1"/>
        <v>756.91380600000002</v>
      </c>
      <c r="S50" s="28">
        <f ca="1"/>
        <v>756.91380600000002</v>
      </c>
      <c r="T50" s="28">
        <f ca="1"/>
        <v>756.91380600000002</v>
      </c>
      <c r="U50" s="28">
        <f ca="1"/>
        <v>756.91380600000002</v>
      </c>
      <c r="V50" s="28">
        <f ca="1"/>
        <v>756.91380600000002</v>
      </c>
      <c r="W50" s="28">
        <f ca="1"/>
        <v>756.91380600000002</v>
      </c>
      <c r="X50" s="28">
        <f ca="1"/>
        <v>756.91380600000002</v>
      </c>
      <c r="Y50" s="28">
        <f ca="1"/>
        <v>756.91380600000002</v>
      </c>
      <c r="Z50" s="28">
        <f ca="1"/>
        <v>756.91380600000002</v>
      </c>
      <c r="AA50" s="28">
        <f ca="1"/>
        <v>756.91380600000002</v>
      </c>
      <c r="AB50" s="28">
        <f ca="1"/>
        <v>756.91380600000002</v>
      </c>
      <c r="AC50" s="28">
        <f ca="1"/>
        <v>756.91380600000002</v>
      </c>
      <c r="AD50" s="28">
        <f ca="1"/>
        <v>756.91380600000002</v>
      </c>
      <c r="AE50" s="28">
        <f ca="1"/>
        <v>756.91380600000002</v>
      </c>
      <c r="AF50" s="28">
        <f ca="1"/>
        <v>756.91380600000002</v>
      </c>
      <c r="AG50" s="28">
        <f ca="1"/>
        <v>756.91380600000002</v>
      </c>
      <c r="AH50" s="28">
        <f ca="1"/>
        <v>756.91380600000002</v>
      </c>
      <c r="AI50" s="28">
        <f ca="1"/>
        <v>756.91380600000002</v>
      </c>
      <c r="AJ50" s="28">
        <f ca="1"/>
        <v>756.91380600000002</v>
      </c>
      <c r="AK50" s="29">
        <f ca="1"/>
        <v>756.91380600000002</v>
      </c>
      <c r="AL50" s="3"/>
    </row>
    <row r="51" spans="2:38" hidden="1">
      <c r="B51" s="3"/>
      <c r="C51" s="12"/>
      <c r="D51" s="16"/>
      <c r="E51" s="141">
        <f t="array" aca="1" ref="E51:AK51" ca="1">tlccQubc1</f>
        <v>818.92902000000004</v>
      </c>
      <c r="F51" s="28">
        <f ca="1"/>
        <v>818.92902000000004</v>
      </c>
      <c r="G51" s="28">
        <f ca="1"/>
        <v>818.92902000000004</v>
      </c>
      <c r="H51" s="28">
        <f ca="1"/>
        <v>818.92902000000004</v>
      </c>
      <c r="I51" s="28">
        <f ca="1"/>
        <v>818.92902000000004</v>
      </c>
      <c r="J51" s="28">
        <f ca="1"/>
        <v>818.92902000000004</v>
      </c>
      <c r="K51" s="28">
        <f ca="1"/>
        <v>818.92902000000004</v>
      </c>
      <c r="L51" s="28">
        <f ca="1"/>
        <v>818.92902000000004</v>
      </c>
      <c r="M51" s="28">
        <f ca="1"/>
        <v>818.92902000000004</v>
      </c>
      <c r="N51" s="28">
        <f ca="1"/>
        <v>818.92902000000004</v>
      </c>
      <c r="O51" s="28">
        <f ca="1"/>
        <v>818.92902000000004</v>
      </c>
      <c r="P51" s="28">
        <f ca="1"/>
        <v>818.92902000000004</v>
      </c>
      <c r="Q51" s="28">
        <f ca="1"/>
        <v>818.92902000000004</v>
      </c>
      <c r="R51" s="28">
        <f ca="1"/>
        <v>818.92902000000004</v>
      </c>
      <c r="S51" s="28">
        <f ca="1"/>
        <v>818.92902000000004</v>
      </c>
      <c r="T51" s="28">
        <f ca="1"/>
        <v>818.92902000000004</v>
      </c>
      <c r="U51" s="28">
        <f ca="1"/>
        <v>818.92902000000004</v>
      </c>
      <c r="V51" s="28">
        <f ca="1"/>
        <v>818.92902000000004</v>
      </c>
      <c r="W51" s="28">
        <f ca="1"/>
        <v>818.92902000000004</v>
      </c>
      <c r="X51" s="28">
        <f ca="1"/>
        <v>818.92902000000004</v>
      </c>
      <c r="Y51" s="28">
        <f ca="1"/>
        <v>818.92902000000004</v>
      </c>
      <c r="Z51" s="28">
        <f ca="1"/>
        <v>818.92902000000004</v>
      </c>
      <c r="AA51" s="28">
        <f ca="1"/>
        <v>818.92902000000004</v>
      </c>
      <c r="AB51" s="28">
        <f ca="1"/>
        <v>818.92902000000004</v>
      </c>
      <c r="AC51" s="28">
        <f ca="1"/>
        <v>818.92902000000004</v>
      </c>
      <c r="AD51" s="28">
        <f ca="1"/>
        <v>818.92902000000004</v>
      </c>
      <c r="AE51" s="28">
        <f ca="1"/>
        <v>818.92902000000004</v>
      </c>
      <c r="AF51" s="28">
        <f ca="1"/>
        <v>818.92902000000004</v>
      </c>
      <c r="AG51" s="28">
        <f ca="1"/>
        <v>818.92902000000004</v>
      </c>
      <c r="AH51" s="28">
        <f ca="1"/>
        <v>818.92902000000004</v>
      </c>
      <c r="AI51" s="28">
        <f ca="1"/>
        <v>818.92902000000004</v>
      </c>
      <c r="AJ51" s="28">
        <f ca="1"/>
        <v>818.92902000000004</v>
      </c>
      <c r="AK51" s="29">
        <f ca="1"/>
        <v>818.92902000000004</v>
      </c>
      <c r="AL51" s="3"/>
    </row>
    <row r="52" spans="2:38" hidden="1">
      <c r="B52" s="3"/>
      <c r="C52" s="12"/>
      <c r="D52" s="16"/>
      <c r="E52" s="141">
        <f t="array" aca="1" ref="E52:AK52" ca="1">tlccQubc2</f>
        <v>2396.392218</v>
      </c>
      <c r="F52" s="28">
        <f ca="1"/>
        <v>2396.392218</v>
      </c>
      <c r="G52" s="28">
        <f ca="1"/>
        <v>2396.392218</v>
      </c>
      <c r="H52" s="28">
        <f ca="1"/>
        <v>2396.392218</v>
      </c>
      <c r="I52" s="28">
        <f ca="1"/>
        <v>2396.392218</v>
      </c>
      <c r="J52" s="28">
        <f ca="1"/>
        <v>2396.392218</v>
      </c>
      <c r="K52" s="28">
        <f ca="1"/>
        <v>2396.392218</v>
      </c>
      <c r="L52" s="28">
        <f ca="1"/>
        <v>2396.392218</v>
      </c>
      <c r="M52" s="28">
        <f ca="1"/>
        <v>2396.392218</v>
      </c>
      <c r="N52" s="28">
        <f ca="1"/>
        <v>2396.392218</v>
      </c>
      <c r="O52" s="28">
        <f ca="1"/>
        <v>2396.392218</v>
      </c>
      <c r="P52" s="28">
        <f ca="1"/>
        <v>2396.392218</v>
      </c>
      <c r="Q52" s="28">
        <f ca="1"/>
        <v>2396.392218</v>
      </c>
      <c r="R52" s="28">
        <f ca="1"/>
        <v>2396.392218</v>
      </c>
      <c r="S52" s="28">
        <f ca="1"/>
        <v>2396.392218</v>
      </c>
      <c r="T52" s="28">
        <f ca="1"/>
        <v>2396.392218</v>
      </c>
      <c r="U52" s="28">
        <f ca="1"/>
        <v>2396.392218</v>
      </c>
      <c r="V52" s="28">
        <f ca="1"/>
        <v>2396.392218</v>
      </c>
      <c r="W52" s="28">
        <f ca="1"/>
        <v>2396.392218</v>
      </c>
      <c r="X52" s="28">
        <f ca="1"/>
        <v>2396.392218</v>
      </c>
      <c r="Y52" s="28">
        <f ca="1"/>
        <v>2396.392218</v>
      </c>
      <c r="Z52" s="28">
        <f ca="1"/>
        <v>2396.392218</v>
      </c>
      <c r="AA52" s="28">
        <f ca="1"/>
        <v>2396.392218</v>
      </c>
      <c r="AB52" s="28">
        <f ca="1"/>
        <v>2396.392218</v>
      </c>
      <c r="AC52" s="28">
        <f ca="1"/>
        <v>2396.392218</v>
      </c>
      <c r="AD52" s="28">
        <f ca="1"/>
        <v>2396.392218</v>
      </c>
      <c r="AE52" s="28">
        <f ca="1"/>
        <v>2396.392218</v>
      </c>
      <c r="AF52" s="28">
        <f ca="1"/>
        <v>2396.392218</v>
      </c>
      <c r="AG52" s="28">
        <f ca="1"/>
        <v>2396.392218</v>
      </c>
      <c r="AH52" s="28">
        <f ca="1"/>
        <v>2396.392218</v>
      </c>
      <c r="AI52" s="28">
        <f ca="1"/>
        <v>2396.392218</v>
      </c>
      <c r="AJ52" s="28">
        <f ca="1"/>
        <v>2396.392218</v>
      </c>
      <c r="AK52" s="29">
        <f ca="1"/>
        <v>2396.392218</v>
      </c>
      <c r="AL52" s="3"/>
    </row>
    <row r="53" spans="2:38" hidden="1">
      <c r="B53" s="3"/>
      <c r="C53" s="12"/>
      <c r="D53" s="16"/>
      <c r="E53" s="141">
        <f t="array" aca="1" ref="E53:AK53" ca="1">tlccQubc3</f>
        <v>2337.5016719999999</v>
      </c>
      <c r="F53" s="28">
        <f ca="1"/>
        <v>2337.5016719999999</v>
      </c>
      <c r="G53" s="28">
        <f ca="1"/>
        <v>2337.5016719999999</v>
      </c>
      <c r="H53" s="28">
        <f ca="1"/>
        <v>2337.5016719999999</v>
      </c>
      <c r="I53" s="28">
        <f ca="1"/>
        <v>2337.5016719999999</v>
      </c>
      <c r="J53" s="28">
        <f ca="1"/>
        <v>2337.5016719999999</v>
      </c>
      <c r="K53" s="28">
        <f ca="1"/>
        <v>2337.5016719999999</v>
      </c>
      <c r="L53" s="28">
        <f ca="1"/>
        <v>2337.5016719999999</v>
      </c>
      <c r="M53" s="28">
        <f ca="1"/>
        <v>2337.5016719999999</v>
      </c>
      <c r="N53" s="28">
        <f ca="1"/>
        <v>2337.5016719999999</v>
      </c>
      <c r="O53" s="28">
        <f ca="1"/>
        <v>2337.5016719999999</v>
      </c>
      <c r="P53" s="28">
        <f ca="1"/>
        <v>2337.5016719999999</v>
      </c>
      <c r="Q53" s="28">
        <f ca="1"/>
        <v>2337.5016719999999</v>
      </c>
      <c r="R53" s="28">
        <f ca="1"/>
        <v>2337.5016719999999</v>
      </c>
      <c r="S53" s="28">
        <f ca="1"/>
        <v>2337.5016719999999</v>
      </c>
      <c r="T53" s="28">
        <f ca="1"/>
        <v>2337.5016719999999</v>
      </c>
      <c r="U53" s="28">
        <f ca="1"/>
        <v>2337.5016719999999</v>
      </c>
      <c r="V53" s="28">
        <f ca="1"/>
        <v>2337.5016719999999</v>
      </c>
      <c r="W53" s="28">
        <f ca="1"/>
        <v>2337.5016719999999</v>
      </c>
      <c r="X53" s="28">
        <f ca="1"/>
        <v>2337.5016719999999</v>
      </c>
      <c r="Y53" s="28">
        <f ca="1"/>
        <v>2337.5016719999999</v>
      </c>
      <c r="Z53" s="28">
        <f ca="1"/>
        <v>2337.5016719999999</v>
      </c>
      <c r="AA53" s="28">
        <f ca="1"/>
        <v>2337.5016719999999</v>
      </c>
      <c r="AB53" s="28">
        <f ca="1"/>
        <v>2337.5016719999999</v>
      </c>
      <c r="AC53" s="28">
        <f ca="1"/>
        <v>2337.5016719999999</v>
      </c>
      <c r="AD53" s="28">
        <f ca="1"/>
        <v>2337.5016719999999</v>
      </c>
      <c r="AE53" s="28">
        <f ca="1"/>
        <v>2337.5016719999999</v>
      </c>
      <c r="AF53" s="28">
        <f ca="1"/>
        <v>2337.5016719999999</v>
      </c>
      <c r="AG53" s="28">
        <f ca="1"/>
        <v>2337.5016719999999</v>
      </c>
      <c r="AH53" s="28">
        <f ca="1"/>
        <v>2337.5016719999999</v>
      </c>
      <c r="AI53" s="28">
        <f ca="1"/>
        <v>2337.5016719999999</v>
      </c>
      <c r="AJ53" s="28">
        <f ca="1"/>
        <v>2337.5016719999999</v>
      </c>
      <c r="AK53" s="29">
        <f ca="1"/>
        <v>2337.5016719999999</v>
      </c>
      <c r="AL53" s="3"/>
    </row>
    <row r="54" spans="2:38" hidden="1">
      <c r="B54" s="3"/>
      <c r="C54" s="12"/>
      <c r="D54" s="16"/>
      <c r="E54" s="141">
        <f t="array" aca="1" ref="E54:AK54" ca="1">tlccQubc4</f>
        <v>1688.0056619999998</v>
      </c>
      <c r="F54" s="28">
        <f ca="1"/>
        <v>1688.0056619999998</v>
      </c>
      <c r="G54" s="28">
        <f ca="1"/>
        <v>1688.0056619999998</v>
      </c>
      <c r="H54" s="28">
        <f ca="1"/>
        <v>1688.0056619999998</v>
      </c>
      <c r="I54" s="28">
        <f ca="1"/>
        <v>1688.0056619999998</v>
      </c>
      <c r="J54" s="28">
        <f ca="1"/>
        <v>1688.0056619999998</v>
      </c>
      <c r="K54" s="28">
        <f ca="1"/>
        <v>1688.0056619999998</v>
      </c>
      <c r="L54" s="28">
        <f ca="1"/>
        <v>1688.0056619999998</v>
      </c>
      <c r="M54" s="28">
        <f ca="1"/>
        <v>1688.0056619999998</v>
      </c>
      <c r="N54" s="28">
        <f ca="1"/>
        <v>1688.0056619999998</v>
      </c>
      <c r="O54" s="28">
        <f ca="1"/>
        <v>1688.0056619999998</v>
      </c>
      <c r="P54" s="28">
        <f ca="1"/>
        <v>1688.0056619999998</v>
      </c>
      <c r="Q54" s="28">
        <f ca="1"/>
        <v>1688.0056619999998</v>
      </c>
      <c r="R54" s="28">
        <f ca="1"/>
        <v>1688.0056619999998</v>
      </c>
      <c r="S54" s="28">
        <f ca="1"/>
        <v>1688.0056619999998</v>
      </c>
      <c r="T54" s="28">
        <f ca="1"/>
        <v>1688.0056619999998</v>
      </c>
      <c r="U54" s="28">
        <f ca="1"/>
        <v>1688.0056619999998</v>
      </c>
      <c r="V54" s="28">
        <f ca="1"/>
        <v>1688.0056619999998</v>
      </c>
      <c r="W54" s="28">
        <f ca="1"/>
        <v>1688.0056619999998</v>
      </c>
      <c r="X54" s="28">
        <f ca="1"/>
        <v>1688.0056619999998</v>
      </c>
      <c r="Y54" s="28">
        <f ca="1"/>
        <v>1688.0056619999998</v>
      </c>
      <c r="Z54" s="28">
        <f ca="1"/>
        <v>1688.0056619999998</v>
      </c>
      <c r="AA54" s="28">
        <f ca="1"/>
        <v>1688.0056619999998</v>
      </c>
      <c r="AB54" s="28">
        <f ca="1"/>
        <v>1688.0056619999998</v>
      </c>
      <c r="AC54" s="28">
        <f ca="1"/>
        <v>1688.0056619999998</v>
      </c>
      <c r="AD54" s="28">
        <f ca="1"/>
        <v>1688.0056619999998</v>
      </c>
      <c r="AE54" s="28">
        <f ca="1"/>
        <v>1688.0056619999998</v>
      </c>
      <c r="AF54" s="28">
        <f ca="1"/>
        <v>1688.0056619999998</v>
      </c>
      <c r="AG54" s="28">
        <f ca="1"/>
        <v>1688.0056619999998</v>
      </c>
      <c r="AH54" s="28">
        <f ca="1"/>
        <v>1688.0056619999998</v>
      </c>
      <c r="AI54" s="28">
        <f ca="1"/>
        <v>1688.0056619999998</v>
      </c>
      <c r="AJ54" s="28">
        <f ca="1"/>
        <v>1688.0056619999998</v>
      </c>
      <c r="AK54" s="29">
        <f ca="1"/>
        <v>1688.0056619999998</v>
      </c>
      <c r="AL54" s="3"/>
    </row>
    <row r="55" spans="2:38" hidden="1">
      <c r="B55" s="3"/>
      <c r="C55" s="12"/>
      <c r="D55" s="16"/>
      <c r="E55" s="141">
        <f t="array" aca="1" ref="E55:AK55" ca="1">tlccQubc5</f>
        <v>1768.0390200000002</v>
      </c>
      <c r="F55" s="28">
        <f ca="1"/>
        <v>1768.0390200000002</v>
      </c>
      <c r="G55" s="28">
        <f ca="1"/>
        <v>1768.0390200000002</v>
      </c>
      <c r="H55" s="28">
        <f ca="1"/>
        <v>1768.0390200000002</v>
      </c>
      <c r="I55" s="28">
        <f ca="1"/>
        <v>1768.0390200000002</v>
      </c>
      <c r="J55" s="28">
        <f ca="1"/>
        <v>1768.0390200000002</v>
      </c>
      <c r="K55" s="28">
        <f ca="1"/>
        <v>1768.0390200000002</v>
      </c>
      <c r="L55" s="28">
        <f ca="1"/>
        <v>1768.0390200000002</v>
      </c>
      <c r="M55" s="28">
        <f ca="1"/>
        <v>1768.0390200000002</v>
      </c>
      <c r="N55" s="28">
        <f ca="1"/>
        <v>1768.0390200000002</v>
      </c>
      <c r="O55" s="28">
        <f ca="1"/>
        <v>1768.0390200000002</v>
      </c>
      <c r="P55" s="28">
        <f ca="1"/>
        <v>1768.0390200000002</v>
      </c>
      <c r="Q55" s="28">
        <f ca="1"/>
        <v>1768.0390200000002</v>
      </c>
      <c r="R55" s="28">
        <f ca="1"/>
        <v>1768.0390200000002</v>
      </c>
      <c r="S55" s="28">
        <f ca="1"/>
        <v>1768.0390200000002</v>
      </c>
      <c r="T55" s="28">
        <f ca="1"/>
        <v>1768.0390200000002</v>
      </c>
      <c r="U55" s="28">
        <f ca="1"/>
        <v>1768.0390200000002</v>
      </c>
      <c r="V55" s="28">
        <f ca="1"/>
        <v>1768.0390200000002</v>
      </c>
      <c r="W55" s="28">
        <f ca="1"/>
        <v>1768.0390200000002</v>
      </c>
      <c r="X55" s="28">
        <f ca="1"/>
        <v>1768.0390200000002</v>
      </c>
      <c r="Y55" s="28">
        <f ca="1"/>
        <v>1768.0390200000002</v>
      </c>
      <c r="Z55" s="28">
        <f ca="1"/>
        <v>1768.0390200000002</v>
      </c>
      <c r="AA55" s="28">
        <f ca="1"/>
        <v>1768.0390200000002</v>
      </c>
      <c r="AB55" s="28">
        <f ca="1"/>
        <v>1768.0390200000002</v>
      </c>
      <c r="AC55" s="28">
        <f ca="1"/>
        <v>1768.0390200000002</v>
      </c>
      <c r="AD55" s="28">
        <f ca="1"/>
        <v>1768.0390200000002</v>
      </c>
      <c r="AE55" s="28">
        <f ca="1"/>
        <v>1768.0390200000002</v>
      </c>
      <c r="AF55" s="28">
        <f ca="1"/>
        <v>1768.0390200000002</v>
      </c>
      <c r="AG55" s="28">
        <f ca="1"/>
        <v>1768.0390200000002</v>
      </c>
      <c r="AH55" s="28">
        <f ca="1"/>
        <v>1768.0390200000002</v>
      </c>
      <c r="AI55" s="28">
        <f ca="1"/>
        <v>1768.0390200000002</v>
      </c>
      <c r="AJ55" s="28">
        <f ca="1"/>
        <v>1768.0390200000002</v>
      </c>
      <c r="AK55" s="29">
        <f ca="1"/>
        <v>1768.0390200000002</v>
      </c>
      <c r="AL55" s="3"/>
    </row>
    <row r="56" spans="2:38" hidden="1">
      <c r="B56" s="3"/>
      <c r="C56" s="4"/>
      <c r="D56" s="5"/>
      <c r="E56" s="147">
        <f t="array" aca="1" ref="E56:AK56" ca="1">tlccQubc6</f>
        <v>1427.6778320000001</v>
      </c>
      <c r="F56" s="35">
        <f ca="1"/>
        <v>1427.6778320000001</v>
      </c>
      <c r="G56" s="35">
        <f ca="1"/>
        <v>1427.6778320000001</v>
      </c>
      <c r="H56" s="35">
        <f ca="1"/>
        <v>1427.6778320000001</v>
      </c>
      <c r="I56" s="35">
        <f ca="1"/>
        <v>1427.6778320000001</v>
      </c>
      <c r="J56" s="35">
        <f ca="1"/>
        <v>1427.6778320000001</v>
      </c>
      <c r="K56" s="35">
        <f ca="1"/>
        <v>1427.6778320000001</v>
      </c>
      <c r="L56" s="35">
        <f ca="1"/>
        <v>1427.6778320000001</v>
      </c>
      <c r="M56" s="35">
        <f ca="1"/>
        <v>1427.6778320000001</v>
      </c>
      <c r="N56" s="35">
        <f ca="1"/>
        <v>1427.6778320000001</v>
      </c>
      <c r="O56" s="35">
        <f ca="1"/>
        <v>1427.6778320000001</v>
      </c>
      <c r="P56" s="35">
        <f ca="1"/>
        <v>1427.6778320000001</v>
      </c>
      <c r="Q56" s="35">
        <f ca="1"/>
        <v>1427.6778320000001</v>
      </c>
      <c r="R56" s="35">
        <f ca="1"/>
        <v>1427.6778320000001</v>
      </c>
      <c r="S56" s="35">
        <f ca="1"/>
        <v>1427.6778320000001</v>
      </c>
      <c r="T56" s="35">
        <f ca="1"/>
        <v>1427.6778320000001</v>
      </c>
      <c r="U56" s="35">
        <f ca="1"/>
        <v>1427.6778320000001</v>
      </c>
      <c r="V56" s="35">
        <f ca="1"/>
        <v>1427.6778320000001</v>
      </c>
      <c r="W56" s="35">
        <f ca="1"/>
        <v>1427.6778320000001</v>
      </c>
      <c r="X56" s="35">
        <f ca="1"/>
        <v>1427.6778320000001</v>
      </c>
      <c r="Y56" s="35">
        <f ca="1"/>
        <v>1427.6778320000001</v>
      </c>
      <c r="Z56" s="35">
        <f ca="1"/>
        <v>1427.6778320000001</v>
      </c>
      <c r="AA56" s="35">
        <f ca="1"/>
        <v>1427.6778320000001</v>
      </c>
      <c r="AB56" s="35">
        <f ca="1"/>
        <v>1427.6778320000001</v>
      </c>
      <c r="AC56" s="35">
        <f ca="1"/>
        <v>1427.6778320000001</v>
      </c>
      <c r="AD56" s="35">
        <f ca="1"/>
        <v>1427.6778320000001</v>
      </c>
      <c r="AE56" s="35">
        <f ca="1"/>
        <v>1427.6778320000001</v>
      </c>
      <c r="AF56" s="35">
        <f ca="1"/>
        <v>1427.6778320000001</v>
      </c>
      <c r="AG56" s="35">
        <f ca="1"/>
        <v>1427.6778320000001</v>
      </c>
      <c r="AH56" s="35">
        <f ca="1"/>
        <v>1427.6778320000001</v>
      </c>
      <c r="AI56" s="35">
        <f ca="1"/>
        <v>1427.6778320000001</v>
      </c>
      <c r="AJ56" s="35">
        <f ca="1"/>
        <v>1427.6778320000001</v>
      </c>
      <c r="AK56" s="36">
        <f ca="1"/>
        <v>1427.6778320000001</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12402.423852811251</v>
      </c>
      <c r="F59" s="28">
        <f ca="1"/>
        <v>12456.942058657811</v>
      </c>
      <c r="G59" s="28">
        <f ca="1"/>
        <v>12505.287215616714</v>
      </c>
      <c r="H59" s="28">
        <f ca="1"/>
        <v>12557.915503376269</v>
      </c>
      <c r="I59" s="28">
        <f ca="1"/>
        <v>12604.251553419537</v>
      </c>
      <c r="J59" s="28">
        <f ca="1"/>
        <v>12654.747315618828</v>
      </c>
      <c r="K59" s="28">
        <f ca="1"/>
        <v>12698.821147156377</v>
      </c>
      <c r="L59" s="28">
        <f ca="1"/>
        <v>12746.910473448459</v>
      </c>
      <c r="M59" s="28">
        <f ca="1"/>
        <v>12799.279390589378</v>
      </c>
      <c r="N59" s="28">
        <f ca="1"/>
        <v>12845.352335474836</v>
      </c>
      <c r="O59" s="28">
        <f ca="1"/>
        <v>12895.579174969531</v>
      </c>
      <c r="P59" s="28">
        <f ca="1"/>
        <v>12950.279130336607</v>
      </c>
      <c r="Q59" s="28">
        <f ca="1"/>
        <v>12998.863795429974</v>
      </c>
      <c r="R59" s="28">
        <f ca="1"/>
        <v>13051.782441286072</v>
      </c>
      <c r="S59" s="28">
        <f ca="1"/>
        <v>13098.472398885197</v>
      </c>
      <c r="T59" s="28">
        <f ca="1"/>
        <v>13149.371566846517</v>
      </c>
      <c r="U59" s="28">
        <f ca="1"/>
        <v>13204.829119676397</v>
      </c>
      <c r="V59" s="28">
        <f ca="1"/>
        <v>13254.229550731619</v>
      </c>
      <c r="W59" s="28">
        <f ca="1"/>
        <v>13308.059737838666</v>
      </c>
      <c r="X59" s="28">
        <f ca="1"/>
        <v>13355.746078316326</v>
      </c>
      <c r="Y59" s="28">
        <f ca="1"/>
        <v>13407.727516371609</v>
      </c>
      <c r="Z59" s="28">
        <f ca="1"/>
        <v>13464.369215579785</v>
      </c>
      <c r="AA59" s="28">
        <f ca="1"/>
        <v>13515.039598028816</v>
      </c>
      <c r="AB59" s="28">
        <f ca="1"/>
        <v>13570.274614768387</v>
      </c>
      <c r="AC59" s="28">
        <f ca="1"/>
        <v>13619.458848129965</v>
      </c>
      <c r="AD59" s="28">
        <f ca="1"/>
        <v>13673.075898206604</v>
      </c>
      <c r="AE59" s="28">
        <f ca="1"/>
        <v>13731.445805304953</v>
      </c>
      <c r="AF59" s="28">
        <f ca="1"/>
        <v>13783.998299381643</v>
      </c>
      <c r="AG59" s="28">
        <f ca="1"/>
        <v>13841.273277914375</v>
      </c>
      <c r="AH59" s="28">
        <f ca="1"/>
        <v>13892.656188012921</v>
      </c>
      <c r="AI59" s="28">
        <f ca="1"/>
        <v>13948.682189738132</v>
      </c>
      <c r="AJ59" s="28">
        <f ca="1"/>
        <v>13998.737673125917</v>
      </c>
      <c r="AK59" s="29">
        <f ca="1"/>
        <v>14053.346304285058</v>
      </c>
      <c r="AL59" s="3"/>
    </row>
    <row r="60" spans="2:38" hidden="1">
      <c r="B60" s="3"/>
      <c r="C60" s="12"/>
      <c r="D60" s="16"/>
      <c r="E60" s="141">
        <f t="array" aca="1" ref="E60:AK60" ca="1">tlccEubc1</f>
        <v>8653.2213091551075</v>
      </c>
      <c r="F60" s="28">
        <f ca="1"/>
        <v>8691.2588819849898</v>
      </c>
      <c r="G60" s="28">
        <f ca="1"/>
        <v>8724.98949362639</v>
      </c>
      <c r="H60" s="28">
        <f ca="1"/>
        <v>8761.7084629593191</v>
      </c>
      <c r="I60" s="28">
        <f ca="1"/>
        <v>8794.0373125757287</v>
      </c>
      <c r="J60" s="28">
        <f ca="1"/>
        <v>8829.2684101958821</v>
      </c>
      <c r="K60" s="28">
        <f ca="1"/>
        <v>8860.0189008066664</v>
      </c>
      <c r="L60" s="28">
        <f ca="1"/>
        <v>8893.571018356588</v>
      </c>
      <c r="M60" s="28">
        <f ca="1"/>
        <v>8930.1090237593289</v>
      </c>
      <c r="N60" s="28">
        <f ca="1"/>
        <v>8962.2543038424756</v>
      </c>
      <c r="O60" s="28">
        <f ca="1"/>
        <v>8997.2977730034199</v>
      </c>
      <c r="P60" s="28">
        <f ca="1"/>
        <v>9035.4621532092224</v>
      </c>
      <c r="Q60" s="28">
        <f ca="1"/>
        <v>9069.3598706452194</v>
      </c>
      <c r="R60" s="28">
        <f ca="1"/>
        <v>9106.2814239970558</v>
      </c>
      <c r="S60" s="28">
        <f ca="1"/>
        <v>9138.8571963472859</v>
      </c>
      <c r="T60" s="28">
        <f ca="1"/>
        <v>9174.369751800019</v>
      </c>
      <c r="U60" s="28">
        <f ca="1"/>
        <v>9213.062710821283</v>
      </c>
      <c r="V60" s="28">
        <f ca="1"/>
        <v>9247.5295914699036</v>
      </c>
      <c r="W60" s="28">
        <f ca="1"/>
        <v>9285.0871308411224</v>
      </c>
      <c r="X60" s="28">
        <f ca="1"/>
        <v>9318.3580835576304</v>
      </c>
      <c r="Y60" s="28">
        <f ca="1"/>
        <v>9354.6257432343773</v>
      </c>
      <c r="Z60" s="28">
        <f ca="1"/>
        <v>9394.1448859754764</v>
      </c>
      <c r="AA60" s="28">
        <f ca="1"/>
        <v>9429.4978168504804</v>
      </c>
      <c r="AB60" s="28">
        <f ca="1"/>
        <v>9468.0355115410257</v>
      </c>
      <c r="AC60" s="28">
        <f ca="1"/>
        <v>9502.3515501839429</v>
      </c>
      <c r="AD60" s="28">
        <f ca="1"/>
        <v>9539.7603829865748</v>
      </c>
      <c r="AE60" s="28">
        <f ca="1"/>
        <v>9580.4853033659401</v>
      </c>
      <c r="AF60" s="28">
        <f ca="1"/>
        <v>9617.151391139636</v>
      </c>
      <c r="AG60" s="28">
        <f ca="1"/>
        <v>9657.1123754280761</v>
      </c>
      <c r="AH60" s="28">
        <f ca="1"/>
        <v>9692.9624397274292</v>
      </c>
      <c r="AI60" s="28">
        <f ca="1"/>
        <v>9732.0520078432219</v>
      </c>
      <c r="AJ60" s="28">
        <f ca="1"/>
        <v>9766.9759211549699</v>
      </c>
      <c r="AK60" s="29">
        <f ca="1"/>
        <v>9805.07658409135</v>
      </c>
      <c r="AL60" s="3"/>
    </row>
    <row r="61" spans="2:38" hidden="1">
      <c r="B61" s="3"/>
      <c r="C61" s="12"/>
      <c r="D61" s="16"/>
      <c r="E61" s="141">
        <f t="array" aca="1" ref="E61:AK61" ca="1">tlccEubc2</f>
        <v>24264.029749272682</v>
      </c>
      <c r="F61" s="28">
        <f ca="1"/>
        <v>24370.688849480579</v>
      </c>
      <c r="G61" s="28">
        <f ca="1"/>
        <v>24465.271032818713</v>
      </c>
      <c r="H61" s="28">
        <f ca="1"/>
        <v>24568.232708294894</v>
      </c>
      <c r="I61" s="28">
        <f ca="1"/>
        <v>24658.884286571585</v>
      </c>
      <c r="J61" s="28">
        <f ca="1"/>
        <v>24757.67390146917</v>
      </c>
      <c r="K61" s="28">
        <f ca="1"/>
        <v>24843.899688644568</v>
      </c>
      <c r="L61" s="28">
        <f ca="1"/>
        <v>24937.981366357024</v>
      </c>
      <c r="M61" s="28">
        <f ca="1"/>
        <v>25040.435610666391</v>
      </c>
      <c r="N61" s="28">
        <f ca="1"/>
        <v>25130.572451545606</v>
      </c>
      <c r="O61" s="28">
        <f ca="1"/>
        <v>25228.835947631083</v>
      </c>
      <c r="P61" s="28">
        <f ca="1"/>
        <v>25335.850621541776</v>
      </c>
      <c r="Q61" s="28">
        <f ca="1"/>
        <v>25430.901377198439</v>
      </c>
      <c r="R61" s="28">
        <f ca="1"/>
        <v>25534.431107562599</v>
      </c>
      <c r="S61" s="28">
        <f ca="1"/>
        <v>25625.775068519113</v>
      </c>
      <c r="T61" s="28">
        <f ca="1"/>
        <v>25725.353904098665</v>
      </c>
      <c r="U61" s="28">
        <f ca="1"/>
        <v>25833.850737270586</v>
      </c>
      <c r="V61" s="28">
        <f ca="1"/>
        <v>25930.497452701067</v>
      </c>
      <c r="W61" s="28">
        <f ca="1"/>
        <v>26035.810517056496</v>
      </c>
      <c r="X61" s="28">
        <f ca="1"/>
        <v>26129.10379567006</v>
      </c>
      <c r="Y61" s="28">
        <f ca="1"/>
        <v>26230.799978154362</v>
      </c>
      <c r="Z61" s="28">
        <f ca="1"/>
        <v>26341.613468400064</v>
      </c>
      <c r="AA61" s="28">
        <f ca="1"/>
        <v>26440.744709336614</v>
      </c>
      <c r="AB61" s="28">
        <f ca="1"/>
        <v>26548.806174198297</v>
      </c>
      <c r="AC61" s="28">
        <f ca="1"/>
        <v>26645.029921720863</v>
      </c>
      <c r="AD61" s="28">
        <f ca="1"/>
        <v>26749.926006032088</v>
      </c>
      <c r="AE61" s="28">
        <f ca="1"/>
        <v>26864.120552122829</v>
      </c>
      <c r="AF61" s="28">
        <f ca="1"/>
        <v>26966.933945279543</v>
      </c>
      <c r="AG61" s="28">
        <f ca="1"/>
        <v>27078.986379505302</v>
      </c>
      <c r="AH61" s="28">
        <f ca="1"/>
        <v>27179.511605383021</v>
      </c>
      <c r="AI61" s="28">
        <f ca="1"/>
        <v>27289.1205486611</v>
      </c>
      <c r="AJ61" s="28">
        <f ca="1"/>
        <v>27387.048804657621</v>
      </c>
      <c r="AK61" s="29">
        <f ca="1"/>
        <v>27493.884812420092</v>
      </c>
      <c r="AL61" s="3"/>
    </row>
    <row r="62" spans="2:38" hidden="1">
      <c r="B62" s="3"/>
      <c r="C62" s="12"/>
      <c r="D62" s="16"/>
      <c r="E62" s="141">
        <f t="array" aca="1" ref="E62:AK62" ca="1">tlccEubc3</f>
        <v>27447.903135980348</v>
      </c>
      <c r="F62" s="28">
        <f ca="1"/>
        <v>27568.557812113238</v>
      </c>
      <c r="G62" s="28">
        <f ca="1"/>
        <v>27675.550864523775</v>
      </c>
      <c r="H62" s="28">
        <f ca="1"/>
        <v>27792.022947866539</v>
      </c>
      <c r="I62" s="28">
        <f ca="1"/>
        <v>27894.569629739814</v>
      </c>
      <c r="J62" s="28">
        <f ca="1"/>
        <v>28006.322203758591</v>
      </c>
      <c r="K62" s="28">
        <f ca="1"/>
        <v>28103.862351816009</v>
      </c>
      <c r="L62" s="28">
        <f ca="1"/>
        <v>28210.289223337601</v>
      </c>
      <c r="M62" s="28">
        <f ca="1"/>
        <v>28326.187291495811</v>
      </c>
      <c r="N62" s="28">
        <f ca="1"/>
        <v>28428.151693246116</v>
      </c>
      <c r="O62" s="28">
        <f ca="1"/>
        <v>28539.309112282735</v>
      </c>
      <c r="P62" s="28">
        <f ca="1"/>
        <v>28660.366019728906</v>
      </c>
      <c r="Q62" s="28">
        <f ca="1"/>
        <v>28767.889129501877</v>
      </c>
      <c r="R62" s="28">
        <f ca="1"/>
        <v>28885.003806663652</v>
      </c>
      <c r="S62" s="28">
        <f ca="1"/>
        <v>28988.333724171116</v>
      </c>
      <c r="T62" s="28">
        <f ca="1"/>
        <v>29100.979078698958</v>
      </c>
      <c r="U62" s="28">
        <f ca="1"/>
        <v>29223.712631131792</v>
      </c>
      <c r="V62" s="28">
        <f ca="1"/>
        <v>29333.041119060566</v>
      </c>
      <c r="W62" s="28">
        <f ca="1"/>
        <v>29452.173135434201</v>
      </c>
      <c r="X62" s="28">
        <f ca="1"/>
        <v>29557.708155836146</v>
      </c>
      <c r="Y62" s="28">
        <f ca="1"/>
        <v>29672.74869093985</v>
      </c>
      <c r="Z62" s="28">
        <f ca="1"/>
        <v>29798.102887165845</v>
      </c>
      <c r="AA62" s="28">
        <f ca="1"/>
        <v>29910.241914651899</v>
      </c>
      <c r="AB62" s="28">
        <f ca="1"/>
        <v>30032.482970688554</v>
      </c>
      <c r="AC62" s="28">
        <f ca="1"/>
        <v>30141.332989777387</v>
      </c>
      <c r="AD62" s="28">
        <f ca="1"/>
        <v>30259.993310889298</v>
      </c>
      <c r="AE62" s="28">
        <f ca="1"/>
        <v>30389.172217779218</v>
      </c>
      <c r="AF62" s="28">
        <f ca="1"/>
        <v>30505.476561517982</v>
      </c>
      <c r="AG62" s="28">
        <f ca="1"/>
        <v>30632.232273267469</v>
      </c>
      <c r="AH62" s="28">
        <f ca="1"/>
        <v>30745.948201376963</v>
      </c>
      <c r="AI62" s="28">
        <f ca="1"/>
        <v>30869.939792593319</v>
      </c>
      <c r="AJ62" s="28">
        <f ca="1"/>
        <v>30980.717982063197</v>
      </c>
      <c r="AK62" s="29">
        <f ca="1"/>
        <v>31101.572779176502</v>
      </c>
      <c r="AL62" s="3"/>
    </row>
    <row r="63" spans="2:38" hidden="1">
      <c r="B63" s="3"/>
      <c r="C63" s="12"/>
      <c r="D63" s="16"/>
      <c r="E63" s="141">
        <f t="array" aca="1" ref="E63:AK63" ca="1">tlccEubc4</f>
        <v>16520.999956184602</v>
      </c>
      <c r="F63" s="28">
        <f ca="1"/>
        <v>16593.622476354169</v>
      </c>
      <c r="G63" s="28">
        <f ca="1"/>
        <v>16658.022011919049</v>
      </c>
      <c r="H63" s="28">
        <f ca="1"/>
        <v>16728.127013174319</v>
      </c>
      <c r="I63" s="28">
        <f ca="1"/>
        <v>16789.850260970044</v>
      </c>
      <c r="J63" s="28">
        <f ca="1"/>
        <v>16857.114571155096</v>
      </c>
      <c r="K63" s="28">
        <f ca="1"/>
        <v>16915.824366719418</v>
      </c>
      <c r="L63" s="28">
        <f ca="1"/>
        <v>16979.883115798875</v>
      </c>
      <c r="M63" s="28">
        <f ca="1"/>
        <v>17049.642615075652</v>
      </c>
      <c r="N63" s="28">
        <f ca="1"/>
        <v>17111.015386194227</v>
      </c>
      <c r="O63" s="28">
        <f ca="1"/>
        <v>17177.921470274163</v>
      </c>
      <c r="P63" s="28">
        <f ca="1"/>
        <v>17250.786095040072</v>
      </c>
      <c r="Q63" s="28">
        <f ca="1"/>
        <v>17315.504674198834</v>
      </c>
      <c r="R63" s="28">
        <f ca="1"/>
        <v>17385.996455180149</v>
      </c>
      <c r="S63" s="28">
        <f ca="1"/>
        <v>17448.191135559053</v>
      </c>
      <c r="T63" s="28">
        <f ca="1"/>
        <v>17515.992813814752</v>
      </c>
      <c r="U63" s="28">
        <f ca="1"/>
        <v>17589.866617737753</v>
      </c>
      <c r="V63" s="28">
        <f ca="1"/>
        <v>17655.671861050236</v>
      </c>
      <c r="W63" s="28">
        <f ca="1"/>
        <v>17727.37788637168</v>
      </c>
      <c r="X63" s="28">
        <f ca="1"/>
        <v>17790.89982678364</v>
      </c>
      <c r="Y63" s="28">
        <f ca="1"/>
        <v>17860.143173570163</v>
      </c>
      <c r="Z63" s="28">
        <f ca="1"/>
        <v>17935.594353213921</v>
      </c>
      <c r="AA63" s="28">
        <f ca="1"/>
        <v>18003.091271248253</v>
      </c>
      <c r="AB63" s="28">
        <f ca="1"/>
        <v>18076.668639669453</v>
      </c>
      <c r="AC63" s="28">
        <f ca="1"/>
        <v>18142.185890720939</v>
      </c>
      <c r="AD63" s="28">
        <f ca="1"/>
        <v>18213.608000824541</v>
      </c>
      <c r="AE63" s="28">
        <f ca="1"/>
        <v>18291.361288734945</v>
      </c>
      <c r="AF63" s="28">
        <f ca="1"/>
        <v>18361.365326868305</v>
      </c>
      <c r="AG63" s="28">
        <f ca="1"/>
        <v>18437.660084172148</v>
      </c>
      <c r="AH63" s="28">
        <f ca="1"/>
        <v>18506.106144842335</v>
      </c>
      <c r="AI63" s="28">
        <f ca="1"/>
        <v>18580.737167216044</v>
      </c>
      <c r="AJ63" s="28">
        <f ca="1"/>
        <v>18647.414991540583</v>
      </c>
      <c r="AK63" s="29">
        <f ca="1"/>
        <v>18720.157965308819</v>
      </c>
      <c r="AL63" s="3"/>
    </row>
    <row r="64" spans="2:38" hidden="1">
      <c r="B64" s="3"/>
      <c r="C64" s="12"/>
      <c r="D64" s="16"/>
      <c r="E64" s="141">
        <f t="array" aca="1" ref="E64:AK64" ca="1">tlccEubc5</f>
        <v>14748.506352257924</v>
      </c>
      <c r="F64" s="28">
        <f ca="1"/>
        <v>14813.337397768386</v>
      </c>
      <c r="G64" s="28">
        <f ca="1"/>
        <v>14870.827680552713</v>
      </c>
      <c r="H64" s="28">
        <f ca="1"/>
        <v>14933.411304974998</v>
      </c>
      <c r="I64" s="28">
        <f ca="1"/>
        <v>14988.512431699253</v>
      </c>
      <c r="J64" s="28">
        <f ca="1"/>
        <v>15048.560135147925</v>
      </c>
      <c r="K64" s="28">
        <f ca="1"/>
        <v>15100.971114817243</v>
      </c>
      <c r="L64" s="28">
        <f ca="1"/>
        <v>15158.157173180649</v>
      </c>
      <c r="M64" s="28">
        <f ca="1"/>
        <v>15220.432363601471</v>
      </c>
      <c r="N64" s="28">
        <f ca="1"/>
        <v>15275.220615347636</v>
      </c>
      <c r="O64" s="28">
        <f ca="1"/>
        <v>15334.948525805512</v>
      </c>
      <c r="P64" s="28">
        <f ca="1"/>
        <v>15399.995701162026</v>
      </c>
      <c r="Q64" s="28">
        <f ca="1"/>
        <v>15457.770798212059</v>
      </c>
      <c r="R64" s="28">
        <f ca="1"/>
        <v>15520.699705804956</v>
      </c>
      <c r="S64" s="28">
        <f ca="1"/>
        <v>15576.221686379835</v>
      </c>
      <c r="T64" s="28">
        <f ca="1"/>
        <v>15636.749105125669</v>
      </c>
      <c r="U64" s="28">
        <f ca="1"/>
        <v>15702.697187524644</v>
      </c>
      <c r="V64" s="28">
        <f ca="1"/>
        <v>15761.44236345709</v>
      </c>
      <c r="W64" s="28">
        <f ca="1"/>
        <v>15825.455242384105</v>
      </c>
      <c r="X64" s="28">
        <f ca="1"/>
        <v>15882.162084836626</v>
      </c>
      <c r="Y64" s="28">
        <f ca="1"/>
        <v>15943.976499378181</v>
      </c>
      <c r="Z64" s="28">
        <f ca="1"/>
        <v>16011.332725103772</v>
      </c>
      <c r="AA64" s="28">
        <f ca="1"/>
        <v>16071.588080531857</v>
      </c>
      <c r="AB64" s="28">
        <f ca="1"/>
        <v>16137.271531195887</v>
      </c>
      <c r="AC64" s="28">
        <f ca="1"/>
        <v>16195.759612781634</v>
      </c>
      <c r="AD64" s="28">
        <f ca="1"/>
        <v>16259.519036990112</v>
      </c>
      <c r="AE64" s="28">
        <f ca="1"/>
        <v>16328.930383984636</v>
      </c>
      <c r="AF64" s="28">
        <f ca="1"/>
        <v>16391.423877346544</v>
      </c>
      <c r="AG64" s="28">
        <f ca="1"/>
        <v>16459.533175556346</v>
      </c>
      <c r="AH64" s="28">
        <f ca="1"/>
        <v>16520.635842662345</v>
      </c>
      <c r="AI64" s="28">
        <f ca="1"/>
        <v>16587.259903583192</v>
      </c>
      <c r="AJ64" s="28">
        <f ca="1"/>
        <v>16646.784043660271</v>
      </c>
      <c r="AK64" s="29">
        <f ca="1"/>
        <v>16711.722619627119</v>
      </c>
      <c r="AL64" s="3"/>
    </row>
    <row r="65" spans="2:38" hidden="1">
      <c r="B65" s="3"/>
      <c r="C65" s="4"/>
      <c r="D65" s="5"/>
      <c r="E65" s="147">
        <f t="array" aca="1" ref="E65:AK65" ca="1">tlccEubc6</f>
        <v>10579.762692192096</v>
      </c>
      <c r="F65" s="35">
        <f ca="1"/>
        <v>10626.268898326145</v>
      </c>
      <c r="G65" s="35">
        <f ca="1"/>
        <v>10667.509247310507</v>
      </c>
      <c r="H65" s="35">
        <f ca="1"/>
        <v>10712.403277864567</v>
      </c>
      <c r="I65" s="35">
        <f ca="1"/>
        <v>10751.929778439713</v>
      </c>
      <c r="J65" s="35">
        <f ca="1"/>
        <v>10795.0046795534</v>
      </c>
      <c r="K65" s="35">
        <f ca="1"/>
        <v>10832.601417427932</v>
      </c>
      <c r="L65" s="35">
        <f ca="1"/>
        <v>10873.623532639893</v>
      </c>
      <c r="M65" s="35">
        <f ca="1"/>
        <v>10918.296309701314</v>
      </c>
      <c r="N65" s="35">
        <f ca="1"/>
        <v>10957.598371072821</v>
      </c>
      <c r="O65" s="35">
        <f ca="1"/>
        <v>11000.443870383193</v>
      </c>
      <c r="P65" s="35">
        <f ca="1"/>
        <v>11047.10511611429</v>
      </c>
      <c r="Q65" s="35">
        <f ca="1"/>
        <v>11088.549775099311</v>
      </c>
      <c r="R65" s="35">
        <f ca="1"/>
        <v>11133.691492701775</v>
      </c>
      <c r="S65" s="35">
        <f ca="1"/>
        <v>11173.519890551228</v>
      </c>
      <c r="T65" s="35">
        <f ca="1"/>
        <v>11216.938912885222</v>
      </c>
      <c r="U65" s="35">
        <f ca="1"/>
        <v>11264.246419497873</v>
      </c>
      <c r="V65" s="35">
        <f ca="1"/>
        <v>11306.386959416428</v>
      </c>
      <c r="W65" s="35">
        <f ca="1"/>
        <v>11352.306258097691</v>
      </c>
      <c r="X65" s="35">
        <f ca="1"/>
        <v>11392.984610321433</v>
      </c>
      <c r="Y65" s="35">
        <f ca="1"/>
        <v>11437.326852253371</v>
      </c>
      <c r="Z65" s="35">
        <f ca="1"/>
        <v>11485.644483001746</v>
      </c>
      <c r="AA65" s="35">
        <f ca="1"/>
        <v>11528.868342159876</v>
      </c>
      <c r="AB65" s="35">
        <f ca="1"/>
        <v>11575.986016603114</v>
      </c>
      <c r="AC65" s="35">
        <f ca="1"/>
        <v>11617.942131257669</v>
      </c>
      <c r="AD65" s="35">
        <f ca="1"/>
        <v>11663.679615542858</v>
      </c>
      <c r="AE65" s="35">
        <f ca="1"/>
        <v>11713.471476617327</v>
      </c>
      <c r="AF65" s="35">
        <f ca="1"/>
        <v>11758.300852133973</v>
      </c>
      <c r="AG65" s="35">
        <f ca="1"/>
        <v>11807.1586954288</v>
      </c>
      <c r="AH65" s="35">
        <f ca="1"/>
        <v>11850.990369118424</v>
      </c>
      <c r="AI65" s="35">
        <f ca="1"/>
        <v>11898.782785333164</v>
      </c>
      <c r="AJ65" s="35">
        <f ca="1"/>
        <v>11941.482111043255</v>
      </c>
      <c r="AK65" s="36">
        <f ca="1"/>
        <v>11988.065453579011</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2804.8403239469421</v>
      </c>
      <c r="F68" s="28">
        <f ca="1"/>
        <v>2785.5207422638441</v>
      </c>
      <c r="G68" s="28">
        <f ca="1"/>
        <v>2766.0588204140372</v>
      </c>
      <c r="H68" s="28">
        <f ca="1"/>
        <v>2748.9689032674733</v>
      </c>
      <c r="I68" s="28">
        <f ca="1"/>
        <v>2732.7640732912246</v>
      </c>
      <c r="J68" s="28">
        <f ca="1"/>
        <v>2718.6537478995547</v>
      </c>
      <c r="K68" s="28">
        <f ca="1"/>
        <v>2707.7139524911481</v>
      </c>
      <c r="L68" s="28">
        <f ca="1"/>
        <v>2698.6457560421682</v>
      </c>
      <c r="M68" s="28">
        <f ca="1"/>
        <v>2689.5363833962515</v>
      </c>
      <c r="N68" s="28">
        <f ca="1"/>
        <v>2682.2495136298048</v>
      </c>
      <c r="O68" s="28">
        <f ca="1"/>
        <v>2677.2305646812274</v>
      </c>
      <c r="P68" s="28">
        <f ca="1"/>
        <v>2673.5572499084046</v>
      </c>
      <c r="Q68" s="28">
        <f ca="1"/>
        <v>2670.4653012978938</v>
      </c>
      <c r="R68" s="28">
        <f ca="1"/>
        <v>2668.1839496504058</v>
      </c>
      <c r="S68" s="28">
        <f ca="1"/>
        <v>2666.4446370256169</v>
      </c>
      <c r="T68" s="28">
        <f ca="1"/>
        <v>2666.2262303005191</v>
      </c>
      <c r="U68" s="28">
        <f ca="1"/>
        <v>2666.6720544046925</v>
      </c>
      <c r="V68" s="28">
        <f ca="1"/>
        <v>2667.3277078226215</v>
      </c>
      <c r="W68" s="28">
        <f ca="1"/>
        <v>2668.2653830499517</v>
      </c>
      <c r="X68" s="28">
        <f ca="1"/>
        <v>2669.1514760672499</v>
      </c>
      <c r="Y68" s="28">
        <f ca="1"/>
        <v>2669.885651508303</v>
      </c>
      <c r="Z68" s="28">
        <f ca="1"/>
        <v>2670.3776528569933</v>
      </c>
      <c r="AA68" s="28">
        <f ca="1"/>
        <v>2670.7019144966412</v>
      </c>
      <c r="AB68" s="28">
        <f ca="1"/>
        <v>2670.7019144966412</v>
      </c>
      <c r="AC68" s="28">
        <f ca="1"/>
        <v>2670.7019144966412</v>
      </c>
      <c r="AD68" s="28">
        <f ca="1"/>
        <v>2670.7019144966412</v>
      </c>
      <c r="AE68" s="28">
        <f ca="1"/>
        <v>2670.7019144966412</v>
      </c>
      <c r="AF68" s="28">
        <f ca="1"/>
        <v>2670.7019144966412</v>
      </c>
      <c r="AG68" s="28">
        <f ca="1"/>
        <v>2670.7019144966412</v>
      </c>
      <c r="AH68" s="28">
        <f ca="1"/>
        <v>2670.7019144966412</v>
      </c>
      <c r="AI68" s="28">
        <f ca="1"/>
        <v>2670.7019144966412</v>
      </c>
      <c r="AJ68" s="28">
        <f ca="1"/>
        <v>2670.7019144966412</v>
      </c>
      <c r="AK68" s="29">
        <f ca="1"/>
        <v>2670.7019144966412</v>
      </c>
      <c r="AL68" s="3"/>
    </row>
    <row r="69" spans="2:38" hidden="1">
      <c r="B69" s="3"/>
      <c r="C69" s="12"/>
      <c r="D69" s="16"/>
      <c r="E69" s="141">
        <f t="array" aca="1" ref="E69:AK69" ca="1">tlccFubcElec1</f>
        <v>1956.9484439490211</v>
      </c>
      <c r="F69" s="28">
        <f ca="1"/>
        <v>1943.4690936310392</v>
      </c>
      <c r="G69" s="28">
        <f ca="1"/>
        <v>1929.8904320027564</v>
      </c>
      <c r="H69" s="28">
        <f ca="1"/>
        <v>1917.9667276543662</v>
      </c>
      <c r="I69" s="28">
        <f ca="1"/>
        <v>1906.6605522062559</v>
      </c>
      <c r="J69" s="28">
        <f ca="1"/>
        <v>1896.8157210823279</v>
      </c>
      <c r="K69" s="28">
        <f ca="1"/>
        <v>1889.1829815574354</v>
      </c>
      <c r="L69" s="28">
        <f ca="1"/>
        <v>1882.8560642000571</v>
      </c>
      <c r="M69" s="28">
        <f ca="1"/>
        <v>1876.5004180434537</v>
      </c>
      <c r="N69" s="28">
        <f ca="1"/>
        <v>1871.416339520709</v>
      </c>
      <c r="O69" s="28">
        <f ca="1"/>
        <v>1867.9145985298503</v>
      </c>
      <c r="P69" s="28">
        <f ca="1"/>
        <v>1865.3517119485941</v>
      </c>
      <c r="Q69" s="28">
        <f ca="1"/>
        <v>1863.1944468913109</v>
      </c>
      <c r="R69" s="28">
        <f ca="1"/>
        <v>1861.6027386152512</v>
      </c>
      <c r="S69" s="28">
        <f ca="1"/>
        <v>1860.3892131587174</v>
      </c>
      <c r="T69" s="28">
        <f ca="1"/>
        <v>1860.2368299028226</v>
      </c>
      <c r="U69" s="28">
        <f ca="1"/>
        <v>1860.5478831843545</v>
      </c>
      <c r="V69" s="28">
        <f ca="1"/>
        <v>1861.0053352271791</v>
      </c>
      <c r="W69" s="28">
        <f ca="1"/>
        <v>1861.6595550276386</v>
      </c>
      <c r="X69" s="28">
        <f ca="1"/>
        <v>1862.2777857114288</v>
      </c>
      <c r="Y69" s="28">
        <f ca="1"/>
        <v>1862.7900228875303</v>
      </c>
      <c r="Z69" s="28">
        <f ca="1"/>
        <v>1863.1332942194203</v>
      </c>
      <c r="AA69" s="28">
        <f ca="1"/>
        <v>1863.3595328775441</v>
      </c>
      <c r="AB69" s="28">
        <f ca="1"/>
        <v>1863.3595328775441</v>
      </c>
      <c r="AC69" s="28">
        <f ca="1"/>
        <v>1863.3595328775441</v>
      </c>
      <c r="AD69" s="28">
        <f ca="1"/>
        <v>1863.3595328775441</v>
      </c>
      <c r="AE69" s="28">
        <f ca="1"/>
        <v>1863.3595328775441</v>
      </c>
      <c r="AF69" s="28">
        <f ca="1"/>
        <v>1863.3595328775441</v>
      </c>
      <c r="AG69" s="28">
        <f ca="1"/>
        <v>1863.3595328775441</v>
      </c>
      <c r="AH69" s="28">
        <f ca="1"/>
        <v>1863.3595328775441</v>
      </c>
      <c r="AI69" s="28">
        <f ca="1"/>
        <v>1863.3595328775441</v>
      </c>
      <c r="AJ69" s="28">
        <f ca="1"/>
        <v>1863.3595328775441</v>
      </c>
      <c r="AK69" s="29">
        <f ca="1"/>
        <v>1863.3595328775441</v>
      </c>
      <c r="AL69" s="3"/>
    </row>
    <row r="70" spans="2:38" hidden="1">
      <c r="B70" s="3"/>
      <c r="C70" s="12"/>
      <c r="D70" s="16"/>
      <c r="E70" s="141">
        <f t="array" aca="1" ref="E70:AK70" ca="1">tlccFubcElec2</f>
        <v>5487.373264281875</v>
      </c>
      <c r="F70" s="28">
        <f ca="1"/>
        <v>5449.5765472638595</v>
      </c>
      <c r="G70" s="28">
        <f ca="1"/>
        <v>5411.5013567731958</v>
      </c>
      <c r="H70" s="28">
        <f ca="1"/>
        <v>5378.0667424608619</v>
      </c>
      <c r="I70" s="28">
        <f ca="1"/>
        <v>5346.3637075305978</v>
      </c>
      <c r="J70" s="28">
        <f ca="1"/>
        <v>5318.7583491636706</v>
      </c>
      <c r="K70" s="28">
        <f ca="1"/>
        <v>5297.355797179418</v>
      </c>
      <c r="L70" s="28">
        <f ca="1"/>
        <v>5279.6148304924573</v>
      </c>
      <c r="M70" s="28">
        <f ca="1"/>
        <v>5261.7933069337669</v>
      </c>
      <c r="N70" s="28">
        <f ca="1"/>
        <v>5247.5373173876542</v>
      </c>
      <c r="O70" s="28">
        <f ca="1"/>
        <v>5237.7182749130852</v>
      </c>
      <c r="P70" s="28">
        <f ca="1"/>
        <v>5230.5318232981444</v>
      </c>
      <c r="Q70" s="28">
        <f ca="1"/>
        <v>5224.4827530551811</v>
      </c>
      <c r="R70" s="28">
        <f ca="1"/>
        <v>5220.019529986841</v>
      </c>
      <c r="S70" s="28">
        <f ca="1"/>
        <v>5216.6167489037216</v>
      </c>
      <c r="T70" s="28">
        <f ca="1"/>
        <v>5216.1894592595281</v>
      </c>
      <c r="U70" s="28">
        <f ca="1"/>
        <v>5217.0616669388473</v>
      </c>
      <c r="V70" s="28">
        <f ca="1"/>
        <v>5218.3443834647978</v>
      </c>
      <c r="W70" s="28">
        <f ca="1"/>
        <v>5220.1788458151505</v>
      </c>
      <c r="X70" s="28">
        <f ca="1"/>
        <v>5221.9123930303967</v>
      </c>
      <c r="Y70" s="28">
        <f ca="1"/>
        <v>5223.3487295847917</v>
      </c>
      <c r="Z70" s="28">
        <f ca="1"/>
        <v>5224.3112781561831</v>
      </c>
      <c r="AA70" s="28">
        <f ca="1"/>
        <v>5224.9456617383221</v>
      </c>
      <c r="AB70" s="28">
        <f ca="1"/>
        <v>5224.9456617383221</v>
      </c>
      <c r="AC70" s="28">
        <f ca="1"/>
        <v>5224.9456617383221</v>
      </c>
      <c r="AD70" s="28">
        <f ca="1"/>
        <v>5224.9456617383221</v>
      </c>
      <c r="AE70" s="28">
        <f ca="1"/>
        <v>5224.9456617383221</v>
      </c>
      <c r="AF70" s="28">
        <f ca="1"/>
        <v>5224.9456617383221</v>
      </c>
      <c r="AG70" s="28">
        <f ca="1"/>
        <v>5224.9456617383221</v>
      </c>
      <c r="AH70" s="28">
        <f ca="1"/>
        <v>5224.9456617383221</v>
      </c>
      <c r="AI70" s="28">
        <f ca="1"/>
        <v>5224.9456617383221</v>
      </c>
      <c r="AJ70" s="28">
        <f ca="1"/>
        <v>5224.9456617383221</v>
      </c>
      <c r="AK70" s="29">
        <f ca="1"/>
        <v>5224.9456617383221</v>
      </c>
      <c r="AL70" s="3"/>
    </row>
    <row r="71" spans="2:38" hidden="1">
      <c r="B71" s="3"/>
      <c r="C71" s="12"/>
      <c r="D71" s="16"/>
      <c r="E71" s="141">
        <f t="array" aca="1" ref="E71:AK71" ca="1">tlccFubcElec3</f>
        <v>6207.4144890747939</v>
      </c>
      <c r="F71" s="28">
        <f ca="1"/>
        <v>6164.6581687813914</v>
      </c>
      <c r="G71" s="28">
        <f ca="1"/>
        <v>6121.5868343299044</v>
      </c>
      <c r="H71" s="28">
        <f ca="1"/>
        <v>6083.7650024035183</v>
      </c>
      <c r="I71" s="28">
        <f ca="1"/>
        <v>6047.9019639521848</v>
      </c>
      <c r="J71" s="28">
        <f ca="1"/>
        <v>6016.6742903003187</v>
      </c>
      <c r="K71" s="28">
        <f ca="1"/>
        <v>5992.4633418388748</v>
      </c>
      <c r="L71" s="28">
        <f ca="1"/>
        <v>5972.3944439602383</v>
      </c>
      <c r="M71" s="28">
        <f ca="1"/>
        <v>5952.234418711786</v>
      </c>
      <c r="N71" s="28">
        <f ca="1"/>
        <v>5936.1077891200557</v>
      </c>
      <c r="O71" s="28">
        <f ca="1"/>
        <v>5925.0003131766534</v>
      </c>
      <c r="P71" s="28">
        <f ca="1"/>
        <v>5916.8708709588282</v>
      </c>
      <c r="Q71" s="28">
        <f ca="1"/>
        <v>5910.0280548311157</v>
      </c>
      <c r="R71" s="28">
        <f ca="1"/>
        <v>5904.9791773066499</v>
      </c>
      <c r="S71" s="28">
        <f ca="1"/>
        <v>5901.1298906659931</v>
      </c>
      <c r="T71" s="28">
        <f ca="1"/>
        <v>5900.6465330009205</v>
      </c>
      <c r="U71" s="28">
        <f ca="1"/>
        <v>5901.6331898812414</v>
      </c>
      <c r="V71" s="28">
        <f ca="1"/>
        <v>5903.0842216891897</v>
      </c>
      <c r="W71" s="28">
        <f ca="1"/>
        <v>5905.1593982126033</v>
      </c>
      <c r="X71" s="28">
        <f ca="1"/>
        <v>5907.120417735634</v>
      </c>
      <c r="Y71" s="28">
        <f ca="1"/>
        <v>5908.745227259159</v>
      </c>
      <c r="Z71" s="28">
        <f ca="1"/>
        <v>5909.834079367577</v>
      </c>
      <c r="AA71" s="28">
        <f ca="1"/>
        <v>5910.5517053882149</v>
      </c>
      <c r="AB71" s="28">
        <f ca="1"/>
        <v>5910.5517053882149</v>
      </c>
      <c r="AC71" s="28">
        <f ca="1"/>
        <v>5910.5517053882149</v>
      </c>
      <c r="AD71" s="28">
        <f ca="1"/>
        <v>5910.5517053882149</v>
      </c>
      <c r="AE71" s="28">
        <f ca="1"/>
        <v>5910.5517053882149</v>
      </c>
      <c r="AF71" s="28">
        <f ca="1"/>
        <v>5910.5517053882149</v>
      </c>
      <c r="AG71" s="28">
        <f ca="1"/>
        <v>5910.5517053882149</v>
      </c>
      <c r="AH71" s="28">
        <f ca="1"/>
        <v>5910.5517053882149</v>
      </c>
      <c r="AI71" s="28">
        <f ca="1"/>
        <v>5910.5517053882149</v>
      </c>
      <c r="AJ71" s="28">
        <f ca="1"/>
        <v>5910.5517053882149</v>
      </c>
      <c r="AK71" s="29">
        <f ca="1"/>
        <v>5910.5517053882149</v>
      </c>
      <c r="AL71" s="3"/>
    </row>
    <row r="72" spans="2:38" hidden="1">
      <c r="B72" s="3"/>
      <c r="C72" s="12"/>
      <c r="D72" s="16"/>
      <c r="E72" s="141">
        <f t="array" aca="1" ref="E72:AK72" ca="1">tlccFubcElec4</f>
        <v>3736.266992562802</v>
      </c>
      <c r="F72" s="28">
        <f ca="1"/>
        <v>3710.5317966101484</v>
      </c>
      <c r="G72" s="28">
        <f ca="1"/>
        <v>3684.606992407053</v>
      </c>
      <c r="H72" s="28">
        <f ca="1"/>
        <v>3661.8418842491351</v>
      </c>
      <c r="I72" s="28">
        <f ca="1"/>
        <v>3640.2557815239888</v>
      </c>
      <c r="J72" s="28">
        <f ca="1"/>
        <v>3621.4597229515603</v>
      </c>
      <c r="K72" s="28">
        <f ca="1"/>
        <v>3606.8870586394964</v>
      </c>
      <c r="L72" s="28">
        <f ca="1"/>
        <v>3594.8075107290047</v>
      </c>
      <c r="M72" s="28">
        <f ca="1"/>
        <v>3582.6731128991837</v>
      </c>
      <c r="N72" s="28">
        <f ca="1"/>
        <v>3572.9664316471235</v>
      </c>
      <c r="O72" s="28">
        <f ca="1"/>
        <v>3566.280798552852</v>
      </c>
      <c r="P72" s="28">
        <f ca="1"/>
        <v>3561.3876555736192</v>
      </c>
      <c r="Q72" s="28">
        <f ca="1"/>
        <v>3557.2689378564205</v>
      </c>
      <c r="R72" s="28">
        <f ca="1"/>
        <v>3554.2299987816486</v>
      </c>
      <c r="S72" s="28">
        <f ca="1"/>
        <v>3551.9130981387621</v>
      </c>
      <c r="T72" s="28">
        <f ca="1"/>
        <v>3551.622163274852</v>
      </c>
      <c r="U72" s="28">
        <f ca="1"/>
        <v>3552.2160358995038</v>
      </c>
      <c r="V72" s="28">
        <f ca="1"/>
        <v>3553.0894176043571</v>
      </c>
      <c r="W72" s="28">
        <f ca="1"/>
        <v>3554.3384744478808</v>
      </c>
      <c r="X72" s="28">
        <f ca="1"/>
        <v>3555.5188197476136</v>
      </c>
      <c r="Y72" s="28">
        <f ca="1"/>
        <v>3556.4967989372799</v>
      </c>
      <c r="Z72" s="28">
        <f ca="1"/>
        <v>3557.1521832683284</v>
      </c>
      <c r="AA72" s="28">
        <f ca="1"/>
        <v>3557.5841251692009</v>
      </c>
      <c r="AB72" s="28">
        <f ca="1"/>
        <v>3557.5841251692009</v>
      </c>
      <c r="AC72" s="28">
        <f ca="1"/>
        <v>3557.5841251692009</v>
      </c>
      <c r="AD72" s="28">
        <f ca="1"/>
        <v>3557.5841251692009</v>
      </c>
      <c r="AE72" s="28">
        <f ca="1"/>
        <v>3557.5841251692009</v>
      </c>
      <c r="AF72" s="28">
        <f ca="1"/>
        <v>3557.5841251692009</v>
      </c>
      <c r="AG72" s="28">
        <f ca="1"/>
        <v>3557.5841251692009</v>
      </c>
      <c r="AH72" s="28">
        <f ca="1"/>
        <v>3557.5841251692009</v>
      </c>
      <c r="AI72" s="28">
        <f ca="1"/>
        <v>3557.5841251692009</v>
      </c>
      <c r="AJ72" s="28">
        <f ca="1"/>
        <v>3557.5841251692009</v>
      </c>
      <c r="AK72" s="29">
        <f ca="1"/>
        <v>3557.5841251692009</v>
      </c>
      <c r="AL72" s="3"/>
    </row>
    <row r="73" spans="2:38" hidden="1">
      <c r="B73" s="3"/>
      <c r="C73" s="12"/>
      <c r="D73" s="16"/>
      <c r="E73" s="141">
        <f t="array" aca="1" ref="E73:AK73" ca="1">tlccFubcElec5</f>
        <v>3335.4129665084765</v>
      </c>
      <c r="F73" s="28">
        <f ca="1"/>
        <v>3312.4388304397803</v>
      </c>
      <c r="G73" s="28">
        <f ca="1"/>
        <v>3289.2954286793274</v>
      </c>
      <c r="H73" s="28">
        <f ca="1"/>
        <v>3268.9727276825761</v>
      </c>
      <c r="I73" s="28">
        <f ca="1"/>
        <v>3249.7025398000847</v>
      </c>
      <c r="J73" s="28">
        <f ca="1"/>
        <v>3232.9230597451196</v>
      </c>
      <c r="K73" s="28">
        <f ca="1"/>
        <v>3219.9138573514515</v>
      </c>
      <c r="L73" s="28">
        <f ca="1"/>
        <v>3209.1302916131312</v>
      </c>
      <c r="M73" s="28">
        <f ca="1"/>
        <v>3198.2977606556492</v>
      </c>
      <c r="N73" s="28">
        <f ca="1"/>
        <v>3189.6324831007173</v>
      </c>
      <c r="O73" s="28">
        <f ca="1"/>
        <v>3183.6641335806376</v>
      </c>
      <c r="P73" s="28">
        <f ca="1"/>
        <v>3179.2959627372798</v>
      </c>
      <c r="Q73" s="28">
        <f ca="1"/>
        <v>3175.6191311546659</v>
      </c>
      <c r="R73" s="28">
        <f ca="1"/>
        <v>3172.9062316711443</v>
      </c>
      <c r="S73" s="28">
        <f ca="1"/>
        <v>3170.837905060177</v>
      </c>
      <c r="T73" s="28">
        <f ca="1"/>
        <v>3170.578183814499</v>
      </c>
      <c r="U73" s="28">
        <f ca="1"/>
        <v>3171.1083414442028</v>
      </c>
      <c r="V73" s="28">
        <f ca="1"/>
        <v>3171.8880203774474</v>
      </c>
      <c r="W73" s="28">
        <f ca="1"/>
        <v>3173.0030692752075</v>
      </c>
      <c r="X73" s="28">
        <f ca="1"/>
        <v>3174.0567785057106</v>
      </c>
      <c r="Y73" s="28">
        <f ca="1"/>
        <v>3174.9298329412422</v>
      </c>
      <c r="Z73" s="28">
        <f ca="1"/>
        <v>3175.5149028519786</v>
      </c>
      <c r="AA73" s="28">
        <f ca="1"/>
        <v>3175.9005028692732</v>
      </c>
      <c r="AB73" s="28">
        <f ca="1"/>
        <v>3175.9005028692732</v>
      </c>
      <c r="AC73" s="28">
        <f ca="1"/>
        <v>3175.9005028692732</v>
      </c>
      <c r="AD73" s="28">
        <f ca="1"/>
        <v>3175.9005028692732</v>
      </c>
      <c r="AE73" s="28">
        <f ca="1"/>
        <v>3175.9005028692732</v>
      </c>
      <c r="AF73" s="28">
        <f ca="1"/>
        <v>3175.9005028692732</v>
      </c>
      <c r="AG73" s="28">
        <f ca="1"/>
        <v>3175.9005028692732</v>
      </c>
      <c r="AH73" s="28">
        <f ca="1"/>
        <v>3175.9005028692732</v>
      </c>
      <c r="AI73" s="28">
        <f ca="1"/>
        <v>3175.9005028692732</v>
      </c>
      <c r="AJ73" s="28">
        <f ca="1"/>
        <v>3175.9005028692732</v>
      </c>
      <c r="AK73" s="29">
        <f ca="1"/>
        <v>3175.9005028692732</v>
      </c>
      <c r="AL73" s="3"/>
    </row>
    <row r="74" spans="2:38" hidden="1">
      <c r="B74" s="3"/>
      <c r="C74" s="4"/>
      <c r="D74" s="5"/>
      <c r="E74" s="147">
        <f t="array" aca="1" ref="E74:AK74" ca="1">tlccFubcElec6</f>
        <v>2392.6407748210881</v>
      </c>
      <c r="F74" s="35">
        <f ca="1"/>
        <v>2376.1604003438638</v>
      </c>
      <c r="G74" s="35">
        <f ca="1"/>
        <v>2359.5586040217459</v>
      </c>
      <c r="H74" s="35">
        <f ca="1"/>
        <v>2344.9802224097602</v>
      </c>
      <c r="I74" s="35">
        <f ca="1"/>
        <v>2331.1568554896585</v>
      </c>
      <c r="J74" s="35">
        <f ca="1"/>
        <v>2319.1201845997471</v>
      </c>
      <c r="K74" s="35">
        <f ca="1"/>
        <v>2309.7881023635923</v>
      </c>
      <c r="L74" s="35">
        <f ca="1"/>
        <v>2302.0525687602444</v>
      </c>
      <c r="M74" s="35">
        <f ca="1"/>
        <v>2294.2819102170192</v>
      </c>
      <c r="N74" s="35">
        <f ca="1"/>
        <v>2288.0659193903198</v>
      </c>
      <c r="O74" s="35">
        <f ca="1"/>
        <v>2283.7845555641561</v>
      </c>
      <c r="P74" s="35">
        <f ca="1"/>
        <v>2280.6510714120741</v>
      </c>
      <c r="Q74" s="35">
        <f ca="1"/>
        <v>2278.0135158065023</v>
      </c>
      <c r="R74" s="35">
        <f ca="1"/>
        <v>2276.0674317720986</v>
      </c>
      <c r="S74" s="35">
        <f ca="1"/>
        <v>2274.5837286640458</v>
      </c>
      <c r="T74" s="35">
        <f ca="1"/>
        <v>2274.3974190080194</v>
      </c>
      <c r="U74" s="35">
        <f ca="1"/>
        <v>2274.7777247676504</v>
      </c>
      <c r="V74" s="35">
        <f ca="1"/>
        <v>2275.3370233089954</v>
      </c>
      <c r="W74" s="35">
        <f ca="1"/>
        <v>2276.1368977130014</v>
      </c>
      <c r="X74" s="35">
        <f ca="1"/>
        <v>2276.8927704325183</v>
      </c>
      <c r="Y74" s="35">
        <f ca="1"/>
        <v>2277.5190513944463</v>
      </c>
      <c r="Z74" s="35">
        <f ca="1"/>
        <v>2277.9387481871986</v>
      </c>
      <c r="AA74" s="35">
        <f ca="1"/>
        <v>2278.2153563114143</v>
      </c>
      <c r="AB74" s="35">
        <f ca="1"/>
        <v>2278.2153563114143</v>
      </c>
      <c r="AC74" s="35">
        <f ca="1"/>
        <v>2278.2153563114143</v>
      </c>
      <c r="AD74" s="35">
        <f ca="1"/>
        <v>2278.2153563114143</v>
      </c>
      <c r="AE74" s="35">
        <f ca="1"/>
        <v>2278.2153563114143</v>
      </c>
      <c r="AF74" s="35">
        <f ca="1"/>
        <v>2278.2153563114143</v>
      </c>
      <c r="AG74" s="35">
        <f ca="1"/>
        <v>2278.2153563114143</v>
      </c>
      <c r="AH74" s="35">
        <f ca="1"/>
        <v>2278.2153563114143</v>
      </c>
      <c r="AI74" s="35">
        <f ca="1"/>
        <v>2278.2153563114143</v>
      </c>
      <c r="AJ74" s="35">
        <f ca="1"/>
        <v>2278.2153563114143</v>
      </c>
      <c r="AK74" s="36">
        <f ca="1"/>
        <v>2278.2153563114143</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872.44381399999997</v>
      </c>
      <c r="F78" s="28">
        <f ca="1"/>
        <v>872.44381399999997</v>
      </c>
      <c r="G78" s="28">
        <f ca="1"/>
        <v>872.44381399999997</v>
      </c>
      <c r="H78" s="28">
        <f ca="1"/>
        <v>872.44381399999997</v>
      </c>
      <c r="I78" s="28">
        <f ca="1"/>
        <v>872.44381399999997</v>
      </c>
      <c r="J78" s="28">
        <f ca="1"/>
        <v>872.44381399999997</v>
      </c>
      <c r="K78" s="28">
        <f ca="1"/>
        <v>872.44381399999997</v>
      </c>
      <c r="L78" s="28">
        <f ca="1"/>
        <v>872.44381399999997</v>
      </c>
      <c r="M78" s="28">
        <f ca="1"/>
        <v>872.44381399999997</v>
      </c>
      <c r="N78" s="28">
        <f ca="1"/>
        <v>872.44381399999997</v>
      </c>
      <c r="O78" s="28">
        <f ca="1"/>
        <v>872.44381399999997</v>
      </c>
      <c r="P78" s="28">
        <f ca="1"/>
        <v>872.44381399999997</v>
      </c>
      <c r="Q78" s="28">
        <f ca="1"/>
        <v>872.44381399999997</v>
      </c>
      <c r="R78" s="28">
        <f ca="1"/>
        <v>872.44381399999997</v>
      </c>
      <c r="S78" s="28">
        <f ca="1"/>
        <v>872.44381399999997</v>
      </c>
      <c r="T78" s="28">
        <f ca="1"/>
        <v>872.44381399999997</v>
      </c>
      <c r="U78" s="28">
        <f ca="1"/>
        <v>872.44381399999997</v>
      </c>
      <c r="V78" s="28">
        <f ca="1"/>
        <v>872.44381399999997</v>
      </c>
      <c r="W78" s="28">
        <f ca="1"/>
        <v>872.44381399999997</v>
      </c>
      <c r="X78" s="28">
        <f ca="1"/>
        <v>872.44381399999997</v>
      </c>
      <c r="Y78" s="28">
        <f ca="1"/>
        <v>872.44381399999997</v>
      </c>
      <c r="Z78" s="28">
        <f ca="1"/>
        <v>872.44381399999997</v>
      </c>
      <c r="AA78" s="28">
        <f ca="1"/>
        <v>872.44381399999997</v>
      </c>
      <c r="AB78" s="28">
        <f ca="1"/>
        <v>872.44381399999997</v>
      </c>
      <c r="AC78" s="28">
        <f ca="1"/>
        <v>872.44381399999997</v>
      </c>
      <c r="AD78" s="28">
        <f ca="1"/>
        <v>872.44381399999997</v>
      </c>
      <c r="AE78" s="28">
        <f ca="1"/>
        <v>872.44381399999997</v>
      </c>
      <c r="AF78" s="28">
        <f ca="1"/>
        <v>872.44381399999997</v>
      </c>
      <c r="AG78" s="28">
        <f ca="1"/>
        <v>872.44381399999997</v>
      </c>
      <c r="AH78" s="28">
        <f ca="1"/>
        <v>872.44381399999997</v>
      </c>
      <c r="AI78" s="28">
        <f ca="1"/>
        <v>872.44381399999997</v>
      </c>
      <c r="AJ78" s="28">
        <f ca="1"/>
        <v>872.44381399999997</v>
      </c>
      <c r="AK78" s="29">
        <f ca="1"/>
        <v>872.44381399999997</v>
      </c>
      <c r="AL78" s="3"/>
    </row>
    <row r="79" spans="2:38" hidden="1">
      <c r="B79" s="3"/>
      <c r="C79" s="12"/>
      <c r="D79" s="16"/>
      <c r="E79" s="141">
        <f t="array" aca="1" ref="E79:AK79" ca="1">tlccQupol2</f>
        <v>2396.392218</v>
      </c>
      <c r="F79" s="28">
        <f ca="1"/>
        <v>2396.392218</v>
      </c>
      <c r="G79" s="28">
        <f ca="1"/>
        <v>2396.392218</v>
      </c>
      <c r="H79" s="28">
        <f ca="1"/>
        <v>2396.392218</v>
      </c>
      <c r="I79" s="28">
        <f ca="1"/>
        <v>2396.392218</v>
      </c>
      <c r="J79" s="28">
        <f ca="1"/>
        <v>2396.392218</v>
      </c>
      <c r="K79" s="28">
        <f ca="1"/>
        <v>2396.392218</v>
      </c>
      <c r="L79" s="28">
        <f ca="1"/>
        <v>2396.392218</v>
      </c>
      <c r="M79" s="28">
        <f ca="1"/>
        <v>2396.392218</v>
      </c>
      <c r="N79" s="28">
        <f ca="1"/>
        <v>2396.392218</v>
      </c>
      <c r="O79" s="28">
        <f ca="1"/>
        <v>2396.392218</v>
      </c>
      <c r="P79" s="28">
        <f ca="1"/>
        <v>2396.392218</v>
      </c>
      <c r="Q79" s="28">
        <f ca="1"/>
        <v>2396.392218</v>
      </c>
      <c r="R79" s="28">
        <f ca="1"/>
        <v>2396.392218</v>
      </c>
      <c r="S79" s="28">
        <f ca="1"/>
        <v>2396.392218</v>
      </c>
      <c r="T79" s="28">
        <f ca="1"/>
        <v>2396.392218</v>
      </c>
      <c r="U79" s="28">
        <f ca="1"/>
        <v>2396.392218</v>
      </c>
      <c r="V79" s="28">
        <f ca="1"/>
        <v>2396.392218</v>
      </c>
      <c r="W79" s="28">
        <f ca="1"/>
        <v>2396.392218</v>
      </c>
      <c r="X79" s="28">
        <f ca="1"/>
        <v>2396.392218</v>
      </c>
      <c r="Y79" s="28">
        <f ca="1"/>
        <v>2396.392218</v>
      </c>
      <c r="Z79" s="28">
        <f ca="1"/>
        <v>2396.392218</v>
      </c>
      <c r="AA79" s="28">
        <f ca="1"/>
        <v>2396.392218</v>
      </c>
      <c r="AB79" s="28">
        <f ca="1"/>
        <v>2396.392218</v>
      </c>
      <c r="AC79" s="28">
        <f ca="1"/>
        <v>2396.392218</v>
      </c>
      <c r="AD79" s="28">
        <f ca="1"/>
        <v>2396.392218</v>
      </c>
      <c r="AE79" s="28">
        <f ca="1"/>
        <v>2396.392218</v>
      </c>
      <c r="AF79" s="28">
        <f ca="1"/>
        <v>2396.392218</v>
      </c>
      <c r="AG79" s="28">
        <f ca="1"/>
        <v>2396.392218</v>
      </c>
      <c r="AH79" s="28">
        <f ca="1"/>
        <v>2396.392218</v>
      </c>
      <c r="AI79" s="28">
        <f ca="1"/>
        <v>2396.392218</v>
      </c>
      <c r="AJ79" s="28">
        <f ca="1"/>
        <v>2396.392218</v>
      </c>
      <c r="AK79" s="29">
        <f ca="1"/>
        <v>2396.392218</v>
      </c>
      <c r="AL79" s="3"/>
    </row>
    <row r="80" spans="2:38" hidden="1">
      <c r="B80" s="3"/>
      <c r="C80" s="12"/>
      <c r="D80" s="16"/>
      <c r="E80" s="141">
        <f t="array" aca="1" ref="E80:AK80" ca="1">tlccQupol3</f>
        <v>2337.5016719999999</v>
      </c>
      <c r="F80" s="28">
        <f ca="1"/>
        <v>2337.5016719999999</v>
      </c>
      <c r="G80" s="28">
        <f ca="1"/>
        <v>2337.5016719999999</v>
      </c>
      <c r="H80" s="28">
        <f ca="1"/>
        <v>2337.5016719999999</v>
      </c>
      <c r="I80" s="28">
        <f ca="1"/>
        <v>2337.5016719999999</v>
      </c>
      <c r="J80" s="28">
        <f ca="1"/>
        <v>2337.5016719999999</v>
      </c>
      <c r="K80" s="28">
        <f ca="1"/>
        <v>2337.5016719999999</v>
      </c>
      <c r="L80" s="28">
        <f ca="1"/>
        <v>2337.5016719999999</v>
      </c>
      <c r="M80" s="28">
        <f ca="1"/>
        <v>2337.5016719999999</v>
      </c>
      <c r="N80" s="28">
        <f ca="1"/>
        <v>2337.5016719999999</v>
      </c>
      <c r="O80" s="28">
        <f ca="1"/>
        <v>2337.5016719999999</v>
      </c>
      <c r="P80" s="28">
        <f ca="1"/>
        <v>2337.5016719999999</v>
      </c>
      <c r="Q80" s="28">
        <f ca="1"/>
        <v>2337.5016719999999</v>
      </c>
      <c r="R80" s="28">
        <f ca="1"/>
        <v>2337.5016719999999</v>
      </c>
      <c r="S80" s="28">
        <f ca="1"/>
        <v>2337.5016719999999</v>
      </c>
      <c r="T80" s="28">
        <f ca="1"/>
        <v>2337.5016719999999</v>
      </c>
      <c r="U80" s="28">
        <f ca="1"/>
        <v>2337.5016719999999</v>
      </c>
      <c r="V80" s="28">
        <f ca="1"/>
        <v>2337.5016719999999</v>
      </c>
      <c r="W80" s="28">
        <f ca="1"/>
        <v>2337.5016719999999</v>
      </c>
      <c r="X80" s="28">
        <f ca="1"/>
        <v>2337.5016719999999</v>
      </c>
      <c r="Y80" s="28">
        <f ca="1"/>
        <v>2337.5016719999999</v>
      </c>
      <c r="Z80" s="28">
        <f ca="1"/>
        <v>2337.5016719999999</v>
      </c>
      <c r="AA80" s="28">
        <f ca="1"/>
        <v>2337.5016719999999</v>
      </c>
      <c r="AB80" s="28">
        <f ca="1"/>
        <v>2337.5016719999999</v>
      </c>
      <c r="AC80" s="28">
        <f ca="1"/>
        <v>2337.5016719999999</v>
      </c>
      <c r="AD80" s="28">
        <f ca="1"/>
        <v>2337.5016719999999</v>
      </c>
      <c r="AE80" s="28">
        <f ca="1"/>
        <v>2337.5016719999999</v>
      </c>
      <c r="AF80" s="28">
        <f ca="1"/>
        <v>2337.5016719999999</v>
      </c>
      <c r="AG80" s="28">
        <f ca="1"/>
        <v>2337.5016719999999</v>
      </c>
      <c r="AH80" s="28">
        <f ca="1"/>
        <v>2337.5016719999999</v>
      </c>
      <c r="AI80" s="28">
        <f ca="1"/>
        <v>2337.5016719999999</v>
      </c>
      <c r="AJ80" s="28">
        <f ca="1"/>
        <v>2337.5016719999999</v>
      </c>
      <c r="AK80" s="29">
        <f ca="1"/>
        <v>2337.5016719999999</v>
      </c>
      <c r="AL80" s="3"/>
    </row>
    <row r="81" spans="2:38" hidden="1">
      <c r="B81" s="3"/>
      <c r="C81" s="12"/>
      <c r="D81" s="16"/>
      <c r="E81" s="141">
        <f t="array" aca="1" ref="E81:AK81" ca="1">tlccQupol4</f>
        <v>1688.0056619999998</v>
      </c>
      <c r="F81" s="28">
        <f ca="1"/>
        <v>1688.0056619999998</v>
      </c>
      <c r="G81" s="28">
        <f ca="1"/>
        <v>1688.0056619999998</v>
      </c>
      <c r="H81" s="28">
        <f ca="1"/>
        <v>1688.0056619999998</v>
      </c>
      <c r="I81" s="28">
        <f ca="1"/>
        <v>1688.0056619999998</v>
      </c>
      <c r="J81" s="28">
        <f ca="1"/>
        <v>1688.0056619999998</v>
      </c>
      <c r="K81" s="28">
        <f ca="1"/>
        <v>1688.0056619999998</v>
      </c>
      <c r="L81" s="28">
        <f ca="1"/>
        <v>1688.0056619999998</v>
      </c>
      <c r="M81" s="28">
        <f ca="1"/>
        <v>1688.0056619999998</v>
      </c>
      <c r="N81" s="28">
        <f ca="1"/>
        <v>1688.0056619999998</v>
      </c>
      <c r="O81" s="28">
        <f ca="1"/>
        <v>1688.0056619999998</v>
      </c>
      <c r="P81" s="28">
        <f ca="1"/>
        <v>1688.0056619999998</v>
      </c>
      <c r="Q81" s="28">
        <f ca="1"/>
        <v>1688.0056619999998</v>
      </c>
      <c r="R81" s="28">
        <f ca="1"/>
        <v>1688.0056619999998</v>
      </c>
      <c r="S81" s="28">
        <f ca="1"/>
        <v>1688.0056619999998</v>
      </c>
      <c r="T81" s="28">
        <f ca="1"/>
        <v>1688.0056619999998</v>
      </c>
      <c r="U81" s="28">
        <f ca="1"/>
        <v>1688.0056619999998</v>
      </c>
      <c r="V81" s="28">
        <f ca="1"/>
        <v>1688.0056619999998</v>
      </c>
      <c r="W81" s="28">
        <f ca="1"/>
        <v>1688.0056619999998</v>
      </c>
      <c r="X81" s="28">
        <f ca="1"/>
        <v>1688.0056619999998</v>
      </c>
      <c r="Y81" s="28">
        <f ca="1"/>
        <v>1688.0056619999998</v>
      </c>
      <c r="Z81" s="28">
        <f ca="1"/>
        <v>1688.0056619999998</v>
      </c>
      <c r="AA81" s="28">
        <f ca="1"/>
        <v>1688.0056619999998</v>
      </c>
      <c r="AB81" s="28">
        <f ca="1"/>
        <v>1688.0056619999998</v>
      </c>
      <c r="AC81" s="28">
        <f ca="1"/>
        <v>1688.0056619999998</v>
      </c>
      <c r="AD81" s="28">
        <f ca="1"/>
        <v>1688.0056619999998</v>
      </c>
      <c r="AE81" s="28">
        <f ca="1"/>
        <v>1688.0056619999998</v>
      </c>
      <c r="AF81" s="28">
        <f ca="1"/>
        <v>1688.0056619999998</v>
      </c>
      <c r="AG81" s="28">
        <f ca="1"/>
        <v>1688.0056619999998</v>
      </c>
      <c r="AH81" s="28">
        <f ca="1"/>
        <v>1688.0056619999998</v>
      </c>
      <c r="AI81" s="28">
        <f ca="1"/>
        <v>1688.0056619999998</v>
      </c>
      <c r="AJ81" s="28">
        <f ca="1"/>
        <v>1688.0056619999998</v>
      </c>
      <c r="AK81" s="29">
        <f ca="1"/>
        <v>1688.0056619999998</v>
      </c>
      <c r="AL81" s="3"/>
    </row>
    <row r="82" spans="2:38" hidden="1">
      <c r="B82" s="3"/>
      <c r="C82" s="12"/>
      <c r="D82" s="16"/>
      <c r="E82" s="141">
        <f t="array" aca="1" ref="E82:AK82" ca="1">tlccQupol5</f>
        <v>1768.0390200000002</v>
      </c>
      <c r="F82" s="28">
        <f ca="1"/>
        <v>1768.0390200000002</v>
      </c>
      <c r="G82" s="28">
        <f ca="1"/>
        <v>1768.0390200000002</v>
      </c>
      <c r="H82" s="28">
        <f ca="1"/>
        <v>1768.0390200000002</v>
      </c>
      <c r="I82" s="28">
        <f ca="1"/>
        <v>1768.0390200000002</v>
      </c>
      <c r="J82" s="28">
        <f ca="1"/>
        <v>1768.0390200000002</v>
      </c>
      <c r="K82" s="28">
        <f ca="1"/>
        <v>1768.0390200000002</v>
      </c>
      <c r="L82" s="28">
        <f ca="1"/>
        <v>1768.0390200000002</v>
      </c>
      <c r="M82" s="28">
        <f ca="1"/>
        <v>1768.0390200000002</v>
      </c>
      <c r="N82" s="28">
        <f ca="1"/>
        <v>1768.0390200000002</v>
      </c>
      <c r="O82" s="28">
        <f ca="1"/>
        <v>1768.0390200000002</v>
      </c>
      <c r="P82" s="28">
        <f ca="1"/>
        <v>1768.0390200000002</v>
      </c>
      <c r="Q82" s="28">
        <f ca="1"/>
        <v>1768.0390200000002</v>
      </c>
      <c r="R82" s="28">
        <f ca="1"/>
        <v>1768.0390200000002</v>
      </c>
      <c r="S82" s="28">
        <f ca="1"/>
        <v>1768.0390200000002</v>
      </c>
      <c r="T82" s="28">
        <f ca="1"/>
        <v>1768.0390200000002</v>
      </c>
      <c r="U82" s="28">
        <f ca="1"/>
        <v>1768.0390200000002</v>
      </c>
      <c r="V82" s="28">
        <f ca="1"/>
        <v>1768.0390200000002</v>
      </c>
      <c r="W82" s="28">
        <f ca="1"/>
        <v>1768.0390200000002</v>
      </c>
      <c r="X82" s="28">
        <f ca="1"/>
        <v>1768.0390200000002</v>
      </c>
      <c r="Y82" s="28">
        <f ca="1"/>
        <v>1768.0390200000002</v>
      </c>
      <c r="Z82" s="28">
        <f ca="1"/>
        <v>1768.0390200000002</v>
      </c>
      <c r="AA82" s="28">
        <f ca="1"/>
        <v>1768.0390200000002</v>
      </c>
      <c r="AB82" s="28">
        <f ca="1"/>
        <v>1768.0390200000002</v>
      </c>
      <c r="AC82" s="28">
        <f ca="1"/>
        <v>1768.0390200000002</v>
      </c>
      <c r="AD82" s="28">
        <f ca="1"/>
        <v>1768.0390200000002</v>
      </c>
      <c r="AE82" s="28">
        <f ca="1"/>
        <v>1768.0390200000002</v>
      </c>
      <c r="AF82" s="28">
        <f ca="1"/>
        <v>1768.0390200000002</v>
      </c>
      <c r="AG82" s="28">
        <f ca="1"/>
        <v>1768.0390200000002</v>
      </c>
      <c r="AH82" s="28">
        <f ca="1"/>
        <v>1768.0390200000002</v>
      </c>
      <c r="AI82" s="28">
        <f ca="1"/>
        <v>1768.0390200000002</v>
      </c>
      <c r="AJ82" s="28">
        <f ca="1"/>
        <v>1768.0390200000002</v>
      </c>
      <c r="AK82" s="29">
        <f ca="1"/>
        <v>1768.0390200000002</v>
      </c>
      <c r="AL82" s="3"/>
    </row>
    <row r="83" spans="2:38" hidden="1">
      <c r="B83" s="3"/>
      <c r="C83" s="4"/>
      <c r="D83" s="5"/>
      <c r="E83" s="147">
        <f t="array" aca="1" ref="E83:AK83" ca="1">tlccQupol6</f>
        <v>1427.6778320000001</v>
      </c>
      <c r="F83" s="35">
        <f ca="1"/>
        <v>1427.6778320000001</v>
      </c>
      <c r="G83" s="35">
        <f ca="1"/>
        <v>1427.6778320000001</v>
      </c>
      <c r="H83" s="35">
        <f ca="1"/>
        <v>1427.6778320000001</v>
      </c>
      <c r="I83" s="35">
        <f ca="1"/>
        <v>1427.6778320000001</v>
      </c>
      <c r="J83" s="35">
        <f ca="1"/>
        <v>1427.6778320000001</v>
      </c>
      <c r="K83" s="35">
        <f ca="1"/>
        <v>1427.6778320000001</v>
      </c>
      <c r="L83" s="35">
        <f ca="1"/>
        <v>1427.6778320000001</v>
      </c>
      <c r="M83" s="35">
        <f ca="1"/>
        <v>1427.6778320000001</v>
      </c>
      <c r="N83" s="35">
        <f ca="1"/>
        <v>1427.6778320000001</v>
      </c>
      <c r="O83" s="35">
        <f ca="1"/>
        <v>1427.6778320000001</v>
      </c>
      <c r="P83" s="35">
        <f ca="1"/>
        <v>1427.6778320000001</v>
      </c>
      <c r="Q83" s="35">
        <f ca="1"/>
        <v>1427.6778320000001</v>
      </c>
      <c r="R83" s="35">
        <f ca="1"/>
        <v>1427.6778320000001</v>
      </c>
      <c r="S83" s="35">
        <f ca="1"/>
        <v>1427.6778320000001</v>
      </c>
      <c r="T83" s="35">
        <f ca="1"/>
        <v>1427.6778320000001</v>
      </c>
      <c r="U83" s="35">
        <f ca="1"/>
        <v>1427.6778320000001</v>
      </c>
      <c r="V83" s="35">
        <f ca="1"/>
        <v>1427.6778320000001</v>
      </c>
      <c r="W83" s="35">
        <f ca="1"/>
        <v>1427.6778320000001</v>
      </c>
      <c r="X83" s="35">
        <f ca="1"/>
        <v>1427.6778320000001</v>
      </c>
      <c r="Y83" s="35">
        <f ca="1"/>
        <v>1427.6778320000001</v>
      </c>
      <c r="Z83" s="35">
        <f ca="1"/>
        <v>1427.6778320000001</v>
      </c>
      <c r="AA83" s="35">
        <f ca="1"/>
        <v>1427.6778320000001</v>
      </c>
      <c r="AB83" s="35">
        <f ca="1"/>
        <v>1427.6778320000001</v>
      </c>
      <c r="AC83" s="35">
        <f ca="1"/>
        <v>1427.6778320000001</v>
      </c>
      <c r="AD83" s="35">
        <f ca="1"/>
        <v>1427.6778320000001</v>
      </c>
      <c r="AE83" s="35">
        <f ca="1"/>
        <v>1427.6778320000001</v>
      </c>
      <c r="AF83" s="35">
        <f ca="1"/>
        <v>1427.6778320000001</v>
      </c>
      <c r="AG83" s="35">
        <f ca="1"/>
        <v>1427.6778320000001</v>
      </c>
      <c r="AH83" s="35">
        <f ca="1"/>
        <v>1427.6778320000001</v>
      </c>
      <c r="AI83" s="35">
        <f ca="1"/>
        <v>1427.6778320000001</v>
      </c>
      <c r="AJ83" s="35">
        <f ca="1"/>
        <v>1427.6778320000001</v>
      </c>
      <c r="AK83" s="36">
        <f ca="1"/>
        <v>1427.6778320000001</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9082.2647796736146</v>
      </c>
      <c r="F87" s="28">
        <f ca="1"/>
        <v>9122.188329028766</v>
      </c>
      <c r="G87" s="28">
        <f ca="1"/>
        <v>9157.5913697187607</v>
      </c>
      <c r="H87" s="28">
        <f ca="1"/>
        <v>9196.1309366619462</v>
      </c>
      <c r="I87" s="28">
        <f ca="1"/>
        <v>9230.0627132510672</v>
      </c>
      <c r="J87" s="28">
        <f ca="1"/>
        <v>9267.0406369205102</v>
      </c>
      <c r="K87" s="28">
        <f ca="1"/>
        <v>9299.3157964078255</v>
      </c>
      <c r="L87" s="28">
        <f ca="1"/>
        <v>9334.5314929236174</v>
      </c>
      <c r="M87" s="28">
        <f ca="1"/>
        <v>9372.8811233945016</v>
      </c>
      <c r="N87" s="28">
        <f ca="1"/>
        <v>9406.6202287173855</v>
      </c>
      <c r="O87" s="28">
        <f ca="1"/>
        <v>9443.4012209452503</v>
      </c>
      <c r="P87" s="28">
        <f ca="1"/>
        <v>9483.4578650315998</v>
      </c>
      <c r="Q87" s="28">
        <f ca="1"/>
        <v>9519.0362969451089</v>
      </c>
      <c r="R87" s="28">
        <f ca="1"/>
        <v>9557.7884924151858</v>
      </c>
      <c r="S87" s="28">
        <f ca="1"/>
        <v>9591.979434645471</v>
      </c>
      <c r="T87" s="28">
        <f ca="1"/>
        <v>9629.2527713719101</v>
      </c>
      <c r="U87" s="28">
        <f ca="1"/>
        <v>9669.8642022350432</v>
      </c>
      <c r="V87" s="28">
        <f ca="1"/>
        <v>9706.0400175755112</v>
      </c>
      <c r="W87" s="28">
        <f ca="1"/>
        <v>9745.4597324834776</v>
      </c>
      <c r="X87" s="28">
        <f ca="1"/>
        <v>9780.380323468893</v>
      </c>
      <c r="Y87" s="28">
        <f ca="1"/>
        <v>9818.4462039491245</v>
      </c>
      <c r="Z87" s="28">
        <f ca="1"/>
        <v>9859.9247823209353</v>
      </c>
      <c r="AA87" s="28">
        <f ca="1"/>
        <v>9897.0305799739544</v>
      </c>
      <c r="AB87" s="28">
        <f ca="1"/>
        <v>9937.4790482001717</v>
      </c>
      <c r="AC87" s="28">
        <f ca="1"/>
        <v>9973.4965424961629</v>
      </c>
      <c r="AD87" s="28">
        <f ca="1"/>
        <v>10012.760177675889</v>
      </c>
      <c r="AE87" s="28">
        <f ca="1"/>
        <v>10055.504318476398</v>
      </c>
      <c r="AF87" s="28">
        <f ca="1"/>
        <v>10093.988381890222</v>
      </c>
      <c r="AG87" s="28">
        <f ca="1"/>
        <v>10135.930709168972</v>
      </c>
      <c r="AH87" s="28">
        <f ca="1"/>
        <v>10173.558289084282</v>
      </c>
      <c r="AI87" s="28">
        <f ca="1"/>
        <v>10214.585993688939</v>
      </c>
      <c r="AJ87" s="28">
        <f ca="1"/>
        <v>10251.241502257075</v>
      </c>
      <c r="AK87" s="29">
        <f ca="1"/>
        <v>10291.231269848382</v>
      </c>
      <c r="AL87" s="3"/>
    </row>
    <row r="88" spans="2:38" hidden="1">
      <c r="B88" s="3"/>
      <c r="C88" s="12"/>
      <c r="D88" s="16"/>
      <c r="E88" s="141">
        <f t="array" aca="1" ref="E88:AK88" ca="1">tlccEupol2</f>
        <v>24264.029749272682</v>
      </c>
      <c r="F88" s="28">
        <f ca="1"/>
        <v>24370.688849480579</v>
      </c>
      <c r="G88" s="28">
        <f ca="1"/>
        <v>24465.271032818713</v>
      </c>
      <c r="H88" s="28">
        <f ca="1"/>
        <v>24568.232708294894</v>
      </c>
      <c r="I88" s="28">
        <f ca="1"/>
        <v>24658.884286571585</v>
      </c>
      <c r="J88" s="28">
        <f ca="1"/>
        <v>24757.67390146917</v>
      </c>
      <c r="K88" s="28">
        <f ca="1"/>
        <v>24843.899688644568</v>
      </c>
      <c r="L88" s="28">
        <f ca="1"/>
        <v>24937.981366357024</v>
      </c>
      <c r="M88" s="28">
        <f ca="1"/>
        <v>25040.435610666391</v>
      </c>
      <c r="N88" s="28">
        <f ca="1"/>
        <v>25130.572451545606</v>
      </c>
      <c r="O88" s="28">
        <f ca="1"/>
        <v>25228.835947631083</v>
      </c>
      <c r="P88" s="28">
        <f ca="1"/>
        <v>25335.850621541776</v>
      </c>
      <c r="Q88" s="28">
        <f ca="1"/>
        <v>25430.901377198439</v>
      </c>
      <c r="R88" s="28">
        <f ca="1"/>
        <v>25534.431107562599</v>
      </c>
      <c r="S88" s="28">
        <f ca="1"/>
        <v>25625.775068519113</v>
      </c>
      <c r="T88" s="28">
        <f ca="1"/>
        <v>25725.353904098665</v>
      </c>
      <c r="U88" s="28">
        <f ca="1"/>
        <v>25833.850737270586</v>
      </c>
      <c r="V88" s="28">
        <f ca="1"/>
        <v>25930.497452701067</v>
      </c>
      <c r="W88" s="28">
        <f ca="1"/>
        <v>26035.810517056496</v>
      </c>
      <c r="X88" s="28">
        <f ca="1"/>
        <v>26129.10379567006</v>
      </c>
      <c r="Y88" s="28">
        <f ca="1"/>
        <v>26230.799978154362</v>
      </c>
      <c r="Z88" s="28">
        <f ca="1"/>
        <v>26341.613468400064</v>
      </c>
      <c r="AA88" s="28">
        <f ca="1"/>
        <v>26440.744709336614</v>
      </c>
      <c r="AB88" s="28">
        <f ca="1"/>
        <v>26548.806174198297</v>
      </c>
      <c r="AC88" s="28">
        <f ca="1"/>
        <v>26645.029921720863</v>
      </c>
      <c r="AD88" s="28">
        <f ca="1"/>
        <v>26749.926006032088</v>
      </c>
      <c r="AE88" s="28">
        <f ca="1"/>
        <v>26864.120552122829</v>
      </c>
      <c r="AF88" s="28">
        <f ca="1"/>
        <v>26966.933945279543</v>
      </c>
      <c r="AG88" s="28">
        <f ca="1"/>
        <v>27078.986379505302</v>
      </c>
      <c r="AH88" s="28">
        <f ca="1"/>
        <v>27179.511605383021</v>
      </c>
      <c r="AI88" s="28">
        <f ca="1"/>
        <v>27289.1205486611</v>
      </c>
      <c r="AJ88" s="28">
        <f ca="1"/>
        <v>27387.048804657621</v>
      </c>
      <c r="AK88" s="29">
        <f ca="1"/>
        <v>27493.884812420092</v>
      </c>
      <c r="AL88" s="3"/>
    </row>
    <row r="89" spans="2:38" hidden="1">
      <c r="B89" s="3"/>
      <c r="C89" s="12"/>
      <c r="D89" s="16"/>
      <c r="E89" s="141">
        <f t="array" aca="1" ref="E89:AK89" ca="1">tlccEupol3</f>
        <v>27447.903135980348</v>
      </c>
      <c r="F89" s="28">
        <f ca="1"/>
        <v>27568.557812113238</v>
      </c>
      <c r="G89" s="28">
        <f ca="1"/>
        <v>27675.550864523775</v>
      </c>
      <c r="H89" s="28">
        <f ca="1"/>
        <v>27792.022947866539</v>
      </c>
      <c r="I89" s="28">
        <f ca="1"/>
        <v>27894.569629739814</v>
      </c>
      <c r="J89" s="28">
        <f ca="1"/>
        <v>28006.322203758591</v>
      </c>
      <c r="K89" s="28">
        <f ca="1"/>
        <v>28103.862351816009</v>
      </c>
      <c r="L89" s="28">
        <f ca="1"/>
        <v>28210.289223337601</v>
      </c>
      <c r="M89" s="28">
        <f ca="1"/>
        <v>28326.187291495811</v>
      </c>
      <c r="N89" s="28">
        <f ca="1"/>
        <v>28428.151693246116</v>
      </c>
      <c r="O89" s="28">
        <f ca="1"/>
        <v>28539.309112282735</v>
      </c>
      <c r="P89" s="28">
        <f ca="1"/>
        <v>28660.366019728906</v>
      </c>
      <c r="Q89" s="28">
        <f ca="1"/>
        <v>28767.889129501877</v>
      </c>
      <c r="R89" s="28">
        <f ca="1"/>
        <v>28885.003806663652</v>
      </c>
      <c r="S89" s="28">
        <f ca="1"/>
        <v>28988.333724171116</v>
      </c>
      <c r="T89" s="28">
        <f ca="1"/>
        <v>29100.979078698958</v>
      </c>
      <c r="U89" s="28">
        <f ca="1"/>
        <v>29223.712631131792</v>
      </c>
      <c r="V89" s="28">
        <f ca="1"/>
        <v>29333.041119060566</v>
      </c>
      <c r="W89" s="28">
        <f ca="1"/>
        <v>29452.173135434201</v>
      </c>
      <c r="X89" s="28">
        <f ca="1"/>
        <v>29557.708155836146</v>
      </c>
      <c r="Y89" s="28">
        <f ca="1"/>
        <v>29672.74869093985</v>
      </c>
      <c r="Z89" s="28">
        <f ca="1"/>
        <v>29798.102887165845</v>
      </c>
      <c r="AA89" s="28">
        <f ca="1"/>
        <v>29910.241914651899</v>
      </c>
      <c r="AB89" s="28">
        <f ca="1"/>
        <v>30032.482970688554</v>
      </c>
      <c r="AC89" s="28">
        <f ca="1"/>
        <v>30141.332989777387</v>
      </c>
      <c r="AD89" s="28">
        <f ca="1"/>
        <v>30259.993310889298</v>
      </c>
      <c r="AE89" s="28">
        <f ca="1"/>
        <v>30389.172217779218</v>
      </c>
      <c r="AF89" s="28">
        <f ca="1"/>
        <v>30505.476561517982</v>
      </c>
      <c r="AG89" s="28">
        <f ca="1"/>
        <v>30632.232273267469</v>
      </c>
      <c r="AH89" s="28">
        <f ca="1"/>
        <v>30745.948201376963</v>
      </c>
      <c r="AI89" s="28">
        <f ca="1"/>
        <v>30869.939792593319</v>
      </c>
      <c r="AJ89" s="28">
        <f ca="1"/>
        <v>30980.717982063197</v>
      </c>
      <c r="AK89" s="29">
        <f ca="1"/>
        <v>31101.572779176502</v>
      </c>
      <c r="AL89" s="3"/>
    </row>
    <row r="90" spans="2:38" hidden="1">
      <c r="B90" s="3"/>
      <c r="C90" s="12"/>
      <c r="D90" s="16"/>
      <c r="E90" s="141">
        <f t="array" aca="1" ref="E90:AK90" ca="1">tlccEupol4</f>
        <v>16520.999956184602</v>
      </c>
      <c r="F90" s="28">
        <f ca="1"/>
        <v>16593.622476354169</v>
      </c>
      <c r="G90" s="28">
        <f ca="1"/>
        <v>16658.022011919049</v>
      </c>
      <c r="H90" s="28">
        <f ca="1"/>
        <v>16728.127013174319</v>
      </c>
      <c r="I90" s="28">
        <f ca="1"/>
        <v>16789.850260970044</v>
      </c>
      <c r="J90" s="28">
        <f ca="1"/>
        <v>16857.114571155096</v>
      </c>
      <c r="K90" s="28">
        <f ca="1"/>
        <v>16915.824366719418</v>
      </c>
      <c r="L90" s="28">
        <f ca="1"/>
        <v>16979.883115798875</v>
      </c>
      <c r="M90" s="28">
        <f ca="1"/>
        <v>17049.642615075652</v>
      </c>
      <c r="N90" s="28">
        <f ca="1"/>
        <v>17111.015386194227</v>
      </c>
      <c r="O90" s="28">
        <f ca="1"/>
        <v>17177.921470274163</v>
      </c>
      <c r="P90" s="28">
        <f ca="1"/>
        <v>17250.786095040072</v>
      </c>
      <c r="Q90" s="28">
        <f ca="1"/>
        <v>17315.504674198834</v>
      </c>
      <c r="R90" s="28">
        <f ca="1"/>
        <v>17385.996455180149</v>
      </c>
      <c r="S90" s="28">
        <f ca="1"/>
        <v>17448.191135559053</v>
      </c>
      <c r="T90" s="28">
        <f ca="1"/>
        <v>17515.992813814752</v>
      </c>
      <c r="U90" s="28">
        <f ca="1"/>
        <v>17589.866617737753</v>
      </c>
      <c r="V90" s="28">
        <f ca="1"/>
        <v>17655.671861050236</v>
      </c>
      <c r="W90" s="28">
        <f ca="1"/>
        <v>17727.37788637168</v>
      </c>
      <c r="X90" s="28">
        <f ca="1"/>
        <v>17790.89982678364</v>
      </c>
      <c r="Y90" s="28">
        <f ca="1"/>
        <v>17860.143173570163</v>
      </c>
      <c r="Z90" s="28">
        <f ca="1"/>
        <v>17935.594353213921</v>
      </c>
      <c r="AA90" s="28">
        <f ca="1"/>
        <v>18003.091271248253</v>
      </c>
      <c r="AB90" s="28">
        <f ca="1"/>
        <v>18076.668639669453</v>
      </c>
      <c r="AC90" s="28">
        <f ca="1"/>
        <v>18142.185890720939</v>
      </c>
      <c r="AD90" s="28">
        <f ca="1"/>
        <v>18213.608000824541</v>
      </c>
      <c r="AE90" s="28">
        <f ca="1"/>
        <v>18291.361288734945</v>
      </c>
      <c r="AF90" s="28">
        <f ca="1"/>
        <v>18361.365326868305</v>
      </c>
      <c r="AG90" s="28">
        <f ca="1"/>
        <v>18437.660084172148</v>
      </c>
      <c r="AH90" s="28">
        <f ca="1"/>
        <v>18506.106144842335</v>
      </c>
      <c r="AI90" s="28">
        <f ca="1"/>
        <v>18580.737167216044</v>
      </c>
      <c r="AJ90" s="28">
        <f ca="1"/>
        <v>18647.414991540583</v>
      </c>
      <c r="AK90" s="29">
        <f ca="1"/>
        <v>18720.157965308819</v>
      </c>
      <c r="AL90" s="3"/>
    </row>
    <row r="91" spans="2:38" hidden="1">
      <c r="B91" s="3"/>
      <c r="C91" s="12"/>
      <c r="D91" s="16"/>
      <c r="E91" s="141">
        <f t="array" aca="1" ref="E91:AK91" ca="1">tlccEupol5</f>
        <v>14748.506352257924</v>
      </c>
      <c r="F91" s="28">
        <f ca="1"/>
        <v>14813.337397768386</v>
      </c>
      <c r="G91" s="28">
        <f ca="1"/>
        <v>14870.827680552713</v>
      </c>
      <c r="H91" s="28">
        <f ca="1"/>
        <v>14933.411304974998</v>
      </c>
      <c r="I91" s="28">
        <f ca="1"/>
        <v>14988.512431699253</v>
      </c>
      <c r="J91" s="28">
        <f ca="1"/>
        <v>15048.560135147925</v>
      </c>
      <c r="K91" s="28">
        <f ca="1"/>
        <v>15100.971114817243</v>
      </c>
      <c r="L91" s="28">
        <f ca="1"/>
        <v>15158.157173180649</v>
      </c>
      <c r="M91" s="28">
        <f ca="1"/>
        <v>15220.432363601471</v>
      </c>
      <c r="N91" s="28">
        <f ca="1"/>
        <v>15275.220615347636</v>
      </c>
      <c r="O91" s="28">
        <f ca="1"/>
        <v>15334.948525805512</v>
      </c>
      <c r="P91" s="28">
        <f ca="1"/>
        <v>15399.995701162026</v>
      </c>
      <c r="Q91" s="28">
        <f ca="1"/>
        <v>15457.770798212059</v>
      </c>
      <c r="R91" s="28">
        <f ca="1"/>
        <v>15520.699705804956</v>
      </c>
      <c r="S91" s="28">
        <f ca="1"/>
        <v>15576.221686379835</v>
      </c>
      <c r="T91" s="28">
        <f ca="1"/>
        <v>15636.749105125669</v>
      </c>
      <c r="U91" s="28">
        <f ca="1"/>
        <v>15702.697187524644</v>
      </c>
      <c r="V91" s="28">
        <f ca="1"/>
        <v>15761.44236345709</v>
      </c>
      <c r="W91" s="28">
        <f ca="1"/>
        <v>15825.455242384105</v>
      </c>
      <c r="X91" s="28">
        <f ca="1"/>
        <v>15882.162084836626</v>
      </c>
      <c r="Y91" s="28">
        <f ca="1"/>
        <v>15943.976499378181</v>
      </c>
      <c r="Z91" s="28">
        <f ca="1"/>
        <v>16011.332725103772</v>
      </c>
      <c r="AA91" s="28">
        <f ca="1"/>
        <v>16071.588080531857</v>
      </c>
      <c r="AB91" s="28">
        <f ca="1"/>
        <v>16137.271531195887</v>
      </c>
      <c r="AC91" s="28">
        <f ca="1"/>
        <v>16195.759612781634</v>
      </c>
      <c r="AD91" s="28">
        <f ca="1"/>
        <v>16259.519036990112</v>
      </c>
      <c r="AE91" s="28">
        <f ca="1"/>
        <v>16328.930383984636</v>
      </c>
      <c r="AF91" s="28">
        <f ca="1"/>
        <v>16391.423877346544</v>
      </c>
      <c r="AG91" s="28">
        <f ca="1"/>
        <v>16459.533175556346</v>
      </c>
      <c r="AH91" s="28">
        <f ca="1"/>
        <v>16520.635842662345</v>
      </c>
      <c r="AI91" s="28">
        <f ca="1"/>
        <v>16587.259903583192</v>
      </c>
      <c r="AJ91" s="28">
        <f ca="1"/>
        <v>16646.784043660271</v>
      </c>
      <c r="AK91" s="29">
        <f ca="1"/>
        <v>16711.722619627119</v>
      </c>
      <c r="AL91" s="3"/>
    </row>
    <row r="92" spans="2:38" hidden="1">
      <c r="B92" s="3"/>
      <c r="C92" s="4"/>
      <c r="D92" s="5"/>
      <c r="E92" s="147">
        <f t="array" aca="1" ref="E92:AK92" ca="1">tlccEupol6</f>
        <v>10579.762692192096</v>
      </c>
      <c r="F92" s="35">
        <f ca="1"/>
        <v>10626.268898326145</v>
      </c>
      <c r="G92" s="35">
        <f ca="1"/>
        <v>10667.509247310507</v>
      </c>
      <c r="H92" s="35">
        <f ca="1"/>
        <v>10712.403277864567</v>
      </c>
      <c r="I92" s="35">
        <f ca="1"/>
        <v>10751.929778439713</v>
      </c>
      <c r="J92" s="35">
        <f ca="1"/>
        <v>10795.0046795534</v>
      </c>
      <c r="K92" s="35">
        <f ca="1"/>
        <v>10832.601417427932</v>
      </c>
      <c r="L92" s="35">
        <f ca="1"/>
        <v>10873.623532639893</v>
      </c>
      <c r="M92" s="35">
        <f ca="1"/>
        <v>10918.296309701314</v>
      </c>
      <c r="N92" s="35">
        <f ca="1"/>
        <v>10957.598371072821</v>
      </c>
      <c r="O92" s="35">
        <f ca="1"/>
        <v>11000.443870383193</v>
      </c>
      <c r="P92" s="35">
        <f ca="1"/>
        <v>11047.10511611429</v>
      </c>
      <c r="Q92" s="35">
        <f ca="1"/>
        <v>11088.549775099311</v>
      </c>
      <c r="R92" s="35">
        <f ca="1"/>
        <v>11133.691492701775</v>
      </c>
      <c r="S92" s="35">
        <f ca="1"/>
        <v>11173.519890551228</v>
      </c>
      <c r="T92" s="35">
        <f ca="1"/>
        <v>11216.938912885222</v>
      </c>
      <c r="U92" s="35">
        <f ca="1"/>
        <v>11264.246419497873</v>
      </c>
      <c r="V92" s="35">
        <f ca="1"/>
        <v>11306.386959416428</v>
      </c>
      <c r="W92" s="35">
        <f ca="1"/>
        <v>11352.306258097691</v>
      </c>
      <c r="X92" s="35">
        <f ca="1"/>
        <v>11392.984610321433</v>
      </c>
      <c r="Y92" s="35">
        <f ca="1"/>
        <v>11437.326852253371</v>
      </c>
      <c r="Z92" s="35">
        <f ca="1"/>
        <v>11485.644483001746</v>
      </c>
      <c r="AA92" s="35">
        <f ca="1"/>
        <v>11528.868342159876</v>
      </c>
      <c r="AB92" s="35">
        <f ca="1"/>
        <v>11575.986016603114</v>
      </c>
      <c r="AC92" s="35">
        <f ca="1"/>
        <v>11617.942131257669</v>
      </c>
      <c r="AD92" s="35">
        <f ca="1"/>
        <v>11663.679615542858</v>
      </c>
      <c r="AE92" s="35">
        <f ca="1"/>
        <v>11713.471476617327</v>
      </c>
      <c r="AF92" s="35">
        <f ca="1"/>
        <v>11758.300852133973</v>
      </c>
      <c r="AG92" s="35">
        <f ca="1"/>
        <v>11807.1586954288</v>
      </c>
      <c r="AH92" s="35">
        <f ca="1"/>
        <v>11850.990369118424</v>
      </c>
      <c r="AI92" s="35">
        <f ca="1"/>
        <v>11898.782785333164</v>
      </c>
      <c r="AJ92" s="35">
        <f ca="1"/>
        <v>11941.482111043255</v>
      </c>
      <c r="AK92" s="36">
        <f ca="1"/>
        <v>11988.065453579011</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2053.9777376675761</v>
      </c>
      <c r="F96" s="28">
        <f ca="1"/>
        <v>2039.8300550564354</v>
      </c>
      <c r="G96" s="28">
        <f ca="1"/>
        <v>2025.5781370879001</v>
      </c>
      <c r="H96" s="28">
        <f ca="1"/>
        <v>2013.0632323862196</v>
      </c>
      <c r="I96" s="28">
        <f ca="1"/>
        <v>2001.1964748636149</v>
      </c>
      <c r="J96" s="28">
        <f ca="1"/>
        <v>1990.8635179468549</v>
      </c>
      <c r="K96" s="28">
        <f ca="1"/>
        <v>1982.8523324145942</v>
      </c>
      <c r="L96" s="28">
        <f ca="1"/>
        <v>1976.2117142417958</v>
      </c>
      <c r="M96" s="28">
        <f ca="1"/>
        <v>1969.5409428402697</v>
      </c>
      <c r="N96" s="28">
        <f ca="1"/>
        <v>1964.204785858434</v>
      </c>
      <c r="O96" s="28">
        <f ca="1"/>
        <v>1960.5294217677035</v>
      </c>
      <c r="P96" s="28">
        <f ca="1"/>
        <v>1957.839462306408</v>
      </c>
      <c r="Q96" s="28">
        <f ca="1"/>
        <v>1955.5752358697798</v>
      </c>
      <c r="R96" s="28">
        <f ca="1"/>
        <v>1953.9046076148572</v>
      </c>
      <c r="S96" s="28">
        <f ca="1"/>
        <v>1952.6309132160497</v>
      </c>
      <c r="T96" s="28">
        <f ca="1"/>
        <v>1952.4709745032189</v>
      </c>
      <c r="U96" s="28">
        <f ca="1"/>
        <v>1952.7974504088413</v>
      </c>
      <c r="V96" s="28">
        <f ca="1"/>
        <v>1953.2775838098607</v>
      </c>
      <c r="W96" s="28">
        <f ca="1"/>
        <v>1953.964241095003</v>
      </c>
      <c r="X96" s="28">
        <f ca="1"/>
        <v>1954.6131248533736</v>
      </c>
      <c r="Y96" s="28">
        <f ca="1"/>
        <v>1955.1507597406755</v>
      </c>
      <c r="Z96" s="28">
        <f ca="1"/>
        <v>1955.5110511299874</v>
      </c>
      <c r="AA96" s="28">
        <f ca="1"/>
        <v>1955.7485071389194</v>
      </c>
      <c r="AB96" s="28">
        <f ca="1"/>
        <v>1955.7485071389194</v>
      </c>
      <c r="AC96" s="28">
        <f ca="1"/>
        <v>1955.7485071389194</v>
      </c>
      <c r="AD96" s="28">
        <f ca="1"/>
        <v>1955.7485071389194</v>
      </c>
      <c r="AE96" s="28">
        <f ca="1"/>
        <v>1955.7485071389194</v>
      </c>
      <c r="AF96" s="28">
        <f ca="1"/>
        <v>1955.7485071389194</v>
      </c>
      <c r="AG96" s="28">
        <f ca="1"/>
        <v>1955.7485071389194</v>
      </c>
      <c r="AH96" s="28">
        <f ca="1"/>
        <v>1955.7485071389194</v>
      </c>
      <c r="AI96" s="28">
        <f ca="1"/>
        <v>1955.7485071389194</v>
      </c>
      <c r="AJ96" s="28">
        <f ca="1"/>
        <v>1955.7485071389194</v>
      </c>
      <c r="AK96" s="29">
        <f ca="1"/>
        <v>1955.7485071389194</v>
      </c>
      <c r="AL96" s="3"/>
    </row>
    <row r="97" spans="2:38" hidden="1">
      <c r="B97" s="3"/>
      <c r="C97" s="12"/>
      <c r="D97" s="16"/>
      <c r="E97" s="141">
        <f t="array" aca="1" ref="E97:AK97" ca="1">tlccFupolElec2</f>
        <v>5487.373264281875</v>
      </c>
      <c r="F97" s="28">
        <f ca="1"/>
        <v>5449.5765472638595</v>
      </c>
      <c r="G97" s="28">
        <f ca="1"/>
        <v>5411.5013567731958</v>
      </c>
      <c r="H97" s="28">
        <f ca="1"/>
        <v>5378.0667424608619</v>
      </c>
      <c r="I97" s="28">
        <f ca="1"/>
        <v>5346.3637075305978</v>
      </c>
      <c r="J97" s="28">
        <f ca="1"/>
        <v>5318.7583491636706</v>
      </c>
      <c r="K97" s="28">
        <f ca="1"/>
        <v>5297.355797179418</v>
      </c>
      <c r="L97" s="28">
        <f ca="1"/>
        <v>5279.6148304924573</v>
      </c>
      <c r="M97" s="28">
        <f ca="1"/>
        <v>5261.7933069337669</v>
      </c>
      <c r="N97" s="28">
        <f ca="1"/>
        <v>5247.5373173876542</v>
      </c>
      <c r="O97" s="28">
        <f ca="1"/>
        <v>5237.7182749130852</v>
      </c>
      <c r="P97" s="28">
        <f ca="1"/>
        <v>5230.5318232981444</v>
      </c>
      <c r="Q97" s="28">
        <f ca="1"/>
        <v>5224.4827530551811</v>
      </c>
      <c r="R97" s="28">
        <f ca="1"/>
        <v>5220.019529986841</v>
      </c>
      <c r="S97" s="28">
        <f ca="1"/>
        <v>5216.6167489037216</v>
      </c>
      <c r="T97" s="28">
        <f ca="1"/>
        <v>5216.1894592595281</v>
      </c>
      <c r="U97" s="28">
        <f ca="1"/>
        <v>5217.0616669388473</v>
      </c>
      <c r="V97" s="28">
        <f ca="1"/>
        <v>5218.3443834647978</v>
      </c>
      <c r="W97" s="28">
        <f ca="1"/>
        <v>5220.1788458151505</v>
      </c>
      <c r="X97" s="28">
        <f ca="1"/>
        <v>5221.9123930303967</v>
      </c>
      <c r="Y97" s="28">
        <f ca="1"/>
        <v>5223.3487295847917</v>
      </c>
      <c r="Z97" s="28">
        <f ca="1"/>
        <v>5224.3112781561831</v>
      </c>
      <c r="AA97" s="28">
        <f ca="1"/>
        <v>5224.9456617383221</v>
      </c>
      <c r="AB97" s="28">
        <f ca="1"/>
        <v>5224.9456617383221</v>
      </c>
      <c r="AC97" s="28">
        <f ca="1"/>
        <v>5224.9456617383221</v>
      </c>
      <c r="AD97" s="28">
        <f ca="1"/>
        <v>5224.9456617383221</v>
      </c>
      <c r="AE97" s="28">
        <f ca="1"/>
        <v>5224.9456617383221</v>
      </c>
      <c r="AF97" s="28">
        <f ca="1"/>
        <v>5224.9456617383221</v>
      </c>
      <c r="AG97" s="28">
        <f ca="1"/>
        <v>5224.9456617383221</v>
      </c>
      <c r="AH97" s="28">
        <f ca="1"/>
        <v>5224.9456617383221</v>
      </c>
      <c r="AI97" s="28">
        <f ca="1"/>
        <v>5224.9456617383221</v>
      </c>
      <c r="AJ97" s="28">
        <f ca="1"/>
        <v>5224.9456617383221</v>
      </c>
      <c r="AK97" s="29">
        <f ca="1"/>
        <v>5224.9456617383221</v>
      </c>
      <c r="AL97" s="3"/>
    </row>
    <row r="98" spans="2:38" hidden="1">
      <c r="B98" s="3"/>
      <c r="C98" s="12"/>
      <c r="D98" s="16"/>
      <c r="E98" s="141">
        <f t="array" aca="1" ref="E98:AK98" ca="1">tlccFupolElec3</f>
        <v>6207.4144890747939</v>
      </c>
      <c r="F98" s="28">
        <f ca="1"/>
        <v>6164.6581687813914</v>
      </c>
      <c r="G98" s="28">
        <f ca="1"/>
        <v>6121.5868343299044</v>
      </c>
      <c r="H98" s="28">
        <f ca="1"/>
        <v>6083.7650024035183</v>
      </c>
      <c r="I98" s="28">
        <f ca="1"/>
        <v>6047.9019639521848</v>
      </c>
      <c r="J98" s="28">
        <f ca="1"/>
        <v>6016.6742903003187</v>
      </c>
      <c r="K98" s="28">
        <f ca="1"/>
        <v>5992.4633418388748</v>
      </c>
      <c r="L98" s="28">
        <f ca="1"/>
        <v>5972.3944439602383</v>
      </c>
      <c r="M98" s="28">
        <f ca="1"/>
        <v>5952.234418711786</v>
      </c>
      <c r="N98" s="28">
        <f ca="1"/>
        <v>5936.1077891200557</v>
      </c>
      <c r="O98" s="28">
        <f ca="1"/>
        <v>5925.0003131766534</v>
      </c>
      <c r="P98" s="28">
        <f ca="1"/>
        <v>5916.8708709588282</v>
      </c>
      <c r="Q98" s="28">
        <f ca="1"/>
        <v>5910.0280548311157</v>
      </c>
      <c r="R98" s="28">
        <f ca="1"/>
        <v>5904.9791773066499</v>
      </c>
      <c r="S98" s="28">
        <f ca="1"/>
        <v>5901.1298906659931</v>
      </c>
      <c r="T98" s="28">
        <f ca="1"/>
        <v>5900.6465330009205</v>
      </c>
      <c r="U98" s="28">
        <f ca="1"/>
        <v>5901.6331898812414</v>
      </c>
      <c r="V98" s="28">
        <f ca="1"/>
        <v>5903.0842216891897</v>
      </c>
      <c r="W98" s="28">
        <f ca="1"/>
        <v>5905.1593982126033</v>
      </c>
      <c r="X98" s="28">
        <f ca="1"/>
        <v>5907.120417735634</v>
      </c>
      <c r="Y98" s="28">
        <f ca="1"/>
        <v>5908.745227259159</v>
      </c>
      <c r="Z98" s="28">
        <f ca="1"/>
        <v>5909.834079367577</v>
      </c>
      <c r="AA98" s="28">
        <f ca="1"/>
        <v>5910.5517053882149</v>
      </c>
      <c r="AB98" s="28">
        <f ca="1"/>
        <v>5910.5517053882149</v>
      </c>
      <c r="AC98" s="28">
        <f ca="1"/>
        <v>5910.5517053882149</v>
      </c>
      <c r="AD98" s="28">
        <f ca="1"/>
        <v>5910.5517053882149</v>
      </c>
      <c r="AE98" s="28">
        <f ca="1"/>
        <v>5910.5517053882149</v>
      </c>
      <c r="AF98" s="28">
        <f ca="1"/>
        <v>5910.5517053882149</v>
      </c>
      <c r="AG98" s="28">
        <f ca="1"/>
        <v>5910.5517053882149</v>
      </c>
      <c r="AH98" s="28">
        <f ca="1"/>
        <v>5910.5517053882149</v>
      </c>
      <c r="AI98" s="28">
        <f ca="1"/>
        <v>5910.5517053882149</v>
      </c>
      <c r="AJ98" s="28">
        <f ca="1"/>
        <v>5910.5517053882149</v>
      </c>
      <c r="AK98" s="29">
        <f ca="1"/>
        <v>5910.5517053882149</v>
      </c>
      <c r="AL98" s="3"/>
    </row>
    <row r="99" spans="2:38" hidden="1">
      <c r="B99" s="3"/>
      <c r="C99" s="12"/>
      <c r="D99" s="16"/>
      <c r="E99" s="141">
        <f t="array" aca="1" ref="E99:AK99" ca="1">tlccFupolElec4</f>
        <v>3736.266992562802</v>
      </c>
      <c r="F99" s="28">
        <f ca="1"/>
        <v>3710.5317966101484</v>
      </c>
      <c r="G99" s="28">
        <f ca="1"/>
        <v>3684.606992407053</v>
      </c>
      <c r="H99" s="28">
        <f ca="1"/>
        <v>3661.8418842491351</v>
      </c>
      <c r="I99" s="28">
        <f ca="1"/>
        <v>3640.2557815239888</v>
      </c>
      <c r="J99" s="28">
        <f ca="1"/>
        <v>3621.4597229515603</v>
      </c>
      <c r="K99" s="28">
        <f ca="1"/>
        <v>3606.8870586394964</v>
      </c>
      <c r="L99" s="28">
        <f ca="1"/>
        <v>3594.8075107290047</v>
      </c>
      <c r="M99" s="28">
        <f ca="1"/>
        <v>3582.6731128991837</v>
      </c>
      <c r="N99" s="28">
        <f ca="1"/>
        <v>3572.9664316471235</v>
      </c>
      <c r="O99" s="28">
        <f ca="1"/>
        <v>3566.280798552852</v>
      </c>
      <c r="P99" s="28">
        <f ca="1"/>
        <v>3561.3876555736192</v>
      </c>
      <c r="Q99" s="28">
        <f ca="1"/>
        <v>3557.2689378564205</v>
      </c>
      <c r="R99" s="28">
        <f ca="1"/>
        <v>3554.2299987816486</v>
      </c>
      <c r="S99" s="28">
        <f ca="1"/>
        <v>3551.9130981387621</v>
      </c>
      <c r="T99" s="28">
        <f ca="1"/>
        <v>3551.622163274852</v>
      </c>
      <c r="U99" s="28">
        <f ca="1"/>
        <v>3552.2160358995038</v>
      </c>
      <c r="V99" s="28">
        <f ca="1"/>
        <v>3553.0894176043571</v>
      </c>
      <c r="W99" s="28">
        <f ca="1"/>
        <v>3554.3384744478808</v>
      </c>
      <c r="X99" s="28">
        <f ca="1"/>
        <v>3555.5188197476136</v>
      </c>
      <c r="Y99" s="28">
        <f ca="1"/>
        <v>3556.4967989372799</v>
      </c>
      <c r="Z99" s="28">
        <f ca="1"/>
        <v>3557.1521832683284</v>
      </c>
      <c r="AA99" s="28">
        <f ca="1"/>
        <v>3557.5841251692009</v>
      </c>
      <c r="AB99" s="28">
        <f ca="1"/>
        <v>3557.5841251692009</v>
      </c>
      <c r="AC99" s="28">
        <f ca="1"/>
        <v>3557.5841251692009</v>
      </c>
      <c r="AD99" s="28">
        <f ca="1"/>
        <v>3557.5841251692009</v>
      </c>
      <c r="AE99" s="28">
        <f ca="1"/>
        <v>3557.5841251692009</v>
      </c>
      <c r="AF99" s="28">
        <f ca="1"/>
        <v>3557.5841251692009</v>
      </c>
      <c r="AG99" s="28">
        <f ca="1"/>
        <v>3557.5841251692009</v>
      </c>
      <c r="AH99" s="28">
        <f ca="1"/>
        <v>3557.5841251692009</v>
      </c>
      <c r="AI99" s="28">
        <f ca="1"/>
        <v>3557.5841251692009</v>
      </c>
      <c r="AJ99" s="28">
        <f ca="1"/>
        <v>3557.5841251692009</v>
      </c>
      <c r="AK99" s="29">
        <f ca="1"/>
        <v>3557.5841251692009</v>
      </c>
      <c r="AL99" s="3"/>
    </row>
    <row r="100" spans="2:38" hidden="1">
      <c r="B100" s="3"/>
      <c r="C100" s="12"/>
      <c r="D100" s="16"/>
      <c r="E100" s="141">
        <f t="array" aca="1" ref="E100:AK100" ca="1">tlccFupolElec5</f>
        <v>3335.4129665084765</v>
      </c>
      <c r="F100" s="28">
        <f ca="1"/>
        <v>3312.4388304397803</v>
      </c>
      <c r="G100" s="28">
        <f ca="1"/>
        <v>3289.2954286793274</v>
      </c>
      <c r="H100" s="28">
        <f ca="1"/>
        <v>3268.9727276825761</v>
      </c>
      <c r="I100" s="28">
        <f ca="1"/>
        <v>3249.7025398000847</v>
      </c>
      <c r="J100" s="28">
        <f ca="1"/>
        <v>3232.9230597451196</v>
      </c>
      <c r="K100" s="28">
        <f ca="1"/>
        <v>3219.9138573514515</v>
      </c>
      <c r="L100" s="28">
        <f ca="1"/>
        <v>3209.1302916131312</v>
      </c>
      <c r="M100" s="28">
        <f ca="1"/>
        <v>3198.2977606556492</v>
      </c>
      <c r="N100" s="28">
        <f ca="1"/>
        <v>3189.6324831007173</v>
      </c>
      <c r="O100" s="28">
        <f ca="1"/>
        <v>3183.6641335806376</v>
      </c>
      <c r="P100" s="28">
        <f ca="1"/>
        <v>3179.2959627372798</v>
      </c>
      <c r="Q100" s="28">
        <f ca="1"/>
        <v>3175.6191311546659</v>
      </c>
      <c r="R100" s="28">
        <f ca="1"/>
        <v>3172.9062316711443</v>
      </c>
      <c r="S100" s="28">
        <f ca="1"/>
        <v>3170.837905060177</v>
      </c>
      <c r="T100" s="28">
        <f ca="1"/>
        <v>3170.578183814499</v>
      </c>
      <c r="U100" s="28">
        <f ca="1"/>
        <v>3171.1083414442028</v>
      </c>
      <c r="V100" s="28">
        <f ca="1"/>
        <v>3171.8880203774474</v>
      </c>
      <c r="W100" s="28">
        <f ca="1"/>
        <v>3173.0030692752075</v>
      </c>
      <c r="X100" s="28">
        <f ca="1"/>
        <v>3174.0567785057106</v>
      </c>
      <c r="Y100" s="28">
        <f ca="1"/>
        <v>3174.9298329412422</v>
      </c>
      <c r="Z100" s="28">
        <f ca="1"/>
        <v>3175.5149028519786</v>
      </c>
      <c r="AA100" s="28">
        <f ca="1"/>
        <v>3175.9005028692732</v>
      </c>
      <c r="AB100" s="28">
        <f ca="1"/>
        <v>3175.9005028692732</v>
      </c>
      <c r="AC100" s="28">
        <f ca="1"/>
        <v>3175.9005028692732</v>
      </c>
      <c r="AD100" s="28">
        <f ca="1"/>
        <v>3175.9005028692732</v>
      </c>
      <c r="AE100" s="28">
        <f ca="1"/>
        <v>3175.9005028692732</v>
      </c>
      <c r="AF100" s="28">
        <f ca="1"/>
        <v>3175.9005028692732</v>
      </c>
      <c r="AG100" s="28">
        <f ca="1"/>
        <v>3175.9005028692732</v>
      </c>
      <c r="AH100" s="28">
        <f ca="1"/>
        <v>3175.9005028692732</v>
      </c>
      <c r="AI100" s="28">
        <f ca="1"/>
        <v>3175.9005028692732</v>
      </c>
      <c r="AJ100" s="28">
        <f ca="1"/>
        <v>3175.9005028692732</v>
      </c>
      <c r="AK100" s="29">
        <f ca="1"/>
        <v>3175.9005028692732</v>
      </c>
      <c r="AL100" s="3"/>
    </row>
    <row r="101" spans="2:38" hidden="1">
      <c r="B101" s="3"/>
      <c r="C101" s="4"/>
      <c r="D101" s="5"/>
      <c r="E101" s="147">
        <f t="array" aca="1" ref="E101:AK101" ca="1">tlccFupolElec6</f>
        <v>2392.6407748210881</v>
      </c>
      <c r="F101" s="35">
        <f ca="1"/>
        <v>2376.1604003438638</v>
      </c>
      <c r="G101" s="35">
        <f ca="1"/>
        <v>2359.5586040217459</v>
      </c>
      <c r="H101" s="35">
        <f ca="1"/>
        <v>2344.9802224097602</v>
      </c>
      <c r="I101" s="35">
        <f ca="1"/>
        <v>2331.1568554896585</v>
      </c>
      <c r="J101" s="35">
        <f ca="1"/>
        <v>2319.1201845997471</v>
      </c>
      <c r="K101" s="35">
        <f ca="1"/>
        <v>2309.7881023635923</v>
      </c>
      <c r="L101" s="35">
        <f ca="1"/>
        <v>2302.0525687602444</v>
      </c>
      <c r="M101" s="35">
        <f ca="1"/>
        <v>2294.2819102170192</v>
      </c>
      <c r="N101" s="35">
        <f ca="1"/>
        <v>2288.0659193903198</v>
      </c>
      <c r="O101" s="35">
        <f ca="1"/>
        <v>2283.7845555641561</v>
      </c>
      <c r="P101" s="35">
        <f ca="1"/>
        <v>2280.6510714120741</v>
      </c>
      <c r="Q101" s="35">
        <f ca="1"/>
        <v>2278.0135158065023</v>
      </c>
      <c r="R101" s="35">
        <f ca="1"/>
        <v>2276.0674317720986</v>
      </c>
      <c r="S101" s="35">
        <f ca="1"/>
        <v>2274.5837286640458</v>
      </c>
      <c r="T101" s="35">
        <f ca="1"/>
        <v>2274.3974190080194</v>
      </c>
      <c r="U101" s="35">
        <f ca="1"/>
        <v>2274.7777247676504</v>
      </c>
      <c r="V101" s="35">
        <f ca="1"/>
        <v>2275.3370233089954</v>
      </c>
      <c r="W101" s="35">
        <f ca="1"/>
        <v>2276.1368977130014</v>
      </c>
      <c r="X101" s="35">
        <f ca="1"/>
        <v>2276.8927704325183</v>
      </c>
      <c r="Y101" s="35">
        <f ca="1"/>
        <v>2277.5190513944463</v>
      </c>
      <c r="Z101" s="35">
        <f ca="1"/>
        <v>2277.9387481871986</v>
      </c>
      <c r="AA101" s="35">
        <f ca="1"/>
        <v>2278.2153563114143</v>
      </c>
      <c r="AB101" s="35">
        <f ca="1"/>
        <v>2278.2153563114143</v>
      </c>
      <c r="AC101" s="35">
        <f ca="1"/>
        <v>2278.2153563114143</v>
      </c>
      <c r="AD101" s="35">
        <f ca="1"/>
        <v>2278.2153563114143</v>
      </c>
      <c r="AE101" s="35">
        <f ca="1"/>
        <v>2278.2153563114143</v>
      </c>
      <c r="AF101" s="35">
        <f ca="1"/>
        <v>2278.2153563114143</v>
      </c>
      <c r="AG101" s="35">
        <f ca="1"/>
        <v>2278.2153563114143</v>
      </c>
      <c r="AH101" s="35">
        <f ca="1"/>
        <v>2278.2153563114143</v>
      </c>
      <c r="AI101" s="35">
        <f ca="1"/>
        <v>2278.2153563114143</v>
      </c>
      <c r="AJ101" s="35">
        <f ca="1"/>
        <v>2278.2153563114143</v>
      </c>
      <c r="AK101" s="36">
        <f ca="1"/>
        <v>2278.2153563114143</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INDEX(_doName,7,1)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INDEX(_doName,7,1)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(1+INDEX(vadPRV,1,1))*INDEX(mspPRV,1,1)*tPIdxAll + INDEX(instPRV,1,1) + SUMPRODUCT(dFactor,tpSurvPRV,INDEX(mrPRV,1,1)*allOnes)</f>
        <v>756.91380600000002</v>
      </c>
      <c r="F106" s="28">
        <f ca="1"/>
        <v>756.91380600000002</v>
      </c>
      <c r="G106" s="28">
        <f ca="1"/>
        <v>756.91380600000002</v>
      </c>
      <c r="H106" s="28">
        <f ca="1"/>
        <v>756.91380600000002</v>
      </c>
      <c r="I106" s="28">
        <f ca="1"/>
        <v>756.91380600000002</v>
      </c>
      <c r="J106" s="28">
        <f ca="1"/>
        <v>756.91380600000002</v>
      </c>
      <c r="K106" s="28">
        <f ca="1"/>
        <v>756.91380600000002</v>
      </c>
      <c r="L106" s="28">
        <f ca="1"/>
        <v>756.91380600000002</v>
      </c>
      <c r="M106" s="28">
        <f ca="1"/>
        <v>756.91380600000002</v>
      </c>
      <c r="N106" s="28">
        <f ca="1"/>
        <v>756.91380600000002</v>
      </c>
      <c r="O106" s="28">
        <f ca="1"/>
        <v>756.91380600000002</v>
      </c>
      <c r="P106" s="28">
        <f ca="1"/>
        <v>756.91380600000002</v>
      </c>
      <c r="Q106" s="28">
        <f ca="1"/>
        <v>756.91380600000002</v>
      </c>
      <c r="R106" s="28">
        <f ca="1"/>
        <v>756.91380600000002</v>
      </c>
      <c r="S106" s="28">
        <f ca="1"/>
        <v>756.91380600000002</v>
      </c>
      <c r="T106" s="28">
        <f ca="1"/>
        <v>756.91380600000002</v>
      </c>
      <c r="U106" s="28">
        <f ca="1"/>
        <v>756.91380600000002</v>
      </c>
      <c r="V106" s="28">
        <f ca="1"/>
        <v>756.91380600000002</v>
      </c>
      <c r="W106" s="28">
        <f ca="1"/>
        <v>756.91380600000002</v>
      </c>
      <c r="X106" s="28">
        <f ca="1"/>
        <v>756.91380600000002</v>
      </c>
      <c r="Y106" s="28">
        <f ca="1"/>
        <v>756.91380600000002</v>
      </c>
      <c r="Z106" s="28">
        <f ca="1"/>
        <v>756.91380600000002</v>
      </c>
      <c r="AA106" s="28">
        <f ca="1"/>
        <v>756.91380600000002</v>
      </c>
      <c r="AB106" s="28">
        <f ca="1"/>
        <v>756.91380600000002</v>
      </c>
      <c r="AC106" s="28">
        <f ca="1"/>
        <v>756.91380600000002</v>
      </c>
      <c r="AD106" s="28">
        <f ca="1"/>
        <v>756.91380600000002</v>
      </c>
      <c r="AE106" s="28">
        <f ca="1"/>
        <v>756.91380600000002</v>
      </c>
      <c r="AF106" s="28">
        <f ca="1"/>
        <v>756.91380600000002</v>
      </c>
      <c r="AG106" s="28">
        <f ca="1"/>
        <v>756.91380600000002</v>
      </c>
      <c r="AH106" s="28">
        <f ca="1"/>
        <v>756.91380600000002</v>
      </c>
      <c r="AI106" s="28">
        <f ca="1"/>
        <v>756.91380600000002</v>
      </c>
      <c r="AJ106" s="28">
        <f ca="1"/>
        <v>756.91380600000002</v>
      </c>
      <c r="AK106" s="29">
        <f ca="1"/>
        <v>756.91380600000002</v>
      </c>
      <c r="AL106" s="3"/>
    </row>
    <row r="107" spans="2:38">
      <c r="B107" s="3"/>
      <c r="C107" s="23" t="s">
        <v>47</v>
      </c>
      <c r="D107" s="16" t="str">
        <f>_yearDol &amp; "$"</f>
        <v>2013$</v>
      </c>
      <c r="E107" s="141">
        <f t="array" aca="1" ref="E107:AK107" ca="1">(tlccEFubcElec0)</f>
        <v>12402.423852811251</v>
      </c>
      <c r="F107" s="28">
        <f ca="1"/>
        <v>12456.942058657811</v>
      </c>
      <c r="G107" s="28">
        <f ca="1"/>
        <v>12505.287215616714</v>
      </c>
      <c r="H107" s="28">
        <f ca="1"/>
        <v>12557.915503376269</v>
      </c>
      <c r="I107" s="28">
        <f ca="1"/>
        <v>12604.251553419537</v>
      </c>
      <c r="J107" s="28">
        <f ca="1"/>
        <v>12654.747315618828</v>
      </c>
      <c r="K107" s="28">
        <f ca="1"/>
        <v>12698.821147156377</v>
      </c>
      <c r="L107" s="28">
        <f ca="1"/>
        <v>12746.910473448459</v>
      </c>
      <c r="M107" s="28">
        <f ca="1"/>
        <v>12799.279390589378</v>
      </c>
      <c r="N107" s="28">
        <f ca="1"/>
        <v>12845.352335474836</v>
      </c>
      <c r="O107" s="28">
        <f ca="1"/>
        <v>12895.579174969531</v>
      </c>
      <c r="P107" s="28">
        <f ca="1"/>
        <v>12950.279130336607</v>
      </c>
      <c r="Q107" s="28">
        <f ca="1"/>
        <v>12998.863795429974</v>
      </c>
      <c r="R107" s="28">
        <f ca="1"/>
        <v>13051.782441286072</v>
      </c>
      <c r="S107" s="28">
        <f ca="1"/>
        <v>13098.472398885197</v>
      </c>
      <c r="T107" s="28">
        <f ca="1"/>
        <v>13149.371566846517</v>
      </c>
      <c r="U107" s="28">
        <f ca="1"/>
        <v>13204.829119676397</v>
      </c>
      <c r="V107" s="28">
        <f ca="1"/>
        <v>13254.229550731619</v>
      </c>
      <c r="W107" s="28">
        <f ca="1"/>
        <v>13308.059737838666</v>
      </c>
      <c r="X107" s="28">
        <f ca="1"/>
        <v>13355.746078316326</v>
      </c>
      <c r="Y107" s="28">
        <f ca="1"/>
        <v>13407.727516371609</v>
      </c>
      <c r="Z107" s="28">
        <f ca="1"/>
        <v>13464.369215579785</v>
      </c>
      <c r="AA107" s="28">
        <f ca="1"/>
        <v>13515.039598028816</v>
      </c>
      <c r="AB107" s="28">
        <f ca="1"/>
        <v>13570.274614768387</v>
      </c>
      <c r="AC107" s="28">
        <f ca="1"/>
        <v>13619.458848129965</v>
      </c>
      <c r="AD107" s="28">
        <f ca="1"/>
        <v>13673.075898206604</v>
      </c>
      <c r="AE107" s="28">
        <f ca="1"/>
        <v>13731.445805304953</v>
      </c>
      <c r="AF107" s="28">
        <f ca="1"/>
        <v>13783.998299381643</v>
      </c>
      <c r="AG107" s="28">
        <f ca="1"/>
        <v>13841.273277914375</v>
      </c>
      <c r="AH107" s="28">
        <f ca="1"/>
        <v>13892.656188012921</v>
      </c>
      <c r="AI107" s="28">
        <f ca="1"/>
        <v>13948.682189738132</v>
      </c>
      <c r="AJ107" s="28">
        <f ca="1"/>
        <v>13998.737673125917</v>
      </c>
      <c r="AK107" s="29">
        <f ca="1"/>
        <v>14053.346304285058</v>
      </c>
      <c r="AL107" s="3"/>
    </row>
    <row r="108" spans="2:38">
      <c r="B108" s="3"/>
      <c r="C108" s="27" t="str">
        <f>INDEX(_fuel,1)</f>
        <v>Electricity</v>
      </c>
      <c r="D108" s="16" t="str">
        <f>_yearDol &amp; "$"</f>
        <v>2013$</v>
      </c>
      <c r="E108" s="141">
        <f ca="1">SUMPRODUCT(dFactor,tpSurvPRV,INDEX(tEIdxElec,1)*INDEX(elecPRV,1,1)*allOnes,OFFSET(tPrcElec,0,0,1,_maxLT))</f>
        <v>12402.423852811251</v>
      </c>
      <c r="F108" s="28">
        <f ca="1">SUMPRODUCT(dFactor,tpSurvPRV,INDEX(tEIdxElec,2)*INDEX(elecPRV,1,1)*allOnes,OFFSET(tPrcElec,0,1,1,_maxLT))</f>
        <v>12456.942058657811</v>
      </c>
      <c r="G108" s="28">
        <f ca="1">SUMPRODUCT(dFactor,tpSurvPRV,INDEX(tEIdxElec,3)*INDEX(elecPRV,1,1)*allOnes,OFFSET(tPrcElec,0,2,1,_maxLT))</f>
        <v>12505.287215616714</v>
      </c>
      <c r="H108" s="28">
        <f ca="1">SUMPRODUCT(dFactor,tpSurvPRV,INDEX(tEIdxElec,4)*INDEX(elecPRV,1,1)*allOnes,OFFSET(tPrcElec,0,3,1,_maxLT))</f>
        <v>12557.915503376269</v>
      </c>
      <c r="I108" s="28">
        <f ca="1">SUMPRODUCT(dFactor,tpSurvPRV,INDEX(tEIdxElec,5)*INDEX(elecPRV,1,1)*allOnes,OFFSET(tPrcElec,0,4,1,_maxLT))</f>
        <v>12604.251553419537</v>
      </c>
      <c r="J108" s="28">
        <f ca="1">SUMPRODUCT(dFactor,tpSurvPRV,INDEX(tEIdxElec,6)*INDEX(elecPRV,1,1)*allOnes,OFFSET(tPrcElec,0,5,1,_maxLT))</f>
        <v>12654.747315618828</v>
      </c>
      <c r="K108" s="28">
        <f ca="1">SUMPRODUCT(dFactor,tpSurvPRV,INDEX(tEIdxElec,7)*INDEX(elecPRV,1,1)*allOnes,OFFSET(tPrcElec,0,6,1,_maxLT))</f>
        <v>12698.821147156377</v>
      </c>
      <c r="L108" s="28">
        <f ca="1">SUMPRODUCT(dFactor,tpSurvPRV,INDEX(tEIdxElec,8)*INDEX(elecPRV,1,1)*allOnes,OFFSET(tPrcElec,0,7,1,_maxLT))</f>
        <v>12746.910473448459</v>
      </c>
      <c r="M108" s="28">
        <f ca="1">SUMPRODUCT(dFactor,tpSurvPRV,INDEX(tEIdxElec,9)*INDEX(elecPRV,1,1)*allOnes,OFFSET(tPrcElec,0,8,1,_maxLT))</f>
        <v>12799.279390589378</v>
      </c>
      <c r="N108" s="28">
        <f ca="1">SUMPRODUCT(dFactor,tpSurvPRV,INDEX(tEIdxElec,10)*INDEX(elecPRV,1,1)*allOnes,OFFSET(tPrcElec,0,9,1,_maxLT))</f>
        <v>12845.352335474836</v>
      </c>
      <c r="O108" s="28">
        <f ca="1">SUMPRODUCT(dFactor,tpSurvPRV,INDEX(tEIdxElec,11)*INDEX(elecPRV,1,1)*allOnes,OFFSET(tPrcElec,0,10,1,_maxLT))</f>
        <v>12895.579174969531</v>
      </c>
      <c r="P108" s="28">
        <f ca="1">SUMPRODUCT(dFactor,tpSurvPRV,INDEX(tEIdxElec,12)*INDEX(elecPRV,1,1)*allOnes,OFFSET(tPrcElec,0,11,1,_maxLT))</f>
        <v>12950.279130336607</v>
      </c>
      <c r="Q108" s="28">
        <f ca="1">SUMPRODUCT(dFactor,tpSurvPRV,INDEX(tEIdxElec,13)*INDEX(elecPRV,1,1)*allOnes,OFFSET(tPrcElec,0,12,1,_maxLT))</f>
        <v>12998.863795429974</v>
      </c>
      <c r="R108" s="28">
        <f ca="1">SUMPRODUCT(dFactor,tpSurvPRV,INDEX(tEIdxElec,14)*INDEX(elecPRV,1,1)*allOnes,OFFSET(tPrcElec,0,13,1,_maxLT))</f>
        <v>13051.782441286072</v>
      </c>
      <c r="S108" s="28">
        <f ca="1">SUMPRODUCT(dFactor,tpSurvPRV,INDEX(tEIdxElec,15)*INDEX(elecPRV,1,1)*allOnes,OFFSET(tPrcElec,0,14,1,_maxLT))</f>
        <v>13098.472398885197</v>
      </c>
      <c r="T108" s="28">
        <f ca="1">SUMPRODUCT(dFactor,tpSurvPRV,INDEX(tEIdxElec,16)*INDEX(elecPRV,1,1)*allOnes,OFFSET(tPrcElec,0,15,1,_maxLT))</f>
        <v>13149.371566846517</v>
      </c>
      <c r="U108" s="28">
        <f ca="1">SUMPRODUCT(dFactor,tpSurvPRV,INDEX(tEIdxElec,17)*INDEX(elecPRV,1,1)*allOnes,OFFSET(tPrcElec,0,16,1,_maxLT))</f>
        <v>13204.829119676397</v>
      </c>
      <c r="V108" s="28">
        <f ca="1">SUMPRODUCT(dFactor,tpSurvPRV,INDEX(tEIdxElec,18)*INDEX(elecPRV,1,1)*allOnes,OFFSET(tPrcElec,0,17,1,_maxLT))</f>
        <v>13254.229550731619</v>
      </c>
      <c r="W108" s="28">
        <f ca="1">SUMPRODUCT(dFactor,tpSurvPRV,INDEX(tEIdxElec,19)*INDEX(elecPRV,1,1)*allOnes,OFFSET(tPrcElec,0,18,1,_maxLT))</f>
        <v>13308.059737838666</v>
      </c>
      <c r="X108" s="28">
        <f ca="1">SUMPRODUCT(dFactor,tpSurvPRV,INDEX(tEIdxElec,20)*INDEX(elecPRV,1,1)*allOnes,OFFSET(tPrcElec,0,19,1,_maxLT))</f>
        <v>13355.746078316326</v>
      </c>
      <c r="Y108" s="28">
        <f ca="1">SUMPRODUCT(dFactor,tpSurvPRV,INDEX(tEIdxElec,21)*INDEX(elecPRV,1,1)*allOnes,OFFSET(tPrcElec,0,20,1,_maxLT))</f>
        <v>13407.727516371609</v>
      </c>
      <c r="Z108" s="28">
        <f ca="1">SUMPRODUCT(dFactor,tpSurvPRV,INDEX(tEIdxElec,22)*INDEX(elecPRV,1,1)*allOnes,OFFSET(tPrcElec,0,21,1,_maxLT))</f>
        <v>13464.369215579785</v>
      </c>
      <c r="AA108" s="28">
        <f ca="1">SUMPRODUCT(dFactor,tpSurvPRV,INDEX(tEIdxElec,23)*INDEX(elecPRV,1,1)*allOnes,OFFSET(tPrcElec,0,22,1,_maxLT))</f>
        <v>13515.039598028816</v>
      </c>
      <c r="AB108" s="28">
        <f ca="1">SUMPRODUCT(dFactor,tpSurvPRV,INDEX(tEIdxElec,24)*INDEX(elecPRV,1,1)*allOnes,OFFSET(tPrcElec,0,23,1,_maxLT))</f>
        <v>13570.274614768387</v>
      </c>
      <c r="AC108" s="28">
        <f ca="1">SUMPRODUCT(dFactor,tpSurvPRV,INDEX(tEIdxElec,25)*INDEX(elecPRV,1,1)*allOnes,OFFSET(tPrcElec,0,24,1,_maxLT))</f>
        <v>13619.458848129965</v>
      </c>
      <c r="AD108" s="28">
        <f ca="1">SUMPRODUCT(dFactor,tpSurvPRV,INDEX(tEIdxElec,26)*INDEX(elecPRV,1,1)*allOnes,OFFSET(tPrcElec,0,25,1,_maxLT))</f>
        <v>13673.075898206604</v>
      </c>
      <c r="AE108" s="28">
        <f ca="1">SUMPRODUCT(dFactor,tpSurvPRV,INDEX(tEIdxElec,27)*INDEX(elecPRV,1,1)*allOnes,OFFSET(tPrcElec,0,26,1,_maxLT))</f>
        <v>13731.445805304953</v>
      </c>
      <c r="AF108" s="28">
        <f ca="1">SUMPRODUCT(dFactor,tpSurvPRV,INDEX(tEIdxElec,28)*INDEX(elecPRV,1,1)*allOnes,OFFSET(tPrcElec,0,27,1,_maxLT))</f>
        <v>13783.998299381643</v>
      </c>
      <c r="AG108" s="28">
        <f ca="1">SUMPRODUCT(dFactor,tpSurvPRV,INDEX(tEIdxElec,29)*INDEX(elecPRV,1,1)*allOnes,OFFSET(tPrcElec,0,28,1,_maxLT))</f>
        <v>13841.273277914375</v>
      </c>
      <c r="AH108" s="28">
        <f ca="1">SUMPRODUCT(dFactor,tpSurvPRV,INDEX(tEIdxElec,30)*INDEX(elecPRV,1,1)*allOnes,OFFSET(tPrcElec,0,29,1,_maxLT))</f>
        <v>13892.656188012921</v>
      </c>
      <c r="AI108" s="28">
        <f ca="1">SUMPRODUCT(dFactor,tpSurvPRV,INDEX(tEIdxElec,31)*INDEX(elecPRV,1,1)*allOnes,OFFSET(tPrcElec,0,30,1,_maxLT))</f>
        <v>13948.682189738132</v>
      </c>
      <c r="AJ108" s="28">
        <f ca="1">SUMPRODUCT(dFactor,tpSurvPRV,INDEX(tEIdxElec,32)*INDEX(elecPRV,1,1)*allOnes,OFFSET(tPrcElec,0,31,1,_maxLT))</f>
        <v>13998.737673125917</v>
      </c>
      <c r="AK108" s="29">
        <f ca="1">SUMPRODUCT(dFactor,tpSurvPRV,INDEX(tEIdxElec,33)*INDEX(elecPRV,1,1)*allOnes,OFFSET(tPrcElec,0,32,1,_maxLT))</f>
        <v>14053.346304285058</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ts2bElec*SUMPRODUCT(tpSurvPRV,INDEX(tEIdxElec,1)*INDEX(elecPRV,1,1)*convFactor)</f>
        <v>2804.8403239469421</v>
      </c>
      <c r="F110" s="22">
        <f ca="1">ts2bElec*SUMPRODUCT(tpSurvPRV,INDEX(tEIdxElec,2)*INDEX(elecPRV,1,1)*convFactor)</f>
        <v>2785.5207422638441</v>
      </c>
      <c r="G110" s="22">
        <f ca="1">ts2bElec*SUMPRODUCT(tpSurvPRV,INDEX(tEIdxElec,3)*INDEX(elecPRV,1,1)*convFactor)</f>
        <v>2766.0588204140372</v>
      </c>
      <c r="H110" s="22">
        <f ca="1">ts2bElec*SUMPRODUCT(tpSurvPRV,INDEX(tEIdxElec,4)*INDEX(elecPRV,1,1)*convFactor)</f>
        <v>2748.9689032674733</v>
      </c>
      <c r="I110" s="22">
        <f ca="1">ts2bElec*SUMPRODUCT(tpSurvPRV,INDEX(tEIdxElec,5)*INDEX(elecPRV,1,1)*convFactor)</f>
        <v>2732.7640732912246</v>
      </c>
      <c r="J110" s="22">
        <f ca="1">ts2bElec*SUMPRODUCT(tpSurvPRV,INDEX(tEIdxElec,6)*INDEX(elecPRV,1,1)*convFactor)</f>
        <v>2718.6537478995547</v>
      </c>
      <c r="K110" s="22">
        <f ca="1">ts2bElec*SUMPRODUCT(tpSurvPRV,INDEX(tEIdxElec,7)*INDEX(elecPRV,1,1)*convFactor)</f>
        <v>2707.7139524911481</v>
      </c>
      <c r="L110" s="22">
        <f ca="1">ts2bElec*SUMPRODUCT(tpSurvPRV,INDEX(tEIdxElec,8)*INDEX(elecPRV,1,1)*convFactor)</f>
        <v>2698.6457560421682</v>
      </c>
      <c r="M110" s="22">
        <f ca="1">ts2bElec*SUMPRODUCT(tpSurvPRV,INDEX(tEIdxElec,9)*INDEX(elecPRV,1,1)*convFactor)</f>
        <v>2689.5363833962515</v>
      </c>
      <c r="N110" s="22">
        <f ca="1">ts2bElec*SUMPRODUCT(tpSurvPRV,INDEX(tEIdxElec,10)*INDEX(elecPRV,1,1)*convFactor)</f>
        <v>2682.2495136298048</v>
      </c>
      <c r="O110" s="22">
        <f ca="1">ts2bElec*SUMPRODUCT(tpSurvPRV,INDEX(tEIdxElec,11)*INDEX(elecPRV,1,1)*convFactor)</f>
        <v>2677.2305646812274</v>
      </c>
      <c r="P110" s="22">
        <f ca="1">ts2bElec*SUMPRODUCT(tpSurvPRV,INDEX(tEIdxElec,12)*INDEX(elecPRV,1,1)*convFactor)</f>
        <v>2673.5572499084046</v>
      </c>
      <c r="Q110" s="22">
        <f ca="1">ts2bElec*SUMPRODUCT(tpSurvPRV,INDEX(tEIdxElec,13)*INDEX(elecPRV,1,1)*convFactor)</f>
        <v>2670.4653012978938</v>
      </c>
      <c r="R110" s="22">
        <f ca="1">ts2bElec*SUMPRODUCT(tpSurvPRV,INDEX(tEIdxElec,14)*INDEX(elecPRV,1,1)*convFactor)</f>
        <v>2668.1839496504058</v>
      </c>
      <c r="S110" s="22">
        <f ca="1">ts2bElec*SUMPRODUCT(tpSurvPRV,INDEX(tEIdxElec,15)*INDEX(elecPRV,1,1)*convFactor)</f>
        <v>2666.4446370256169</v>
      </c>
      <c r="T110" s="22">
        <f ca="1">ts2bElec*SUMPRODUCT(tpSurvPRV,INDEX(tEIdxElec,16)*INDEX(elecPRV,1,1)*convFactor)</f>
        <v>2666.2262303005191</v>
      </c>
      <c r="U110" s="22">
        <f ca="1">ts2bElec*SUMPRODUCT(tpSurvPRV,INDEX(tEIdxElec,17)*INDEX(elecPRV,1,1)*convFactor)</f>
        <v>2666.6720544046925</v>
      </c>
      <c r="V110" s="22">
        <f ca="1">ts2bElec*SUMPRODUCT(tpSurvPRV,INDEX(tEIdxElec,18)*INDEX(elecPRV,1,1)*convFactor)</f>
        <v>2667.3277078226215</v>
      </c>
      <c r="W110" s="22">
        <f ca="1">ts2bElec*SUMPRODUCT(tpSurvPRV,INDEX(tEIdxElec,19)*INDEX(elecPRV,1,1)*convFactor)</f>
        <v>2668.2653830499517</v>
      </c>
      <c r="X110" s="22">
        <f ca="1">ts2bElec*SUMPRODUCT(tpSurvPRV,INDEX(tEIdxElec,20)*INDEX(elecPRV,1,1)*convFactor)</f>
        <v>2669.1514760672499</v>
      </c>
      <c r="Y110" s="22">
        <f ca="1">ts2bElec*SUMPRODUCT(tpSurvPRV,INDEX(tEIdxElec,21)*INDEX(elecPRV,1,1)*convFactor)</f>
        <v>2669.885651508303</v>
      </c>
      <c r="Z110" s="22">
        <f ca="1">ts2bElec*SUMPRODUCT(tpSurvPRV,INDEX(tEIdxElec,22)*INDEX(elecPRV,1,1)*convFactor)</f>
        <v>2670.3776528569933</v>
      </c>
      <c r="AA110" s="22">
        <f ca="1">ts2bElec*SUMPRODUCT(tpSurvPRV,INDEX(tEIdxElec,23)*INDEX(elecPRV,1,1)*convFactor)</f>
        <v>2670.7019144966412</v>
      </c>
      <c r="AB110" s="22">
        <f ca="1">ts2bElec*SUMPRODUCT(tpSurvPRV,INDEX(tEIdxElec,24)*INDEX(elecPRV,1,1)*convFactor)</f>
        <v>2670.7019144966412</v>
      </c>
      <c r="AC110" s="22">
        <f ca="1">ts2bElec*SUMPRODUCT(tpSurvPRV,INDEX(tEIdxElec,25)*INDEX(elecPRV,1,1)*convFactor)</f>
        <v>2670.7019144966412</v>
      </c>
      <c r="AD110" s="22">
        <f ca="1">ts2bElec*SUMPRODUCT(tpSurvPRV,INDEX(tEIdxElec,26)*INDEX(elecPRV,1,1)*convFactor)</f>
        <v>2670.7019144966412</v>
      </c>
      <c r="AE110" s="22">
        <f ca="1">ts2bElec*SUMPRODUCT(tpSurvPRV,INDEX(tEIdxElec,27)*INDEX(elecPRV,1,1)*convFactor)</f>
        <v>2670.7019144966412</v>
      </c>
      <c r="AF110" s="22">
        <f ca="1">ts2bElec*SUMPRODUCT(tpSurvPRV,INDEX(tEIdxElec,28)*INDEX(elecPRV,1,1)*convFactor)</f>
        <v>2670.7019144966412</v>
      </c>
      <c r="AG110" s="22">
        <f ca="1">ts2bElec*SUMPRODUCT(tpSurvPRV,INDEX(tEIdxElec,29)*INDEX(elecPRV,1,1)*convFactor)</f>
        <v>2670.7019144966412</v>
      </c>
      <c r="AH110" s="22">
        <f ca="1">ts2bElec*SUMPRODUCT(tpSurvPRV,INDEX(tEIdxElec,30)*INDEX(elecPRV,1,1)*convFactor)</f>
        <v>2670.7019144966412</v>
      </c>
      <c r="AI110" s="22">
        <f ca="1">ts2bElec*SUMPRODUCT(tpSurvPRV,INDEX(tEIdxElec,31)*INDEX(elecPRV,1,1)*convFactor)</f>
        <v>2670.7019144966412</v>
      </c>
      <c r="AJ110" s="22">
        <f ca="1">ts2bElec*SUMPRODUCT(tpSurvPRV,INDEX(tEIdxElec,32)*INDEX(elecPRV,1,1)*convFactor)</f>
        <v>2670.7019144966412</v>
      </c>
      <c r="AK110" s="25">
        <f ca="1">ts2bElec*SUMPRODUCT(tpSurvPRV,INDEX(tEIdxElec,33)*INDEX(elecPRV,1,1)*convFactor)</f>
        <v>2670.7019144966412</v>
      </c>
      <c r="AL110" s="3"/>
    </row>
    <row r="111" spans="2:38">
      <c r="B111" s="3"/>
      <c r="C111" s="30" t="str">
        <f>"EL 1: " &amp; INDEX(_doName,7,2)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(1+INDEX(vadPRV,1,2))*INDEX(mspPRV,1,2)*tPIdxAll + INDEX(instPRV,1,2) + SUMPRODUCT(dFactor,tpSurvPRV,INDEX(mrPRV,1,2)*allOnes)</f>
        <v>818.92902000000004</v>
      </c>
      <c r="F112" s="28">
        <f ca="1"/>
        <v>818.92902000000004</v>
      </c>
      <c r="G112" s="28">
        <f ca="1"/>
        <v>818.92902000000004</v>
      </c>
      <c r="H112" s="28">
        <f ca="1"/>
        <v>818.92902000000004</v>
      </c>
      <c r="I112" s="28">
        <f ca="1"/>
        <v>818.92902000000004</v>
      </c>
      <c r="J112" s="28">
        <f ca="1"/>
        <v>818.92902000000004</v>
      </c>
      <c r="K112" s="28">
        <f ca="1"/>
        <v>818.92902000000004</v>
      </c>
      <c r="L112" s="28">
        <f ca="1"/>
        <v>818.92902000000004</v>
      </c>
      <c r="M112" s="28">
        <f ca="1"/>
        <v>818.92902000000004</v>
      </c>
      <c r="N112" s="28">
        <f ca="1"/>
        <v>818.92902000000004</v>
      </c>
      <c r="O112" s="28">
        <f ca="1"/>
        <v>818.92902000000004</v>
      </c>
      <c r="P112" s="28">
        <f ca="1"/>
        <v>818.92902000000004</v>
      </c>
      <c r="Q112" s="28">
        <f ca="1"/>
        <v>818.92902000000004</v>
      </c>
      <c r="R112" s="28">
        <f ca="1"/>
        <v>818.92902000000004</v>
      </c>
      <c r="S112" s="28">
        <f ca="1"/>
        <v>818.92902000000004</v>
      </c>
      <c r="T112" s="28">
        <f ca="1"/>
        <v>818.92902000000004</v>
      </c>
      <c r="U112" s="28">
        <f ca="1"/>
        <v>818.92902000000004</v>
      </c>
      <c r="V112" s="28">
        <f ca="1"/>
        <v>818.92902000000004</v>
      </c>
      <c r="W112" s="28">
        <f ca="1"/>
        <v>818.92902000000004</v>
      </c>
      <c r="X112" s="28">
        <f ca="1"/>
        <v>818.92902000000004</v>
      </c>
      <c r="Y112" s="28">
        <f ca="1"/>
        <v>818.92902000000004</v>
      </c>
      <c r="Z112" s="28">
        <f ca="1"/>
        <v>818.92902000000004</v>
      </c>
      <c r="AA112" s="28">
        <f ca="1"/>
        <v>818.92902000000004</v>
      </c>
      <c r="AB112" s="28">
        <f ca="1"/>
        <v>818.92902000000004</v>
      </c>
      <c r="AC112" s="28">
        <f ca="1"/>
        <v>818.92902000000004</v>
      </c>
      <c r="AD112" s="28">
        <f ca="1"/>
        <v>818.92902000000004</v>
      </c>
      <c r="AE112" s="28">
        <f ca="1"/>
        <v>818.92902000000004</v>
      </c>
      <c r="AF112" s="28">
        <f ca="1"/>
        <v>818.92902000000004</v>
      </c>
      <c r="AG112" s="28">
        <f ca="1"/>
        <v>818.92902000000004</v>
      </c>
      <c r="AH112" s="28">
        <f ca="1"/>
        <v>818.92902000000004</v>
      </c>
      <c r="AI112" s="28">
        <f ca="1"/>
        <v>818.92902000000004</v>
      </c>
      <c r="AJ112" s="28">
        <f ca="1"/>
        <v>818.92902000000004</v>
      </c>
      <c r="AK112" s="29">
        <f ca="1"/>
        <v>818.92902000000004</v>
      </c>
      <c r="AL112" s="3"/>
    </row>
    <row r="113" spans="2:38">
      <c r="B113" s="3"/>
      <c r="C113" s="23" t="s">
        <v>47</v>
      </c>
      <c r="D113" s="16" t="str">
        <f>_yearDol &amp; "$"</f>
        <v>2013$</v>
      </c>
      <c r="E113" s="141">
        <f t="array" aca="1" ref="E113:AK113" ca="1">(tlccEFubcElec1)</f>
        <v>8653.2213091551075</v>
      </c>
      <c r="F113" s="28">
        <f ca="1"/>
        <v>8691.2588819849898</v>
      </c>
      <c r="G113" s="28">
        <f ca="1"/>
        <v>8724.98949362639</v>
      </c>
      <c r="H113" s="28">
        <f ca="1"/>
        <v>8761.7084629593191</v>
      </c>
      <c r="I113" s="28">
        <f ca="1"/>
        <v>8794.0373125757287</v>
      </c>
      <c r="J113" s="28">
        <f ca="1"/>
        <v>8829.2684101958821</v>
      </c>
      <c r="K113" s="28">
        <f ca="1"/>
        <v>8860.0189008066664</v>
      </c>
      <c r="L113" s="28">
        <f ca="1"/>
        <v>8893.571018356588</v>
      </c>
      <c r="M113" s="28">
        <f ca="1"/>
        <v>8930.1090237593289</v>
      </c>
      <c r="N113" s="28">
        <f ca="1"/>
        <v>8962.2543038424756</v>
      </c>
      <c r="O113" s="28">
        <f ca="1"/>
        <v>8997.2977730034199</v>
      </c>
      <c r="P113" s="28">
        <f ca="1"/>
        <v>9035.4621532092224</v>
      </c>
      <c r="Q113" s="28">
        <f ca="1"/>
        <v>9069.3598706452194</v>
      </c>
      <c r="R113" s="28">
        <f ca="1"/>
        <v>9106.2814239970558</v>
      </c>
      <c r="S113" s="28">
        <f ca="1"/>
        <v>9138.8571963472859</v>
      </c>
      <c r="T113" s="28">
        <f ca="1"/>
        <v>9174.369751800019</v>
      </c>
      <c r="U113" s="28">
        <f ca="1"/>
        <v>9213.062710821283</v>
      </c>
      <c r="V113" s="28">
        <f ca="1"/>
        <v>9247.5295914699036</v>
      </c>
      <c r="W113" s="28">
        <f ca="1"/>
        <v>9285.0871308411224</v>
      </c>
      <c r="X113" s="28">
        <f ca="1"/>
        <v>9318.3580835576304</v>
      </c>
      <c r="Y113" s="28">
        <f ca="1"/>
        <v>9354.6257432343773</v>
      </c>
      <c r="Z113" s="28">
        <f ca="1"/>
        <v>9394.1448859754764</v>
      </c>
      <c r="AA113" s="28">
        <f ca="1"/>
        <v>9429.4978168504804</v>
      </c>
      <c r="AB113" s="28">
        <f ca="1"/>
        <v>9468.0355115410257</v>
      </c>
      <c r="AC113" s="28">
        <f ca="1"/>
        <v>9502.3515501839429</v>
      </c>
      <c r="AD113" s="28">
        <f ca="1"/>
        <v>9539.7603829865748</v>
      </c>
      <c r="AE113" s="28">
        <f ca="1"/>
        <v>9580.4853033659401</v>
      </c>
      <c r="AF113" s="28">
        <f ca="1"/>
        <v>9617.151391139636</v>
      </c>
      <c r="AG113" s="28">
        <f ca="1"/>
        <v>9657.1123754280761</v>
      </c>
      <c r="AH113" s="28">
        <f ca="1"/>
        <v>9692.9624397274292</v>
      </c>
      <c r="AI113" s="28">
        <f ca="1"/>
        <v>9732.0520078432219</v>
      </c>
      <c r="AJ113" s="28">
        <f ca="1"/>
        <v>9766.9759211549699</v>
      </c>
      <c r="AK113" s="29">
        <f ca="1"/>
        <v>9805.07658409135</v>
      </c>
      <c r="AL113" s="3"/>
    </row>
    <row r="114" spans="2:38">
      <c r="B114" s="3"/>
      <c r="C114" s="27" t="str">
        <f>INDEX(_fuel,1)</f>
        <v>Electricity</v>
      </c>
      <c r="D114" s="16" t="str">
        <f>_yearDol &amp; "$"</f>
        <v>2013$</v>
      </c>
      <c r="E114" s="141">
        <f ca="1">SUMPRODUCT(dFactor,tpSurvPRV,INDEX(tEIdxElec,1)*INDEX(elecPRV,1,2)*allOnes,OFFSET(tPrcElec,0,0,1,_maxLT))</f>
        <v>8653.2213091551075</v>
      </c>
      <c r="F114" s="28">
        <f ca="1">SUMPRODUCT(dFactor,tpSurvPRV,INDEX(tEIdxElec,2)*INDEX(elecPRV,1,2)*allOnes,OFFSET(tPrcElec,0,1,1,_maxLT))</f>
        <v>8691.2588819849898</v>
      </c>
      <c r="G114" s="28">
        <f ca="1">SUMPRODUCT(dFactor,tpSurvPRV,INDEX(tEIdxElec,3)*INDEX(elecPRV,1,2)*allOnes,OFFSET(tPrcElec,0,2,1,_maxLT))</f>
        <v>8724.98949362639</v>
      </c>
      <c r="H114" s="28">
        <f ca="1">SUMPRODUCT(dFactor,tpSurvPRV,INDEX(tEIdxElec,4)*INDEX(elecPRV,1,2)*allOnes,OFFSET(tPrcElec,0,3,1,_maxLT))</f>
        <v>8761.7084629593191</v>
      </c>
      <c r="I114" s="28">
        <f ca="1">SUMPRODUCT(dFactor,tpSurvPRV,INDEX(tEIdxElec,5)*INDEX(elecPRV,1,2)*allOnes,OFFSET(tPrcElec,0,4,1,_maxLT))</f>
        <v>8794.0373125757287</v>
      </c>
      <c r="J114" s="28">
        <f ca="1">SUMPRODUCT(dFactor,tpSurvPRV,INDEX(tEIdxElec,6)*INDEX(elecPRV,1,2)*allOnes,OFFSET(tPrcElec,0,5,1,_maxLT))</f>
        <v>8829.2684101958821</v>
      </c>
      <c r="K114" s="28">
        <f ca="1">SUMPRODUCT(dFactor,tpSurvPRV,INDEX(tEIdxElec,7)*INDEX(elecPRV,1,2)*allOnes,OFFSET(tPrcElec,0,6,1,_maxLT))</f>
        <v>8860.0189008066664</v>
      </c>
      <c r="L114" s="28">
        <f ca="1">SUMPRODUCT(dFactor,tpSurvPRV,INDEX(tEIdxElec,8)*INDEX(elecPRV,1,2)*allOnes,OFFSET(tPrcElec,0,7,1,_maxLT))</f>
        <v>8893.571018356588</v>
      </c>
      <c r="M114" s="28">
        <f ca="1">SUMPRODUCT(dFactor,tpSurvPRV,INDEX(tEIdxElec,9)*INDEX(elecPRV,1,2)*allOnes,OFFSET(tPrcElec,0,8,1,_maxLT))</f>
        <v>8930.1090237593289</v>
      </c>
      <c r="N114" s="28">
        <f ca="1">SUMPRODUCT(dFactor,tpSurvPRV,INDEX(tEIdxElec,10)*INDEX(elecPRV,1,2)*allOnes,OFFSET(tPrcElec,0,9,1,_maxLT))</f>
        <v>8962.2543038424756</v>
      </c>
      <c r="O114" s="28">
        <f ca="1">SUMPRODUCT(dFactor,tpSurvPRV,INDEX(tEIdxElec,11)*INDEX(elecPRV,1,2)*allOnes,OFFSET(tPrcElec,0,10,1,_maxLT))</f>
        <v>8997.2977730034199</v>
      </c>
      <c r="P114" s="28">
        <f ca="1">SUMPRODUCT(dFactor,tpSurvPRV,INDEX(tEIdxElec,12)*INDEX(elecPRV,1,2)*allOnes,OFFSET(tPrcElec,0,11,1,_maxLT))</f>
        <v>9035.4621532092224</v>
      </c>
      <c r="Q114" s="28">
        <f ca="1">SUMPRODUCT(dFactor,tpSurvPRV,INDEX(tEIdxElec,13)*INDEX(elecPRV,1,2)*allOnes,OFFSET(tPrcElec,0,12,1,_maxLT))</f>
        <v>9069.3598706452194</v>
      </c>
      <c r="R114" s="28">
        <f ca="1">SUMPRODUCT(dFactor,tpSurvPRV,INDEX(tEIdxElec,14)*INDEX(elecPRV,1,2)*allOnes,OFFSET(tPrcElec,0,13,1,_maxLT))</f>
        <v>9106.2814239970558</v>
      </c>
      <c r="S114" s="28">
        <f ca="1">SUMPRODUCT(dFactor,tpSurvPRV,INDEX(tEIdxElec,15)*INDEX(elecPRV,1,2)*allOnes,OFFSET(tPrcElec,0,14,1,_maxLT))</f>
        <v>9138.8571963472859</v>
      </c>
      <c r="T114" s="28">
        <f ca="1">SUMPRODUCT(dFactor,tpSurvPRV,INDEX(tEIdxElec,16)*INDEX(elecPRV,1,2)*allOnes,OFFSET(tPrcElec,0,15,1,_maxLT))</f>
        <v>9174.369751800019</v>
      </c>
      <c r="U114" s="28">
        <f ca="1">SUMPRODUCT(dFactor,tpSurvPRV,INDEX(tEIdxElec,17)*INDEX(elecPRV,1,2)*allOnes,OFFSET(tPrcElec,0,16,1,_maxLT))</f>
        <v>9213.062710821283</v>
      </c>
      <c r="V114" s="28">
        <f ca="1">SUMPRODUCT(dFactor,tpSurvPRV,INDEX(tEIdxElec,18)*INDEX(elecPRV,1,2)*allOnes,OFFSET(tPrcElec,0,17,1,_maxLT))</f>
        <v>9247.5295914699036</v>
      </c>
      <c r="W114" s="28">
        <f ca="1">SUMPRODUCT(dFactor,tpSurvPRV,INDEX(tEIdxElec,19)*INDEX(elecPRV,1,2)*allOnes,OFFSET(tPrcElec,0,18,1,_maxLT))</f>
        <v>9285.0871308411224</v>
      </c>
      <c r="X114" s="28">
        <f ca="1">SUMPRODUCT(dFactor,tpSurvPRV,INDEX(tEIdxElec,20)*INDEX(elecPRV,1,2)*allOnes,OFFSET(tPrcElec,0,19,1,_maxLT))</f>
        <v>9318.3580835576304</v>
      </c>
      <c r="Y114" s="28">
        <f ca="1">SUMPRODUCT(dFactor,tpSurvPRV,INDEX(tEIdxElec,21)*INDEX(elecPRV,1,2)*allOnes,OFFSET(tPrcElec,0,20,1,_maxLT))</f>
        <v>9354.6257432343773</v>
      </c>
      <c r="Z114" s="28">
        <f ca="1">SUMPRODUCT(dFactor,tpSurvPRV,INDEX(tEIdxElec,22)*INDEX(elecPRV,1,2)*allOnes,OFFSET(tPrcElec,0,21,1,_maxLT))</f>
        <v>9394.1448859754764</v>
      </c>
      <c r="AA114" s="28">
        <f ca="1">SUMPRODUCT(dFactor,tpSurvPRV,INDEX(tEIdxElec,23)*INDEX(elecPRV,1,2)*allOnes,OFFSET(tPrcElec,0,22,1,_maxLT))</f>
        <v>9429.4978168504804</v>
      </c>
      <c r="AB114" s="28">
        <f ca="1">SUMPRODUCT(dFactor,tpSurvPRV,INDEX(tEIdxElec,24)*INDEX(elecPRV,1,2)*allOnes,OFFSET(tPrcElec,0,23,1,_maxLT))</f>
        <v>9468.0355115410257</v>
      </c>
      <c r="AC114" s="28">
        <f ca="1">SUMPRODUCT(dFactor,tpSurvPRV,INDEX(tEIdxElec,25)*INDEX(elecPRV,1,2)*allOnes,OFFSET(tPrcElec,0,24,1,_maxLT))</f>
        <v>9502.3515501839429</v>
      </c>
      <c r="AD114" s="28">
        <f ca="1">SUMPRODUCT(dFactor,tpSurvPRV,INDEX(tEIdxElec,26)*INDEX(elecPRV,1,2)*allOnes,OFFSET(tPrcElec,0,25,1,_maxLT))</f>
        <v>9539.7603829865748</v>
      </c>
      <c r="AE114" s="28">
        <f ca="1">SUMPRODUCT(dFactor,tpSurvPRV,INDEX(tEIdxElec,27)*INDEX(elecPRV,1,2)*allOnes,OFFSET(tPrcElec,0,26,1,_maxLT))</f>
        <v>9580.4853033659401</v>
      </c>
      <c r="AF114" s="28">
        <f ca="1">SUMPRODUCT(dFactor,tpSurvPRV,INDEX(tEIdxElec,28)*INDEX(elecPRV,1,2)*allOnes,OFFSET(tPrcElec,0,27,1,_maxLT))</f>
        <v>9617.151391139636</v>
      </c>
      <c r="AG114" s="28">
        <f ca="1">SUMPRODUCT(dFactor,tpSurvPRV,INDEX(tEIdxElec,29)*INDEX(elecPRV,1,2)*allOnes,OFFSET(tPrcElec,0,28,1,_maxLT))</f>
        <v>9657.1123754280761</v>
      </c>
      <c r="AH114" s="28">
        <f ca="1">SUMPRODUCT(dFactor,tpSurvPRV,INDEX(tEIdxElec,30)*INDEX(elecPRV,1,2)*allOnes,OFFSET(tPrcElec,0,29,1,_maxLT))</f>
        <v>9692.9624397274292</v>
      </c>
      <c r="AI114" s="28">
        <f ca="1">SUMPRODUCT(dFactor,tpSurvPRV,INDEX(tEIdxElec,31)*INDEX(elecPRV,1,2)*allOnes,OFFSET(tPrcElec,0,30,1,_maxLT))</f>
        <v>9732.0520078432219</v>
      </c>
      <c r="AJ114" s="28">
        <f ca="1">SUMPRODUCT(dFactor,tpSurvPRV,INDEX(tEIdxElec,32)*INDEX(elecPRV,1,2)*allOnes,OFFSET(tPrcElec,0,31,1,_maxLT))</f>
        <v>9766.9759211549699</v>
      </c>
      <c r="AK114" s="29">
        <f ca="1">SUMPRODUCT(dFactor,tpSurvPRV,INDEX(tEIdxElec,33)*INDEX(elecPRV,1,2)*allOnes,OFFSET(tPrcElec,0,32,1,_maxLT))</f>
        <v>9805.07658409135</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ts2bElec*SUMPRODUCT(tpSurvPRV,INDEX(tEIdxElec,1)*INDEX(elecPRV,1,2)*convFactor)</f>
        <v>1956.9484439490211</v>
      </c>
      <c r="F116" s="22">
        <f ca="1">ts2bElec*SUMPRODUCT(tpSurvPRV,INDEX(tEIdxElec,2)*INDEX(elecPRV,1,2)*convFactor)</f>
        <v>1943.4690936310392</v>
      </c>
      <c r="G116" s="22">
        <f ca="1">ts2bElec*SUMPRODUCT(tpSurvPRV,INDEX(tEIdxElec,3)*INDEX(elecPRV,1,2)*convFactor)</f>
        <v>1929.8904320027564</v>
      </c>
      <c r="H116" s="22">
        <f ca="1">ts2bElec*SUMPRODUCT(tpSurvPRV,INDEX(tEIdxElec,4)*INDEX(elecPRV,1,2)*convFactor)</f>
        <v>1917.9667276543662</v>
      </c>
      <c r="I116" s="22">
        <f ca="1">ts2bElec*SUMPRODUCT(tpSurvPRV,INDEX(tEIdxElec,5)*INDEX(elecPRV,1,2)*convFactor)</f>
        <v>1906.6605522062559</v>
      </c>
      <c r="J116" s="22">
        <f ca="1">ts2bElec*SUMPRODUCT(tpSurvPRV,INDEX(tEIdxElec,6)*INDEX(elecPRV,1,2)*convFactor)</f>
        <v>1896.8157210823279</v>
      </c>
      <c r="K116" s="22">
        <f ca="1">ts2bElec*SUMPRODUCT(tpSurvPRV,INDEX(tEIdxElec,7)*INDEX(elecPRV,1,2)*convFactor)</f>
        <v>1889.1829815574354</v>
      </c>
      <c r="L116" s="22">
        <f ca="1">ts2bElec*SUMPRODUCT(tpSurvPRV,INDEX(tEIdxElec,8)*INDEX(elecPRV,1,2)*convFactor)</f>
        <v>1882.8560642000571</v>
      </c>
      <c r="M116" s="22">
        <f ca="1">ts2bElec*SUMPRODUCT(tpSurvPRV,INDEX(tEIdxElec,9)*INDEX(elecPRV,1,2)*convFactor)</f>
        <v>1876.5004180434537</v>
      </c>
      <c r="N116" s="22">
        <f ca="1">ts2bElec*SUMPRODUCT(tpSurvPRV,INDEX(tEIdxElec,10)*INDEX(elecPRV,1,2)*convFactor)</f>
        <v>1871.416339520709</v>
      </c>
      <c r="O116" s="22">
        <f ca="1">ts2bElec*SUMPRODUCT(tpSurvPRV,INDEX(tEIdxElec,11)*INDEX(elecPRV,1,2)*convFactor)</f>
        <v>1867.9145985298503</v>
      </c>
      <c r="P116" s="22">
        <f ca="1">ts2bElec*SUMPRODUCT(tpSurvPRV,INDEX(tEIdxElec,12)*INDEX(elecPRV,1,2)*convFactor)</f>
        <v>1865.3517119485941</v>
      </c>
      <c r="Q116" s="22">
        <f ca="1">ts2bElec*SUMPRODUCT(tpSurvPRV,INDEX(tEIdxElec,13)*INDEX(elecPRV,1,2)*convFactor)</f>
        <v>1863.1944468913109</v>
      </c>
      <c r="R116" s="22">
        <f ca="1">ts2bElec*SUMPRODUCT(tpSurvPRV,INDEX(tEIdxElec,14)*INDEX(elecPRV,1,2)*convFactor)</f>
        <v>1861.6027386152512</v>
      </c>
      <c r="S116" s="22">
        <f ca="1">ts2bElec*SUMPRODUCT(tpSurvPRV,INDEX(tEIdxElec,15)*INDEX(elecPRV,1,2)*convFactor)</f>
        <v>1860.3892131587174</v>
      </c>
      <c r="T116" s="22">
        <f ca="1">ts2bElec*SUMPRODUCT(tpSurvPRV,INDEX(tEIdxElec,16)*INDEX(elecPRV,1,2)*convFactor)</f>
        <v>1860.2368299028226</v>
      </c>
      <c r="U116" s="22">
        <f ca="1">ts2bElec*SUMPRODUCT(tpSurvPRV,INDEX(tEIdxElec,17)*INDEX(elecPRV,1,2)*convFactor)</f>
        <v>1860.5478831843545</v>
      </c>
      <c r="V116" s="22">
        <f ca="1">ts2bElec*SUMPRODUCT(tpSurvPRV,INDEX(tEIdxElec,18)*INDEX(elecPRV,1,2)*convFactor)</f>
        <v>1861.0053352271791</v>
      </c>
      <c r="W116" s="22">
        <f ca="1">ts2bElec*SUMPRODUCT(tpSurvPRV,INDEX(tEIdxElec,19)*INDEX(elecPRV,1,2)*convFactor)</f>
        <v>1861.6595550276386</v>
      </c>
      <c r="X116" s="22">
        <f ca="1">ts2bElec*SUMPRODUCT(tpSurvPRV,INDEX(tEIdxElec,20)*INDEX(elecPRV,1,2)*convFactor)</f>
        <v>1862.2777857114288</v>
      </c>
      <c r="Y116" s="22">
        <f ca="1">ts2bElec*SUMPRODUCT(tpSurvPRV,INDEX(tEIdxElec,21)*INDEX(elecPRV,1,2)*convFactor)</f>
        <v>1862.7900228875303</v>
      </c>
      <c r="Z116" s="22">
        <f ca="1">ts2bElec*SUMPRODUCT(tpSurvPRV,INDEX(tEIdxElec,22)*INDEX(elecPRV,1,2)*convFactor)</f>
        <v>1863.1332942194203</v>
      </c>
      <c r="AA116" s="22">
        <f ca="1">ts2bElec*SUMPRODUCT(tpSurvPRV,INDEX(tEIdxElec,23)*INDEX(elecPRV,1,2)*convFactor)</f>
        <v>1863.3595328775441</v>
      </c>
      <c r="AB116" s="22">
        <f ca="1">ts2bElec*SUMPRODUCT(tpSurvPRV,INDEX(tEIdxElec,24)*INDEX(elecPRV,1,2)*convFactor)</f>
        <v>1863.3595328775441</v>
      </c>
      <c r="AC116" s="22">
        <f ca="1">ts2bElec*SUMPRODUCT(tpSurvPRV,INDEX(tEIdxElec,25)*INDEX(elecPRV,1,2)*convFactor)</f>
        <v>1863.3595328775441</v>
      </c>
      <c r="AD116" s="22">
        <f ca="1">ts2bElec*SUMPRODUCT(tpSurvPRV,INDEX(tEIdxElec,26)*INDEX(elecPRV,1,2)*convFactor)</f>
        <v>1863.3595328775441</v>
      </c>
      <c r="AE116" s="22">
        <f ca="1">ts2bElec*SUMPRODUCT(tpSurvPRV,INDEX(tEIdxElec,27)*INDEX(elecPRV,1,2)*convFactor)</f>
        <v>1863.3595328775441</v>
      </c>
      <c r="AF116" s="22">
        <f ca="1">ts2bElec*SUMPRODUCT(tpSurvPRV,INDEX(tEIdxElec,28)*INDEX(elecPRV,1,2)*convFactor)</f>
        <v>1863.3595328775441</v>
      </c>
      <c r="AG116" s="22">
        <f ca="1">ts2bElec*SUMPRODUCT(tpSurvPRV,INDEX(tEIdxElec,29)*INDEX(elecPRV,1,2)*convFactor)</f>
        <v>1863.3595328775441</v>
      </c>
      <c r="AH116" s="22">
        <f ca="1">ts2bElec*SUMPRODUCT(tpSurvPRV,INDEX(tEIdxElec,30)*INDEX(elecPRV,1,2)*convFactor)</f>
        <v>1863.3595328775441</v>
      </c>
      <c r="AI116" s="22">
        <f ca="1">ts2bElec*SUMPRODUCT(tpSurvPRV,INDEX(tEIdxElec,31)*INDEX(elecPRV,1,2)*convFactor)</f>
        <v>1863.3595328775441</v>
      </c>
      <c r="AJ116" s="22">
        <f ca="1">ts2bElec*SUMPRODUCT(tpSurvPRV,INDEX(tEIdxElec,32)*INDEX(elecPRV,1,2)*convFactor)</f>
        <v>1863.3595328775441</v>
      </c>
      <c r="AK116" s="25">
        <f ca="1">ts2bElec*SUMPRODUCT(tpSurvPRV,INDEX(tEIdxElec,33)*INDEX(elecPRV,1,2)*convFactor)</f>
        <v>1863.3595328775441</v>
      </c>
      <c r="AL116" s="3"/>
    </row>
    <row r="117" spans="2:38">
      <c r="B117" s="3"/>
      <c r="C117" s="30" t="str">
        <f>"EL 2: " &amp; INDEX(_doName,7,3)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(1+INDEX(vadPRV,1,3))*INDEX(mspPRV,1,3)*tPIdxAll + INDEX(instPRV,1,3) + SUMPRODUCT(dFactor,tpSurvPRV,INDEX(mrPRV,1,3)*allOnes)</f>
        <v>2396.392218</v>
      </c>
      <c r="F118" s="28">
        <f ca="1"/>
        <v>2396.392218</v>
      </c>
      <c r="G118" s="28">
        <f ca="1"/>
        <v>2396.392218</v>
      </c>
      <c r="H118" s="28">
        <f ca="1"/>
        <v>2396.392218</v>
      </c>
      <c r="I118" s="28">
        <f ca="1"/>
        <v>2396.392218</v>
      </c>
      <c r="J118" s="28">
        <f ca="1"/>
        <v>2396.392218</v>
      </c>
      <c r="K118" s="28">
        <f ca="1"/>
        <v>2396.392218</v>
      </c>
      <c r="L118" s="28">
        <f ca="1"/>
        <v>2396.392218</v>
      </c>
      <c r="M118" s="28">
        <f ca="1"/>
        <v>2396.392218</v>
      </c>
      <c r="N118" s="28">
        <f ca="1"/>
        <v>2396.392218</v>
      </c>
      <c r="O118" s="28">
        <f ca="1"/>
        <v>2396.392218</v>
      </c>
      <c r="P118" s="28">
        <f ca="1"/>
        <v>2396.392218</v>
      </c>
      <c r="Q118" s="28">
        <f ca="1"/>
        <v>2396.392218</v>
      </c>
      <c r="R118" s="28">
        <f ca="1"/>
        <v>2396.392218</v>
      </c>
      <c r="S118" s="28">
        <f ca="1"/>
        <v>2396.392218</v>
      </c>
      <c r="T118" s="28">
        <f ca="1"/>
        <v>2396.392218</v>
      </c>
      <c r="U118" s="28">
        <f ca="1"/>
        <v>2396.392218</v>
      </c>
      <c r="V118" s="28">
        <f ca="1"/>
        <v>2396.392218</v>
      </c>
      <c r="W118" s="28">
        <f ca="1"/>
        <v>2396.392218</v>
      </c>
      <c r="X118" s="28">
        <f ca="1"/>
        <v>2396.392218</v>
      </c>
      <c r="Y118" s="28">
        <f ca="1"/>
        <v>2396.392218</v>
      </c>
      <c r="Z118" s="28">
        <f ca="1"/>
        <v>2396.392218</v>
      </c>
      <c r="AA118" s="28">
        <f ca="1"/>
        <v>2396.392218</v>
      </c>
      <c r="AB118" s="28">
        <f ca="1"/>
        <v>2396.392218</v>
      </c>
      <c r="AC118" s="28">
        <f ca="1"/>
        <v>2396.392218</v>
      </c>
      <c r="AD118" s="28">
        <f ca="1"/>
        <v>2396.392218</v>
      </c>
      <c r="AE118" s="28">
        <f ca="1"/>
        <v>2396.392218</v>
      </c>
      <c r="AF118" s="28">
        <f ca="1"/>
        <v>2396.392218</v>
      </c>
      <c r="AG118" s="28">
        <f ca="1"/>
        <v>2396.392218</v>
      </c>
      <c r="AH118" s="28">
        <f ca="1"/>
        <v>2396.392218</v>
      </c>
      <c r="AI118" s="28">
        <f ca="1"/>
        <v>2396.392218</v>
      </c>
      <c r="AJ118" s="28">
        <f ca="1"/>
        <v>2396.392218</v>
      </c>
      <c r="AK118" s="29">
        <f ca="1"/>
        <v>2396.392218</v>
      </c>
      <c r="AL118" s="3"/>
    </row>
    <row r="119" spans="2:38">
      <c r="B119" s="3"/>
      <c r="C119" s="23" t="s">
        <v>47</v>
      </c>
      <c r="D119" s="16" t="str">
        <f>_yearDol &amp; "$"</f>
        <v>2013$</v>
      </c>
      <c r="E119" s="141">
        <f t="array" aca="1" ref="E119:AK119" ca="1">(tlccEFubcElec2)</f>
        <v>24264.029749272682</v>
      </c>
      <c r="F119" s="28">
        <f ca="1"/>
        <v>24370.688849480579</v>
      </c>
      <c r="G119" s="28">
        <f ca="1"/>
        <v>24465.271032818713</v>
      </c>
      <c r="H119" s="28">
        <f ca="1"/>
        <v>24568.232708294894</v>
      </c>
      <c r="I119" s="28">
        <f ca="1"/>
        <v>24658.884286571585</v>
      </c>
      <c r="J119" s="28">
        <f ca="1"/>
        <v>24757.67390146917</v>
      </c>
      <c r="K119" s="28">
        <f ca="1"/>
        <v>24843.899688644568</v>
      </c>
      <c r="L119" s="28">
        <f ca="1"/>
        <v>24937.981366357024</v>
      </c>
      <c r="M119" s="28">
        <f ca="1"/>
        <v>25040.435610666391</v>
      </c>
      <c r="N119" s="28">
        <f ca="1"/>
        <v>25130.572451545606</v>
      </c>
      <c r="O119" s="28">
        <f ca="1"/>
        <v>25228.835947631083</v>
      </c>
      <c r="P119" s="28">
        <f ca="1"/>
        <v>25335.850621541776</v>
      </c>
      <c r="Q119" s="28">
        <f ca="1"/>
        <v>25430.901377198439</v>
      </c>
      <c r="R119" s="28">
        <f ca="1"/>
        <v>25534.431107562599</v>
      </c>
      <c r="S119" s="28">
        <f ca="1"/>
        <v>25625.775068519113</v>
      </c>
      <c r="T119" s="28">
        <f ca="1"/>
        <v>25725.353904098665</v>
      </c>
      <c r="U119" s="28">
        <f ca="1"/>
        <v>25833.850737270586</v>
      </c>
      <c r="V119" s="28">
        <f ca="1"/>
        <v>25930.497452701067</v>
      </c>
      <c r="W119" s="28">
        <f ca="1"/>
        <v>26035.810517056496</v>
      </c>
      <c r="X119" s="28">
        <f ca="1"/>
        <v>26129.10379567006</v>
      </c>
      <c r="Y119" s="28">
        <f ca="1"/>
        <v>26230.799978154362</v>
      </c>
      <c r="Z119" s="28">
        <f ca="1"/>
        <v>26341.613468400064</v>
      </c>
      <c r="AA119" s="28">
        <f ca="1"/>
        <v>26440.744709336614</v>
      </c>
      <c r="AB119" s="28">
        <f ca="1"/>
        <v>26548.806174198297</v>
      </c>
      <c r="AC119" s="28">
        <f ca="1"/>
        <v>26645.029921720863</v>
      </c>
      <c r="AD119" s="28">
        <f ca="1"/>
        <v>26749.926006032088</v>
      </c>
      <c r="AE119" s="28">
        <f ca="1"/>
        <v>26864.120552122829</v>
      </c>
      <c r="AF119" s="28">
        <f ca="1"/>
        <v>26966.933945279543</v>
      </c>
      <c r="AG119" s="28">
        <f ca="1"/>
        <v>27078.986379505302</v>
      </c>
      <c r="AH119" s="28">
        <f ca="1"/>
        <v>27179.511605383021</v>
      </c>
      <c r="AI119" s="28">
        <f ca="1"/>
        <v>27289.1205486611</v>
      </c>
      <c r="AJ119" s="28">
        <f ca="1"/>
        <v>27387.048804657621</v>
      </c>
      <c r="AK119" s="29">
        <f ca="1"/>
        <v>27493.884812420092</v>
      </c>
      <c r="AL119" s="3"/>
    </row>
    <row r="120" spans="2:38">
      <c r="B120" s="3"/>
      <c r="C120" s="27" t="str">
        <f>INDEX(_fuel,1)</f>
        <v>Electricity</v>
      </c>
      <c r="D120" s="16" t="str">
        <f>_yearDol &amp; "$"</f>
        <v>2013$</v>
      </c>
      <c r="E120" s="141">
        <f ca="1">SUMPRODUCT(dFactor,tpSurvPRV,INDEX(tEIdxElec,1)*INDEX(elecPRV,1,3)*allOnes,OFFSET(tPrcElec,0,0,1,_maxLT))</f>
        <v>24264.029749272682</v>
      </c>
      <c r="F120" s="28">
        <f ca="1">SUMPRODUCT(dFactor,tpSurvPRV,INDEX(tEIdxElec,2)*INDEX(elecPRV,1,3)*allOnes,OFFSET(tPrcElec,0,1,1,_maxLT))</f>
        <v>24370.688849480579</v>
      </c>
      <c r="G120" s="28">
        <f ca="1">SUMPRODUCT(dFactor,tpSurvPRV,INDEX(tEIdxElec,3)*INDEX(elecPRV,1,3)*allOnes,OFFSET(tPrcElec,0,2,1,_maxLT))</f>
        <v>24465.271032818713</v>
      </c>
      <c r="H120" s="28">
        <f ca="1">SUMPRODUCT(dFactor,tpSurvPRV,INDEX(tEIdxElec,4)*INDEX(elecPRV,1,3)*allOnes,OFFSET(tPrcElec,0,3,1,_maxLT))</f>
        <v>24568.232708294894</v>
      </c>
      <c r="I120" s="28">
        <f ca="1">SUMPRODUCT(dFactor,tpSurvPRV,INDEX(tEIdxElec,5)*INDEX(elecPRV,1,3)*allOnes,OFFSET(tPrcElec,0,4,1,_maxLT))</f>
        <v>24658.884286571585</v>
      </c>
      <c r="J120" s="28">
        <f ca="1">SUMPRODUCT(dFactor,tpSurvPRV,INDEX(tEIdxElec,6)*INDEX(elecPRV,1,3)*allOnes,OFFSET(tPrcElec,0,5,1,_maxLT))</f>
        <v>24757.67390146917</v>
      </c>
      <c r="K120" s="28">
        <f ca="1">SUMPRODUCT(dFactor,tpSurvPRV,INDEX(tEIdxElec,7)*INDEX(elecPRV,1,3)*allOnes,OFFSET(tPrcElec,0,6,1,_maxLT))</f>
        <v>24843.899688644568</v>
      </c>
      <c r="L120" s="28">
        <f ca="1">SUMPRODUCT(dFactor,tpSurvPRV,INDEX(tEIdxElec,8)*INDEX(elecPRV,1,3)*allOnes,OFFSET(tPrcElec,0,7,1,_maxLT))</f>
        <v>24937.981366357024</v>
      </c>
      <c r="M120" s="28">
        <f ca="1">SUMPRODUCT(dFactor,tpSurvPRV,INDEX(tEIdxElec,9)*INDEX(elecPRV,1,3)*allOnes,OFFSET(tPrcElec,0,8,1,_maxLT))</f>
        <v>25040.435610666391</v>
      </c>
      <c r="N120" s="28">
        <f ca="1">SUMPRODUCT(dFactor,tpSurvPRV,INDEX(tEIdxElec,10)*INDEX(elecPRV,1,3)*allOnes,OFFSET(tPrcElec,0,9,1,_maxLT))</f>
        <v>25130.572451545606</v>
      </c>
      <c r="O120" s="28">
        <f ca="1">SUMPRODUCT(dFactor,tpSurvPRV,INDEX(tEIdxElec,11)*INDEX(elecPRV,1,3)*allOnes,OFFSET(tPrcElec,0,10,1,_maxLT))</f>
        <v>25228.835947631083</v>
      </c>
      <c r="P120" s="28">
        <f ca="1">SUMPRODUCT(dFactor,tpSurvPRV,INDEX(tEIdxElec,12)*INDEX(elecPRV,1,3)*allOnes,OFFSET(tPrcElec,0,11,1,_maxLT))</f>
        <v>25335.850621541776</v>
      </c>
      <c r="Q120" s="28">
        <f ca="1">SUMPRODUCT(dFactor,tpSurvPRV,INDEX(tEIdxElec,13)*INDEX(elecPRV,1,3)*allOnes,OFFSET(tPrcElec,0,12,1,_maxLT))</f>
        <v>25430.901377198439</v>
      </c>
      <c r="R120" s="28">
        <f ca="1">SUMPRODUCT(dFactor,tpSurvPRV,INDEX(tEIdxElec,14)*INDEX(elecPRV,1,3)*allOnes,OFFSET(tPrcElec,0,13,1,_maxLT))</f>
        <v>25534.431107562599</v>
      </c>
      <c r="S120" s="28">
        <f ca="1">SUMPRODUCT(dFactor,tpSurvPRV,INDEX(tEIdxElec,15)*INDEX(elecPRV,1,3)*allOnes,OFFSET(tPrcElec,0,14,1,_maxLT))</f>
        <v>25625.775068519113</v>
      </c>
      <c r="T120" s="28">
        <f ca="1">SUMPRODUCT(dFactor,tpSurvPRV,INDEX(tEIdxElec,16)*INDEX(elecPRV,1,3)*allOnes,OFFSET(tPrcElec,0,15,1,_maxLT))</f>
        <v>25725.353904098665</v>
      </c>
      <c r="U120" s="28">
        <f ca="1">SUMPRODUCT(dFactor,tpSurvPRV,INDEX(tEIdxElec,17)*INDEX(elecPRV,1,3)*allOnes,OFFSET(tPrcElec,0,16,1,_maxLT))</f>
        <v>25833.850737270586</v>
      </c>
      <c r="V120" s="28">
        <f ca="1">SUMPRODUCT(dFactor,tpSurvPRV,INDEX(tEIdxElec,18)*INDEX(elecPRV,1,3)*allOnes,OFFSET(tPrcElec,0,17,1,_maxLT))</f>
        <v>25930.497452701067</v>
      </c>
      <c r="W120" s="28">
        <f ca="1">SUMPRODUCT(dFactor,tpSurvPRV,INDEX(tEIdxElec,19)*INDEX(elecPRV,1,3)*allOnes,OFFSET(tPrcElec,0,18,1,_maxLT))</f>
        <v>26035.810517056496</v>
      </c>
      <c r="X120" s="28">
        <f ca="1">SUMPRODUCT(dFactor,tpSurvPRV,INDEX(tEIdxElec,20)*INDEX(elecPRV,1,3)*allOnes,OFFSET(tPrcElec,0,19,1,_maxLT))</f>
        <v>26129.10379567006</v>
      </c>
      <c r="Y120" s="28">
        <f ca="1">SUMPRODUCT(dFactor,tpSurvPRV,INDEX(tEIdxElec,21)*INDEX(elecPRV,1,3)*allOnes,OFFSET(tPrcElec,0,20,1,_maxLT))</f>
        <v>26230.799978154362</v>
      </c>
      <c r="Z120" s="28">
        <f ca="1">SUMPRODUCT(dFactor,tpSurvPRV,INDEX(tEIdxElec,22)*INDEX(elecPRV,1,3)*allOnes,OFFSET(tPrcElec,0,21,1,_maxLT))</f>
        <v>26341.613468400064</v>
      </c>
      <c r="AA120" s="28">
        <f ca="1">SUMPRODUCT(dFactor,tpSurvPRV,INDEX(tEIdxElec,23)*INDEX(elecPRV,1,3)*allOnes,OFFSET(tPrcElec,0,22,1,_maxLT))</f>
        <v>26440.744709336614</v>
      </c>
      <c r="AB120" s="28">
        <f ca="1">SUMPRODUCT(dFactor,tpSurvPRV,INDEX(tEIdxElec,24)*INDEX(elecPRV,1,3)*allOnes,OFFSET(tPrcElec,0,23,1,_maxLT))</f>
        <v>26548.806174198297</v>
      </c>
      <c r="AC120" s="28">
        <f ca="1">SUMPRODUCT(dFactor,tpSurvPRV,INDEX(tEIdxElec,25)*INDEX(elecPRV,1,3)*allOnes,OFFSET(tPrcElec,0,24,1,_maxLT))</f>
        <v>26645.029921720863</v>
      </c>
      <c r="AD120" s="28">
        <f ca="1">SUMPRODUCT(dFactor,tpSurvPRV,INDEX(tEIdxElec,26)*INDEX(elecPRV,1,3)*allOnes,OFFSET(tPrcElec,0,25,1,_maxLT))</f>
        <v>26749.926006032088</v>
      </c>
      <c r="AE120" s="28">
        <f ca="1">SUMPRODUCT(dFactor,tpSurvPRV,INDEX(tEIdxElec,27)*INDEX(elecPRV,1,3)*allOnes,OFFSET(tPrcElec,0,26,1,_maxLT))</f>
        <v>26864.120552122829</v>
      </c>
      <c r="AF120" s="28">
        <f ca="1">SUMPRODUCT(dFactor,tpSurvPRV,INDEX(tEIdxElec,28)*INDEX(elecPRV,1,3)*allOnes,OFFSET(tPrcElec,0,27,1,_maxLT))</f>
        <v>26966.933945279543</v>
      </c>
      <c r="AG120" s="28">
        <f ca="1">SUMPRODUCT(dFactor,tpSurvPRV,INDEX(tEIdxElec,29)*INDEX(elecPRV,1,3)*allOnes,OFFSET(tPrcElec,0,28,1,_maxLT))</f>
        <v>27078.986379505302</v>
      </c>
      <c r="AH120" s="28">
        <f ca="1">SUMPRODUCT(dFactor,tpSurvPRV,INDEX(tEIdxElec,30)*INDEX(elecPRV,1,3)*allOnes,OFFSET(tPrcElec,0,29,1,_maxLT))</f>
        <v>27179.511605383021</v>
      </c>
      <c r="AI120" s="28">
        <f ca="1">SUMPRODUCT(dFactor,tpSurvPRV,INDEX(tEIdxElec,31)*INDEX(elecPRV,1,3)*allOnes,OFFSET(tPrcElec,0,30,1,_maxLT))</f>
        <v>27289.1205486611</v>
      </c>
      <c r="AJ120" s="28">
        <f ca="1">SUMPRODUCT(dFactor,tpSurvPRV,INDEX(tEIdxElec,32)*INDEX(elecPRV,1,3)*allOnes,OFFSET(tPrcElec,0,31,1,_maxLT))</f>
        <v>27387.048804657621</v>
      </c>
      <c r="AK120" s="29">
        <f ca="1">SUMPRODUCT(dFactor,tpSurvPRV,INDEX(tEIdxElec,33)*INDEX(elecPRV,1,3)*allOnes,OFFSET(tPrcElec,0,32,1,_maxLT))</f>
        <v>27493.884812420092</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ts2bElec*SUMPRODUCT(tpSurvPRV,INDEX(tEIdxElec,1)*INDEX(elecPRV,1,3)*convFactor)</f>
        <v>5487.373264281875</v>
      </c>
      <c r="F122" s="22">
        <f ca="1">ts2bElec*SUMPRODUCT(tpSurvPRV,INDEX(tEIdxElec,2)*INDEX(elecPRV,1,3)*convFactor)</f>
        <v>5449.5765472638595</v>
      </c>
      <c r="G122" s="22">
        <f ca="1">ts2bElec*SUMPRODUCT(tpSurvPRV,INDEX(tEIdxElec,3)*INDEX(elecPRV,1,3)*convFactor)</f>
        <v>5411.5013567731958</v>
      </c>
      <c r="H122" s="22">
        <f ca="1">ts2bElec*SUMPRODUCT(tpSurvPRV,INDEX(tEIdxElec,4)*INDEX(elecPRV,1,3)*convFactor)</f>
        <v>5378.0667424608619</v>
      </c>
      <c r="I122" s="22">
        <f ca="1">ts2bElec*SUMPRODUCT(tpSurvPRV,INDEX(tEIdxElec,5)*INDEX(elecPRV,1,3)*convFactor)</f>
        <v>5346.3637075305978</v>
      </c>
      <c r="J122" s="22">
        <f ca="1">ts2bElec*SUMPRODUCT(tpSurvPRV,INDEX(tEIdxElec,6)*INDEX(elecPRV,1,3)*convFactor)</f>
        <v>5318.7583491636706</v>
      </c>
      <c r="K122" s="22">
        <f ca="1">ts2bElec*SUMPRODUCT(tpSurvPRV,INDEX(tEIdxElec,7)*INDEX(elecPRV,1,3)*convFactor)</f>
        <v>5297.355797179418</v>
      </c>
      <c r="L122" s="22">
        <f ca="1">ts2bElec*SUMPRODUCT(tpSurvPRV,INDEX(tEIdxElec,8)*INDEX(elecPRV,1,3)*convFactor)</f>
        <v>5279.6148304924573</v>
      </c>
      <c r="M122" s="22">
        <f ca="1">ts2bElec*SUMPRODUCT(tpSurvPRV,INDEX(tEIdxElec,9)*INDEX(elecPRV,1,3)*convFactor)</f>
        <v>5261.7933069337669</v>
      </c>
      <c r="N122" s="22">
        <f ca="1">ts2bElec*SUMPRODUCT(tpSurvPRV,INDEX(tEIdxElec,10)*INDEX(elecPRV,1,3)*convFactor)</f>
        <v>5247.5373173876542</v>
      </c>
      <c r="O122" s="22">
        <f ca="1">ts2bElec*SUMPRODUCT(tpSurvPRV,INDEX(tEIdxElec,11)*INDEX(elecPRV,1,3)*convFactor)</f>
        <v>5237.7182749130852</v>
      </c>
      <c r="P122" s="22">
        <f ca="1">ts2bElec*SUMPRODUCT(tpSurvPRV,INDEX(tEIdxElec,12)*INDEX(elecPRV,1,3)*convFactor)</f>
        <v>5230.5318232981444</v>
      </c>
      <c r="Q122" s="22">
        <f ca="1">ts2bElec*SUMPRODUCT(tpSurvPRV,INDEX(tEIdxElec,13)*INDEX(elecPRV,1,3)*convFactor)</f>
        <v>5224.4827530551811</v>
      </c>
      <c r="R122" s="22">
        <f ca="1">ts2bElec*SUMPRODUCT(tpSurvPRV,INDEX(tEIdxElec,14)*INDEX(elecPRV,1,3)*convFactor)</f>
        <v>5220.019529986841</v>
      </c>
      <c r="S122" s="22">
        <f ca="1">ts2bElec*SUMPRODUCT(tpSurvPRV,INDEX(tEIdxElec,15)*INDEX(elecPRV,1,3)*convFactor)</f>
        <v>5216.6167489037216</v>
      </c>
      <c r="T122" s="22">
        <f ca="1">ts2bElec*SUMPRODUCT(tpSurvPRV,INDEX(tEIdxElec,16)*INDEX(elecPRV,1,3)*convFactor)</f>
        <v>5216.1894592595281</v>
      </c>
      <c r="U122" s="22">
        <f ca="1">ts2bElec*SUMPRODUCT(tpSurvPRV,INDEX(tEIdxElec,17)*INDEX(elecPRV,1,3)*convFactor)</f>
        <v>5217.0616669388473</v>
      </c>
      <c r="V122" s="22">
        <f ca="1">ts2bElec*SUMPRODUCT(tpSurvPRV,INDEX(tEIdxElec,18)*INDEX(elecPRV,1,3)*convFactor)</f>
        <v>5218.3443834647978</v>
      </c>
      <c r="W122" s="22">
        <f ca="1">ts2bElec*SUMPRODUCT(tpSurvPRV,INDEX(tEIdxElec,19)*INDEX(elecPRV,1,3)*convFactor)</f>
        <v>5220.1788458151505</v>
      </c>
      <c r="X122" s="22">
        <f ca="1">ts2bElec*SUMPRODUCT(tpSurvPRV,INDEX(tEIdxElec,20)*INDEX(elecPRV,1,3)*convFactor)</f>
        <v>5221.9123930303967</v>
      </c>
      <c r="Y122" s="22">
        <f ca="1">ts2bElec*SUMPRODUCT(tpSurvPRV,INDEX(tEIdxElec,21)*INDEX(elecPRV,1,3)*convFactor)</f>
        <v>5223.3487295847917</v>
      </c>
      <c r="Z122" s="22">
        <f ca="1">ts2bElec*SUMPRODUCT(tpSurvPRV,INDEX(tEIdxElec,22)*INDEX(elecPRV,1,3)*convFactor)</f>
        <v>5224.3112781561831</v>
      </c>
      <c r="AA122" s="22">
        <f ca="1">ts2bElec*SUMPRODUCT(tpSurvPRV,INDEX(tEIdxElec,23)*INDEX(elecPRV,1,3)*convFactor)</f>
        <v>5224.9456617383221</v>
      </c>
      <c r="AB122" s="22">
        <f ca="1">ts2bElec*SUMPRODUCT(tpSurvPRV,INDEX(tEIdxElec,24)*INDEX(elecPRV,1,3)*convFactor)</f>
        <v>5224.9456617383221</v>
      </c>
      <c r="AC122" s="22">
        <f ca="1">ts2bElec*SUMPRODUCT(tpSurvPRV,INDEX(tEIdxElec,25)*INDEX(elecPRV,1,3)*convFactor)</f>
        <v>5224.9456617383221</v>
      </c>
      <c r="AD122" s="22">
        <f ca="1">ts2bElec*SUMPRODUCT(tpSurvPRV,INDEX(tEIdxElec,26)*INDEX(elecPRV,1,3)*convFactor)</f>
        <v>5224.9456617383221</v>
      </c>
      <c r="AE122" s="22">
        <f ca="1">ts2bElec*SUMPRODUCT(tpSurvPRV,INDEX(tEIdxElec,27)*INDEX(elecPRV,1,3)*convFactor)</f>
        <v>5224.9456617383221</v>
      </c>
      <c r="AF122" s="22">
        <f ca="1">ts2bElec*SUMPRODUCT(tpSurvPRV,INDEX(tEIdxElec,28)*INDEX(elecPRV,1,3)*convFactor)</f>
        <v>5224.9456617383221</v>
      </c>
      <c r="AG122" s="22">
        <f ca="1">ts2bElec*SUMPRODUCT(tpSurvPRV,INDEX(tEIdxElec,29)*INDEX(elecPRV,1,3)*convFactor)</f>
        <v>5224.9456617383221</v>
      </c>
      <c r="AH122" s="22">
        <f ca="1">ts2bElec*SUMPRODUCT(tpSurvPRV,INDEX(tEIdxElec,30)*INDEX(elecPRV,1,3)*convFactor)</f>
        <v>5224.9456617383221</v>
      </c>
      <c r="AI122" s="22">
        <f ca="1">ts2bElec*SUMPRODUCT(tpSurvPRV,INDEX(tEIdxElec,31)*INDEX(elecPRV,1,3)*convFactor)</f>
        <v>5224.9456617383221</v>
      </c>
      <c r="AJ122" s="22">
        <f ca="1">ts2bElec*SUMPRODUCT(tpSurvPRV,INDEX(tEIdxElec,32)*INDEX(elecPRV,1,3)*convFactor)</f>
        <v>5224.9456617383221</v>
      </c>
      <c r="AK122" s="25">
        <f ca="1">ts2bElec*SUMPRODUCT(tpSurvPRV,INDEX(tEIdxElec,33)*INDEX(elecPRV,1,3)*convFactor)</f>
        <v>5224.9456617383221</v>
      </c>
      <c r="AL122" s="3"/>
    </row>
    <row r="123" spans="2:38">
      <c r="B123" s="3"/>
      <c r="C123" s="30" t="str">
        <f>"EL 3: " &amp; INDEX(_doName,7,4)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(1+INDEX(vadPRV,1,4))*INDEX(mspPRV,1,4)*tPIdxAll + INDEX(instPRV,1,4) + SUMPRODUCT(dFactor,tpSurvPRV,INDEX(mrPRV,1,4)*allOnes)</f>
        <v>2337.5016719999999</v>
      </c>
      <c r="F124" s="28">
        <f ca="1"/>
        <v>2337.5016719999999</v>
      </c>
      <c r="G124" s="28">
        <f ca="1"/>
        <v>2337.5016719999999</v>
      </c>
      <c r="H124" s="28">
        <f ca="1"/>
        <v>2337.5016719999999</v>
      </c>
      <c r="I124" s="28">
        <f ca="1"/>
        <v>2337.5016719999999</v>
      </c>
      <c r="J124" s="28">
        <f ca="1"/>
        <v>2337.5016719999999</v>
      </c>
      <c r="K124" s="28">
        <f ca="1"/>
        <v>2337.5016719999999</v>
      </c>
      <c r="L124" s="28">
        <f ca="1"/>
        <v>2337.5016719999999</v>
      </c>
      <c r="M124" s="28">
        <f ca="1"/>
        <v>2337.5016719999999</v>
      </c>
      <c r="N124" s="28">
        <f ca="1"/>
        <v>2337.5016719999999</v>
      </c>
      <c r="O124" s="28">
        <f ca="1"/>
        <v>2337.5016719999999</v>
      </c>
      <c r="P124" s="28">
        <f ca="1"/>
        <v>2337.5016719999999</v>
      </c>
      <c r="Q124" s="28">
        <f ca="1"/>
        <v>2337.5016719999999</v>
      </c>
      <c r="R124" s="28">
        <f ca="1"/>
        <v>2337.5016719999999</v>
      </c>
      <c r="S124" s="28">
        <f ca="1"/>
        <v>2337.5016719999999</v>
      </c>
      <c r="T124" s="28">
        <f ca="1"/>
        <v>2337.5016719999999</v>
      </c>
      <c r="U124" s="28">
        <f ca="1"/>
        <v>2337.5016719999999</v>
      </c>
      <c r="V124" s="28">
        <f ca="1"/>
        <v>2337.5016719999999</v>
      </c>
      <c r="W124" s="28">
        <f ca="1"/>
        <v>2337.5016719999999</v>
      </c>
      <c r="X124" s="28">
        <f ca="1"/>
        <v>2337.5016719999999</v>
      </c>
      <c r="Y124" s="28">
        <f ca="1"/>
        <v>2337.5016719999999</v>
      </c>
      <c r="Z124" s="28">
        <f ca="1"/>
        <v>2337.5016719999999</v>
      </c>
      <c r="AA124" s="28">
        <f ca="1"/>
        <v>2337.5016719999999</v>
      </c>
      <c r="AB124" s="28">
        <f ca="1"/>
        <v>2337.5016719999999</v>
      </c>
      <c r="AC124" s="28">
        <f ca="1"/>
        <v>2337.5016719999999</v>
      </c>
      <c r="AD124" s="28">
        <f ca="1"/>
        <v>2337.5016719999999</v>
      </c>
      <c r="AE124" s="28">
        <f ca="1"/>
        <v>2337.5016719999999</v>
      </c>
      <c r="AF124" s="28">
        <f ca="1"/>
        <v>2337.5016719999999</v>
      </c>
      <c r="AG124" s="28">
        <f ca="1"/>
        <v>2337.5016719999999</v>
      </c>
      <c r="AH124" s="28">
        <f ca="1"/>
        <v>2337.5016719999999</v>
      </c>
      <c r="AI124" s="28">
        <f ca="1"/>
        <v>2337.5016719999999</v>
      </c>
      <c r="AJ124" s="28">
        <f ca="1"/>
        <v>2337.5016719999999</v>
      </c>
      <c r="AK124" s="29">
        <f ca="1"/>
        <v>2337.5016719999999</v>
      </c>
      <c r="AL124" s="3"/>
    </row>
    <row r="125" spans="2:38">
      <c r="B125" s="3"/>
      <c r="C125" s="23" t="s">
        <v>47</v>
      </c>
      <c r="D125" s="16" t="str">
        <f>_yearDol &amp; "$"</f>
        <v>2013$</v>
      </c>
      <c r="E125" s="141">
        <f t="array" aca="1" ref="E125:AK125" ca="1">(tlccEFubcElec3)</f>
        <v>27447.903135980348</v>
      </c>
      <c r="F125" s="28">
        <f ca="1"/>
        <v>27568.557812113238</v>
      </c>
      <c r="G125" s="28">
        <f ca="1"/>
        <v>27675.550864523775</v>
      </c>
      <c r="H125" s="28">
        <f ca="1"/>
        <v>27792.022947866539</v>
      </c>
      <c r="I125" s="28">
        <f ca="1"/>
        <v>27894.569629739814</v>
      </c>
      <c r="J125" s="28">
        <f ca="1"/>
        <v>28006.322203758591</v>
      </c>
      <c r="K125" s="28">
        <f ca="1"/>
        <v>28103.862351816009</v>
      </c>
      <c r="L125" s="28">
        <f ca="1"/>
        <v>28210.289223337601</v>
      </c>
      <c r="M125" s="28">
        <f ca="1"/>
        <v>28326.187291495811</v>
      </c>
      <c r="N125" s="28">
        <f ca="1"/>
        <v>28428.151693246116</v>
      </c>
      <c r="O125" s="28">
        <f ca="1"/>
        <v>28539.309112282735</v>
      </c>
      <c r="P125" s="28">
        <f ca="1"/>
        <v>28660.366019728906</v>
      </c>
      <c r="Q125" s="28">
        <f ca="1"/>
        <v>28767.889129501877</v>
      </c>
      <c r="R125" s="28">
        <f ca="1"/>
        <v>28885.003806663652</v>
      </c>
      <c r="S125" s="28">
        <f ca="1"/>
        <v>28988.333724171116</v>
      </c>
      <c r="T125" s="28">
        <f ca="1"/>
        <v>29100.979078698958</v>
      </c>
      <c r="U125" s="28">
        <f ca="1"/>
        <v>29223.712631131792</v>
      </c>
      <c r="V125" s="28">
        <f ca="1"/>
        <v>29333.041119060566</v>
      </c>
      <c r="W125" s="28">
        <f ca="1"/>
        <v>29452.173135434201</v>
      </c>
      <c r="X125" s="28">
        <f ca="1"/>
        <v>29557.708155836146</v>
      </c>
      <c r="Y125" s="28">
        <f ca="1"/>
        <v>29672.74869093985</v>
      </c>
      <c r="Z125" s="28">
        <f ca="1"/>
        <v>29798.102887165845</v>
      </c>
      <c r="AA125" s="28">
        <f ca="1"/>
        <v>29910.241914651899</v>
      </c>
      <c r="AB125" s="28">
        <f ca="1"/>
        <v>30032.482970688554</v>
      </c>
      <c r="AC125" s="28">
        <f ca="1"/>
        <v>30141.332989777387</v>
      </c>
      <c r="AD125" s="28">
        <f ca="1"/>
        <v>30259.993310889298</v>
      </c>
      <c r="AE125" s="28">
        <f ca="1"/>
        <v>30389.172217779218</v>
      </c>
      <c r="AF125" s="28">
        <f ca="1"/>
        <v>30505.476561517982</v>
      </c>
      <c r="AG125" s="28">
        <f ca="1"/>
        <v>30632.232273267469</v>
      </c>
      <c r="AH125" s="28">
        <f ca="1"/>
        <v>30745.948201376963</v>
      </c>
      <c r="AI125" s="28">
        <f ca="1"/>
        <v>30869.939792593319</v>
      </c>
      <c r="AJ125" s="28">
        <f ca="1"/>
        <v>30980.717982063197</v>
      </c>
      <c r="AK125" s="29">
        <f ca="1"/>
        <v>31101.572779176502</v>
      </c>
      <c r="AL125" s="3"/>
    </row>
    <row r="126" spans="2:38">
      <c r="B126" s="3"/>
      <c r="C126" s="27" t="str">
        <f>INDEX(_fuel,1)</f>
        <v>Electricity</v>
      </c>
      <c r="D126" s="16" t="str">
        <f>_yearDol &amp; "$"</f>
        <v>2013$</v>
      </c>
      <c r="E126" s="141">
        <f ca="1">SUMPRODUCT(dFactor,tpSurvPRV,INDEX(tEIdxElec,1)*INDEX(elecPRV,1,4)*allOnes,OFFSET(tPrcElec,0,0,1,_maxLT))</f>
        <v>27447.903135980348</v>
      </c>
      <c r="F126" s="28">
        <f ca="1">SUMPRODUCT(dFactor,tpSurvPRV,INDEX(tEIdxElec,2)*INDEX(elecPRV,1,4)*allOnes,OFFSET(tPrcElec,0,1,1,_maxLT))</f>
        <v>27568.557812113238</v>
      </c>
      <c r="G126" s="28">
        <f ca="1">SUMPRODUCT(dFactor,tpSurvPRV,INDEX(tEIdxElec,3)*INDEX(elecPRV,1,4)*allOnes,OFFSET(tPrcElec,0,2,1,_maxLT))</f>
        <v>27675.550864523775</v>
      </c>
      <c r="H126" s="28">
        <f ca="1">SUMPRODUCT(dFactor,tpSurvPRV,INDEX(tEIdxElec,4)*INDEX(elecPRV,1,4)*allOnes,OFFSET(tPrcElec,0,3,1,_maxLT))</f>
        <v>27792.022947866539</v>
      </c>
      <c r="I126" s="28">
        <f ca="1">SUMPRODUCT(dFactor,tpSurvPRV,INDEX(tEIdxElec,5)*INDEX(elecPRV,1,4)*allOnes,OFFSET(tPrcElec,0,4,1,_maxLT))</f>
        <v>27894.569629739814</v>
      </c>
      <c r="J126" s="28">
        <f ca="1">SUMPRODUCT(dFactor,tpSurvPRV,INDEX(tEIdxElec,6)*INDEX(elecPRV,1,4)*allOnes,OFFSET(tPrcElec,0,5,1,_maxLT))</f>
        <v>28006.322203758591</v>
      </c>
      <c r="K126" s="28">
        <f ca="1">SUMPRODUCT(dFactor,tpSurvPRV,INDEX(tEIdxElec,7)*INDEX(elecPRV,1,4)*allOnes,OFFSET(tPrcElec,0,6,1,_maxLT))</f>
        <v>28103.862351816009</v>
      </c>
      <c r="L126" s="28">
        <f ca="1">SUMPRODUCT(dFactor,tpSurvPRV,INDEX(tEIdxElec,8)*INDEX(elecPRV,1,4)*allOnes,OFFSET(tPrcElec,0,7,1,_maxLT))</f>
        <v>28210.289223337601</v>
      </c>
      <c r="M126" s="28">
        <f ca="1">SUMPRODUCT(dFactor,tpSurvPRV,INDEX(tEIdxElec,9)*INDEX(elecPRV,1,4)*allOnes,OFFSET(tPrcElec,0,8,1,_maxLT))</f>
        <v>28326.187291495811</v>
      </c>
      <c r="N126" s="28">
        <f ca="1">SUMPRODUCT(dFactor,tpSurvPRV,INDEX(tEIdxElec,10)*INDEX(elecPRV,1,4)*allOnes,OFFSET(tPrcElec,0,9,1,_maxLT))</f>
        <v>28428.151693246116</v>
      </c>
      <c r="O126" s="28">
        <f ca="1">SUMPRODUCT(dFactor,tpSurvPRV,INDEX(tEIdxElec,11)*INDEX(elecPRV,1,4)*allOnes,OFFSET(tPrcElec,0,10,1,_maxLT))</f>
        <v>28539.309112282735</v>
      </c>
      <c r="P126" s="28">
        <f ca="1">SUMPRODUCT(dFactor,tpSurvPRV,INDEX(tEIdxElec,12)*INDEX(elecPRV,1,4)*allOnes,OFFSET(tPrcElec,0,11,1,_maxLT))</f>
        <v>28660.366019728906</v>
      </c>
      <c r="Q126" s="28">
        <f ca="1">SUMPRODUCT(dFactor,tpSurvPRV,INDEX(tEIdxElec,13)*INDEX(elecPRV,1,4)*allOnes,OFFSET(tPrcElec,0,12,1,_maxLT))</f>
        <v>28767.889129501877</v>
      </c>
      <c r="R126" s="28">
        <f ca="1">SUMPRODUCT(dFactor,tpSurvPRV,INDEX(tEIdxElec,14)*INDEX(elecPRV,1,4)*allOnes,OFFSET(tPrcElec,0,13,1,_maxLT))</f>
        <v>28885.003806663652</v>
      </c>
      <c r="S126" s="28">
        <f ca="1">SUMPRODUCT(dFactor,tpSurvPRV,INDEX(tEIdxElec,15)*INDEX(elecPRV,1,4)*allOnes,OFFSET(tPrcElec,0,14,1,_maxLT))</f>
        <v>28988.333724171116</v>
      </c>
      <c r="T126" s="28">
        <f ca="1">SUMPRODUCT(dFactor,tpSurvPRV,INDEX(tEIdxElec,16)*INDEX(elecPRV,1,4)*allOnes,OFFSET(tPrcElec,0,15,1,_maxLT))</f>
        <v>29100.979078698958</v>
      </c>
      <c r="U126" s="28">
        <f ca="1">SUMPRODUCT(dFactor,tpSurvPRV,INDEX(tEIdxElec,17)*INDEX(elecPRV,1,4)*allOnes,OFFSET(tPrcElec,0,16,1,_maxLT))</f>
        <v>29223.712631131792</v>
      </c>
      <c r="V126" s="28">
        <f ca="1">SUMPRODUCT(dFactor,tpSurvPRV,INDEX(tEIdxElec,18)*INDEX(elecPRV,1,4)*allOnes,OFFSET(tPrcElec,0,17,1,_maxLT))</f>
        <v>29333.041119060566</v>
      </c>
      <c r="W126" s="28">
        <f ca="1">SUMPRODUCT(dFactor,tpSurvPRV,INDEX(tEIdxElec,19)*INDEX(elecPRV,1,4)*allOnes,OFFSET(tPrcElec,0,18,1,_maxLT))</f>
        <v>29452.173135434201</v>
      </c>
      <c r="X126" s="28">
        <f ca="1">SUMPRODUCT(dFactor,tpSurvPRV,INDEX(tEIdxElec,20)*INDEX(elecPRV,1,4)*allOnes,OFFSET(tPrcElec,0,19,1,_maxLT))</f>
        <v>29557.708155836146</v>
      </c>
      <c r="Y126" s="28">
        <f ca="1">SUMPRODUCT(dFactor,tpSurvPRV,INDEX(tEIdxElec,21)*INDEX(elecPRV,1,4)*allOnes,OFFSET(tPrcElec,0,20,1,_maxLT))</f>
        <v>29672.74869093985</v>
      </c>
      <c r="Z126" s="28">
        <f ca="1">SUMPRODUCT(dFactor,tpSurvPRV,INDEX(tEIdxElec,22)*INDEX(elecPRV,1,4)*allOnes,OFFSET(tPrcElec,0,21,1,_maxLT))</f>
        <v>29798.102887165845</v>
      </c>
      <c r="AA126" s="28">
        <f ca="1">SUMPRODUCT(dFactor,tpSurvPRV,INDEX(tEIdxElec,23)*INDEX(elecPRV,1,4)*allOnes,OFFSET(tPrcElec,0,22,1,_maxLT))</f>
        <v>29910.241914651899</v>
      </c>
      <c r="AB126" s="28">
        <f ca="1">SUMPRODUCT(dFactor,tpSurvPRV,INDEX(tEIdxElec,24)*INDEX(elecPRV,1,4)*allOnes,OFFSET(tPrcElec,0,23,1,_maxLT))</f>
        <v>30032.482970688554</v>
      </c>
      <c r="AC126" s="28">
        <f ca="1">SUMPRODUCT(dFactor,tpSurvPRV,INDEX(tEIdxElec,25)*INDEX(elecPRV,1,4)*allOnes,OFFSET(tPrcElec,0,24,1,_maxLT))</f>
        <v>30141.332989777387</v>
      </c>
      <c r="AD126" s="28">
        <f ca="1">SUMPRODUCT(dFactor,tpSurvPRV,INDEX(tEIdxElec,26)*INDEX(elecPRV,1,4)*allOnes,OFFSET(tPrcElec,0,25,1,_maxLT))</f>
        <v>30259.993310889298</v>
      </c>
      <c r="AE126" s="28">
        <f ca="1">SUMPRODUCT(dFactor,tpSurvPRV,INDEX(tEIdxElec,27)*INDEX(elecPRV,1,4)*allOnes,OFFSET(tPrcElec,0,26,1,_maxLT))</f>
        <v>30389.172217779218</v>
      </c>
      <c r="AF126" s="28">
        <f ca="1">SUMPRODUCT(dFactor,tpSurvPRV,INDEX(tEIdxElec,28)*INDEX(elecPRV,1,4)*allOnes,OFFSET(tPrcElec,0,27,1,_maxLT))</f>
        <v>30505.476561517982</v>
      </c>
      <c r="AG126" s="28">
        <f ca="1">SUMPRODUCT(dFactor,tpSurvPRV,INDEX(tEIdxElec,29)*INDEX(elecPRV,1,4)*allOnes,OFFSET(tPrcElec,0,28,1,_maxLT))</f>
        <v>30632.232273267469</v>
      </c>
      <c r="AH126" s="28">
        <f ca="1">SUMPRODUCT(dFactor,tpSurvPRV,INDEX(tEIdxElec,30)*INDEX(elecPRV,1,4)*allOnes,OFFSET(tPrcElec,0,29,1,_maxLT))</f>
        <v>30745.948201376963</v>
      </c>
      <c r="AI126" s="28">
        <f ca="1">SUMPRODUCT(dFactor,tpSurvPRV,INDEX(tEIdxElec,31)*INDEX(elecPRV,1,4)*allOnes,OFFSET(tPrcElec,0,30,1,_maxLT))</f>
        <v>30869.939792593319</v>
      </c>
      <c r="AJ126" s="28">
        <f ca="1">SUMPRODUCT(dFactor,tpSurvPRV,INDEX(tEIdxElec,32)*INDEX(elecPRV,1,4)*allOnes,OFFSET(tPrcElec,0,31,1,_maxLT))</f>
        <v>30980.717982063197</v>
      </c>
      <c r="AK126" s="29">
        <f ca="1">SUMPRODUCT(dFactor,tpSurvPRV,INDEX(tEIdxElec,33)*INDEX(elecPRV,1,4)*allOnes,OFFSET(tPrcElec,0,32,1,_maxLT))</f>
        <v>31101.572779176502</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ts2bElec*SUMPRODUCT(tpSurvPRV,INDEX(tEIdxElec,1)*INDEX(elecPRV,1,4)*convFactor)</f>
        <v>6207.4144890747939</v>
      </c>
      <c r="F128" s="22">
        <f ca="1">ts2bElec*SUMPRODUCT(tpSurvPRV,INDEX(tEIdxElec,2)*INDEX(elecPRV,1,4)*convFactor)</f>
        <v>6164.6581687813914</v>
      </c>
      <c r="G128" s="22">
        <f ca="1">ts2bElec*SUMPRODUCT(tpSurvPRV,INDEX(tEIdxElec,3)*INDEX(elecPRV,1,4)*convFactor)</f>
        <v>6121.5868343299044</v>
      </c>
      <c r="H128" s="22">
        <f ca="1">ts2bElec*SUMPRODUCT(tpSurvPRV,INDEX(tEIdxElec,4)*INDEX(elecPRV,1,4)*convFactor)</f>
        <v>6083.7650024035183</v>
      </c>
      <c r="I128" s="22">
        <f ca="1">ts2bElec*SUMPRODUCT(tpSurvPRV,INDEX(tEIdxElec,5)*INDEX(elecPRV,1,4)*convFactor)</f>
        <v>6047.9019639521848</v>
      </c>
      <c r="J128" s="22">
        <f ca="1">ts2bElec*SUMPRODUCT(tpSurvPRV,INDEX(tEIdxElec,6)*INDEX(elecPRV,1,4)*convFactor)</f>
        <v>6016.6742903003187</v>
      </c>
      <c r="K128" s="22">
        <f ca="1">ts2bElec*SUMPRODUCT(tpSurvPRV,INDEX(tEIdxElec,7)*INDEX(elecPRV,1,4)*convFactor)</f>
        <v>5992.4633418388748</v>
      </c>
      <c r="L128" s="22">
        <f ca="1">ts2bElec*SUMPRODUCT(tpSurvPRV,INDEX(tEIdxElec,8)*INDEX(elecPRV,1,4)*convFactor)</f>
        <v>5972.3944439602383</v>
      </c>
      <c r="M128" s="22">
        <f ca="1">ts2bElec*SUMPRODUCT(tpSurvPRV,INDEX(tEIdxElec,9)*INDEX(elecPRV,1,4)*convFactor)</f>
        <v>5952.234418711786</v>
      </c>
      <c r="N128" s="22">
        <f ca="1">ts2bElec*SUMPRODUCT(tpSurvPRV,INDEX(tEIdxElec,10)*INDEX(elecPRV,1,4)*convFactor)</f>
        <v>5936.1077891200557</v>
      </c>
      <c r="O128" s="22">
        <f ca="1">ts2bElec*SUMPRODUCT(tpSurvPRV,INDEX(tEIdxElec,11)*INDEX(elecPRV,1,4)*convFactor)</f>
        <v>5925.0003131766534</v>
      </c>
      <c r="P128" s="22">
        <f ca="1">ts2bElec*SUMPRODUCT(tpSurvPRV,INDEX(tEIdxElec,12)*INDEX(elecPRV,1,4)*convFactor)</f>
        <v>5916.8708709588282</v>
      </c>
      <c r="Q128" s="22">
        <f ca="1">ts2bElec*SUMPRODUCT(tpSurvPRV,INDEX(tEIdxElec,13)*INDEX(elecPRV,1,4)*convFactor)</f>
        <v>5910.0280548311157</v>
      </c>
      <c r="R128" s="22">
        <f ca="1">ts2bElec*SUMPRODUCT(tpSurvPRV,INDEX(tEIdxElec,14)*INDEX(elecPRV,1,4)*convFactor)</f>
        <v>5904.9791773066499</v>
      </c>
      <c r="S128" s="22">
        <f ca="1">ts2bElec*SUMPRODUCT(tpSurvPRV,INDEX(tEIdxElec,15)*INDEX(elecPRV,1,4)*convFactor)</f>
        <v>5901.1298906659931</v>
      </c>
      <c r="T128" s="22">
        <f ca="1">ts2bElec*SUMPRODUCT(tpSurvPRV,INDEX(tEIdxElec,16)*INDEX(elecPRV,1,4)*convFactor)</f>
        <v>5900.6465330009205</v>
      </c>
      <c r="U128" s="22">
        <f ca="1">ts2bElec*SUMPRODUCT(tpSurvPRV,INDEX(tEIdxElec,17)*INDEX(elecPRV,1,4)*convFactor)</f>
        <v>5901.6331898812414</v>
      </c>
      <c r="V128" s="22">
        <f ca="1">ts2bElec*SUMPRODUCT(tpSurvPRV,INDEX(tEIdxElec,18)*INDEX(elecPRV,1,4)*convFactor)</f>
        <v>5903.0842216891897</v>
      </c>
      <c r="W128" s="22">
        <f ca="1">ts2bElec*SUMPRODUCT(tpSurvPRV,INDEX(tEIdxElec,19)*INDEX(elecPRV,1,4)*convFactor)</f>
        <v>5905.1593982126033</v>
      </c>
      <c r="X128" s="22">
        <f ca="1">ts2bElec*SUMPRODUCT(tpSurvPRV,INDEX(tEIdxElec,20)*INDEX(elecPRV,1,4)*convFactor)</f>
        <v>5907.120417735634</v>
      </c>
      <c r="Y128" s="22">
        <f ca="1">ts2bElec*SUMPRODUCT(tpSurvPRV,INDEX(tEIdxElec,21)*INDEX(elecPRV,1,4)*convFactor)</f>
        <v>5908.745227259159</v>
      </c>
      <c r="Z128" s="22">
        <f ca="1">ts2bElec*SUMPRODUCT(tpSurvPRV,INDEX(tEIdxElec,22)*INDEX(elecPRV,1,4)*convFactor)</f>
        <v>5909.834079367577</v>
      </c>
      <c r="AA128" s="22">
        <f ca="1">ts2bElec*SUMPRODUCT(tpSurvPRV,INDEX(tEIdxElec,23)*INDEX(elecPRV,1,4)*convFactor)</f>
        <v>5910.5517053882149</v>
      </c>
      <c r="AB128" s="22">
        <f ca="1">ts2bElec*SUMPRODUCT(tpSurvPRV,INDEX(tEIdxElec,24)*INDEX(elecPRV,1,4)*convFactor)</f>
        <v>5910.5517053882149</v>
      </c>
      <c r="AC128" s="22">
        <f ca="1">ts2bElec*SUMPRODUCT(tpSurvPRV,INDEX(tEIdxElec,25)*INDEX(elecPRV,1,4)*convFactor)</f>
        <v>5910.5517053882149</v>
      </c>
      <c r="AD128" s="22">
        <f ca="1">ts2bElec*SUMPRODUCT(tpSurvPRV,INDEX(tEIdxElec,26)*INDEX(elecPRV,1,4)*convFactor)</f>
        <v>5910.5517053882149</v>
      </c>
      <c r="AE128" s="22">
        <f ca="1">ts2bElec*SUMPRODUCT(tpSurvPRV,INDEX(tEIdxElec,27)*INDEX(elecPRV,1,4)*convFactor)</f>
        <v>5910.5517053882149</v>
      </c>
      <c r="AF128" s="22">
        <f ca="1">ts2bElec*SUMPRODUCT(tpSurvPRV,INDEX(tEIdxElec,28)*INDEX(elecPRV,1,4)*convFactor)</f>
        <v>5910.5517053882149</v>
      </c>
      <c r="AG128" s="22">
        <f ca="1">ts2bElec*SUMPRODUCT(tpSurvPRV,INDEX(tEIdxElec,29)*INDEX(elecPRV,1,4)*convFactor)</f>
        <v>5910.5517053882149</v>
      </c>
      <c r="AH128" s="22">
        <f ca="1">ts2bElec*SUMPRODUCT(tpSurvPRV,INDEX(tEIdxElec,30)*INDEX(elecPRV,1,4)*convFactor)</f>
        <v>5910.5517053882149</v>
      </c>
      <c r="AI128" s="22">
        <f ca="1">ts2bElec*SUMPRODUCT(tpSurvPRV,INDEX(tEIdxElec,31)*INDEX(elecPRV,1,4)*convFactor)</f>
        <v>5910.5517053882149</v>
      </c>
      <c r="AJ128" s="22">
        <f ca="1">ts2bElec*SUMPRODUCT(tpSurvPRV,INDEX(tEIdxElec,32)*INDEX(elecPRV,1,4)*convFactor)</f>
        <v>5910.5517053882149</v>
      </c>
      <c r="AK128" s="25">
        <f ca="1">ts2bElec*SUMPRODUCT(tpSurvPRV,INDEX(tEIdxElec,33)*INDEX(elecPRV,1,4)*convFactor)</f>
        <v>5910.5517053882149</v>
      </c>
      <c r="AL128" s="3"/>
    </row>
    <row r="129" spans="2:38">
      <c r="B129" s="3"/>
      <c r="C129" s="30" t="str">
        <f>"EL 4: " &amp; INDEX(_doName,7,5)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(1+INDEX(vadPRV,1,5))*INDEX(mspPRV,1,5)*tPIdxAll + INDEX(instPRV,1,5) + SUMPRODUCT(dFactor,tpSurvPRV,INDEX(mrPRV,1,5)*allOnes)</f>
        <v>1688.0056619999998</v>
      </c>
      <c r="F130" s="28">
        <f ca="1"/>
        <v>1688.0056619999998</v>
      </c>
      <c r="G130" s="28">
        <f ca="1"/>
        <v>1688.0056619999998</v>
      </c>
      <c r="H130" s="28">
        <f ca="1"/>
        <v>1688.0056619999998</v>
      </c>
      <c r="I130" s="28">
        <f ca="1"/>
        <v>1688.0056619999998</v>
      </c>
      <c r="J130" s="28">
        <f ca="1"/>
        <v>1688.0056619999998</v>
      </c>
      <c r="K130" s="28">
        <f ca="1"/>
        <v>1688.0056619999998</v>
      </c>
      <c r="L130" s="28">
        <f ca="1"/>
        <v>1688.0056619999998</v>
      </c>
      <c r="M130" s="28">
        <f ca="1"/>
        <v>1688.0056619999998</v>
      </c>
      <c r="N130" s="28">
        <f ca="1"/>
        <v>1688.0056619999998</v>
      </c>
      <c r="O130" s="28">
        <f ca="1"/>
        <v>1688.0056619999998</v>
      </c>
      <c r="P130" s="28">
        <f ca="1"/>
        <v>1688.0056619999998</v>
      </c>
      <c r="Q130" s="28">
        <f ca="1"/>
        <v>1688.0056619999998</v>
      </c>
      <c r="R130" s="28">
        <f ca="1"/>
        <v>1688.0056619999998</v>
      </c>
      <c r="S130" s="28">
        <f ca="1"/>
        <v>1688.0056619999998</v>
      </c>
      <c r="T130" s="28">
        <f ca="1"/>
        <v>1688.0056619999998</v>
      </c>
      <c r="U130" s="28">
        <f ca="1"/>
        <v>1688.0056619999998</v>
      </c>
      <c r="V130" s="28">
        <f ca="1"/>
        <v>1688.0056619999998</v>
      </c>
      <c r="W130" s="28">
        <f ca="1"/>
        <v>1688.0056619999998</v>
      </c>
      <c r="X130" s="28">
        <f ca="1"/>
        <v>1688.0056619999998</v>
      </c>
      <c r="Y130" s="28">
        <f ca="1"/>
        <v>1688.0056619999998</v>
      </c>
      <c r="Z130" s="28">
        <f ca="1"/>
        <v>1688.0056619999998</v>
      </c>
      <c r="AA130" s="28">
        <f ca="1"/>
        <v>1688.0056619999998</v>
      </c>
      <c r="AB130" s="28">
        <f ca="1"/>
        <v>1688.0056619999998</v>
      </c>
      <c r="AC130" s="28">
        <f ca="1"/>
        <v>1688.0056619999998</v>
      </c>
      <c r="AD130" s="28">
        <f ca="1"/>
        <v>1688.0056619999998</v>
      </c>
      <c r="AE130" s="28">
        <f ca="1"/>
        <v>1688.0056619999998</v>
      </c>
      <c r="AF130" s="28">
        <f ca="1"/>
        <v>1688.0056619999998</v>
      </c>
      <c r="AG130" s="28">
        <f ca="1"/>
        <v>1688.0056619999998</v>
      </c>
      <c r="AH130" s="28">
        <f ca="1"/>
        <v>1688.0056619999998</v>
      </c>
      <c r="AI130" s="28">
        <f ca="1"/>
        <v>1688.0056619999998</v>
      </c>
      <c r="AJ130" s="28">
        <f ca="1"/>
        <v>1688.0056619999998</v>
      </c>
      <c r="AK130" s="29">
        <f ca="1"/>
        <v>1688.0056619999998</v>
      </c>
      <c r="AL130" s="3"/>
    </row>
    <row r="131" spans="2:38">
      <c r="B131" s="3"/>
      <c r="C131" s="23" t="s">
        <v>47</v>
      </c>
      <c r="D131" s="16" t="str">
        <f>_yearDol &amp; "$"</f>
        <v>2013$</v>
      </c>
      <c r="E131" s="141">
        <f t="array" aca="1" ref="E131:AK131" ca="1">(tlccEFubcElec4)</f>
        <v>16520.999956184602</v>
      </c>
      <c r="F131" s="28">
        <f ca="1"/>
        <v>16593.622476354169</v>
      </c>
      <c r="G131" s="28">
        <f ca="1"/>
        <v>16658.022011919049</v>
      </c>
      <c r="H131" s="28">
        <f ca="1"/>
        <v>16728.127013174319</v>
      </c>
      <c r="I131" s="28">
        <f ca="1"/>
        <v>16789.850260970044</v>
      </c>
      <c r="J131" s="28">
        <f ca="1"/>
        <v>16857.114571155096</v>
      </c>
      <c r="K131" s="28">
        <f ca="1"/>
        <v>16915.824366719418</v>
      </c>
      <c r="L131" s="28">
        <f ca="1"/>
        <v>16979.883115798875</v>
      </c>
      <c r="M131" s="28">
        <f ca="1"/>
        <v>17049.642615075652</v>
      </c>
      <c r="N131" s="28">
        <f ca="1"/>
        <v>17111.015386194227</v>
      </c>
      <c r="O131" s="28">
        <f ca="1"/>
        <v>17177.921470274163</v>
      </c>
      <c r="P131" s="28">
        <f ca="1"/>
        <v>17250.786095040072</v>
      </c>
      <c r="Q131" s="28">
        <f ca="1"/>
        <v>17315.504674198834</v>
      </c>
      <c r="R131" s="28">
        <f ca="1"/>
        <v>17385.996455180149</v>
      </c>
      <c r="S131" s="28">
        <f ca="1"/>
        <v>17448.191135559053</v>
      </c>
      <c r="T131" s="28">
        <f ca="1"/>
        <v>17515.992813814752</v>
      </c>
      <c r="U131" s="28">
        <f ca="1"/>
        <v>17589.866617737753</v>
      </c>
      <c r="V131" s="28">
        <f ca="1"/>
        <v>17655.671861050236</v>
      </c>
      <c r="W131" s="28">
        <f ca="1"/>
        <v>17727.37788637168</v>
      </c>
      <c r="X131" s="28">
        <f ca="1"/>
        <v>17790.89982678364</v>
      </c>
      <c r="Y131" s="28">
        <f ca="1"/>
        <v>17860.143173570163</v>
      </c>
      <c r="Z131" s="28">
        <f ca="1"/>
        <v>17935.594353213921</v>
      </c>
      <c r="AA131" s="28">
        <f ca="1"/>
        <v>18003.091271248253</v>
      </c>
      <c r="AB131" s="28">
        <f ca="1"/>
        <v>18076.668639669453</v>
      </c>
      <c r="AC131" s="28">
        <f ca="1"/>
        <v>18142.185890720939</v>
      </c>
      <c r="AD131" s="28">
        <f ca="1"/>
        <v>18213.608000824541</v>
      </c>
      <c r="AE131" s="28">
        <f ca="1"/>
        <v>18291.361288734945</v>
      </c>
      <c r="AF131" s="28">
        <f ca="1"/>
        <v>18361.365326868305</v>
      </c>
      <c r="AG131" s="28">
        <f ca="1"/>
        <v>18437.660084172148</v>
      </c>
      <c r="AH131" s="28">
        <f ca="1"/>
        <v>18506.106144842335</v>
      </c>
      <c r="AI131" s="28">
        <f ca="1"/>
        <v>18580.737167216044</v>
      </c>
      <c r="AJ131" s="28">
        <f ca="1"/>
        <v>18647.414991540583</v>
      </c>
      <c r="AK131" s="29">
        <f ca="1"/>
        <v>18720.157965308819</v>
      </c>
      <c r="AL131" s="3"/>
    </row>
    <row r="132" spans="2:38">
      <c r="B132" s="3"/>
      <c r="C132" s="27" t="str">
        <f>INDEX(_fuel,1)</f>
        <v>Electricity</v>
      </c>
      <c r="D132" s="16" t="str">
        <f>_yearDol &amp; "$"</f>
        <v>2013$</v>
      </c>
      <c r="E132" s="141">
        <f ca="1">SUMPRODUCT(dFactor,tpSurvPRV,INDEX(tEIdxElec,1)*INDEX(elecPRV,1,5)*allOnes,OFFSET(tPrcElec,0,0,1,_maxLT))</f>
        <v>16520.999956184602</v>
      </c>
      <c r="F132" s="28">
        <f ca="1">SUMPRODUCT(dFactor,tpSurvPRV,INDEX(tEIdxElec,2)*INDEX(elecPRV,1,5)*allOnes,OFFSET(tPrcElec,0,1,1,_maxLT))</f>
        <v>16593.622476354169</v>
      </c>
      <c r="G132" s="28">
        <f ca="1">SUMPRODUCT(dFactor,tpSurvPRV,INDEX(tEIdxElec,3)*INDEX(elecPRV,1,5)*allOnes,OFFSET(tPrcElec,0,2,1,_maxLT))</f>
        <v>16658.022011919049</v>
      </c>
      <c r="H132" s="28">
        <f ca="1">SUMPRODUCT(dFactor,tpSurvPRV,INDEX(tEIdxElec,4)*INDEX(elecPRV,1,5)*allOnes,OFFSET(tPrcElec,0,3,1,_maxLT))</f>
        <v>16728.127013174319</v>
      </c>
      <c r="I132" s="28">
        <f ca="1">SUMPRODUCT(dFactor,tpSurvPRV,INDEX(tEIdxElec,5)*INDEX(elecPRV,1,5)*allOnes,OFFSET(tPrcElec,0,4,1,_maxLT))</f>
        <v>16789.850260970044</v>
      </c>
      <c r="J132" s="28">
        <f ca="1">SUMPRODUCT(dFactor,tpSurvPRV,INDEX(tEIdxElec,6)*INDEX(elecPRV,1,5)*allOnes,OFFSET(tPrcElec,0,5,1,_maxLT))</f>
        <v>16857.114571155096</v>
      </c>
      <c r="K132" s="28">
        <f ca="1">SUMPRODUCT(dFactor,tpSurvPRV,INDEX(tEIdxElec,7)*INDEX(elecPRV,1,5)*allOnes,OFFSET(tPrcElec,0,6,1,_maxLT))</f>
        <v>16915.824366719418</v>
      </c>
      <c r="L132" s="28">
        <f ca="1">SUMPRODUCT(dFactor,tpSurvPRV,INDEX(tEIdxElec,8)*INDEX(elecPRV,1,5)*allOnes,OFFSET(tPrcElec,0,7,1,_maxLT))</f>
        <v>16979.883115798875</v>
      </c>
      <c r="M132" s="28">
        <f ca="1">SUMPRODUCT(dFactor,tpSurvPRV,INDEX(tEIdxElec,9)*INDEX(elecPRV,1,5)*allOnes,OFFSET(tPrcElec,0,8,1,_maxLT))</f>
        <v>17049.642615075652</v>
      </c>
      <c r="N132" s="28">
        <f ca="1">SUMPRODUCT(dFactor,tpSurvPRV,INDEX(tEIdxElec,10)*INDEX(elecPRV,1,5)*allOnes,OFFSET(tPrcElec,0,9,1,_maxLT))</f>
        <v>17111.015386194227</v>
      </c>
      <c r="O132" s="28">
        <f ca="1">SUMPRODUCT(dFactor,tpSurvPRV,INDEX(tEIdxElec,11)*INDEX(elecPRV,1,5)*allOnes,OFFSET(tPrcElec,0,10,1,_maxLT))</f>
        <v>17177.921470274163</v>
      </c>
      <c r="P132" s="28">
        <f ca="1">SUMPRODUCT(dFactor,tpSurvPRV,INDEX(tEIdxElec,12)*INDEX(elecPRV,1,5)*allOnes,OFFSET(tPrcElec,0,11,1,_maxLT))</f>
        <v>17250.786095040072</v>
      </c>
      <c r="Q132" s="28">
        <f ca="1">SUMPRODUCT(dFactor,tpSurvPRV,INDEX(tEIdxElec,13)*INDEX(elecPRV,1,5)*allOnes,OFFSET(tPrcElec,0,12,1,_maxLT))</f>
        <v>17315.504674198834</v>
      </c>
      <c r="R132" s="28">
        <f ca="1">SUMPRODUCT(dFactor,tpSurvPRV,INDEX(tEIdxElec,14)*INDEX(elecPRV,1,5)*allOnes,OFFSET(tPrcElec,0,13,1,_maxLT))</f>
        <v>17385.996455180149</v>
      </c>
      <c r="S132" s="28">
        <f ca="1">SUMPRODUCT(dFactor,tpSurvPRV,INDEX(tEIdxElec,15)*INDEX(elecPRV,1,5)*allOnes,OFFSET(tPrcElec,0,14,1,_maxLT))</f>
        <v>17448.191135559053</v>
      </c>
      <c r="T132" s="28">
        <f ca="1">SUMPRODUCT(dFactor,tpSurvPRV,INDEX(tEIdxElec,16)*INDEX(elecPRV,1,5)*allOnes,OFFSET(tPrcElec,0,15,1,_maxLT))</f>
        <v>17515.992813814752</v>
      </c>
      <c r="U132" s="28">
        <f ca="1">SUMPRODUCT(dFactor,tpSurvPRV,INDEX(tEIdxElec,17)*INDEX(elecPRV,1,5)*allOnes,OFFSET(tPrcElec,0,16,1,_maxLT))</f>
        <v>17589.866617737753</v>
      </c>
      <c r="V132" s="28">
        <f ca="1">SUMPRODUCT(dFactor,tpSurvPRV,INDEX(tEIdxElec,18)*INDEX(elecPRV,1,5)*allOnes,OFFSET(tPrcElec,0,17,1,_maxLT))</f>
        <v>17655.671861050236</v>
      </c>
      <c r="W132" s="28">
        <f ca="1">SUMPRODUCT(dFactor,tpSurvPRV,INDEX(tEIdxElec,19)*INDEX(elecPRV,1,5)*allOnes,OFFSET(tPrcElec,0,18,1,_maxLT))</f>
        <v>17727.37788637168</v>
      </c>
      <c r="X132" s="28">
        <f ca="1">SUMPRODUCT(dFactor,tpSurvPRV,INDEX(tEIdxElec,20)*INDEX(elecPRV,1,5)*allOnes,OFFSET(tPrcElec,0,19,1,_maxLT))</f>
        <v>17790.89982678364</v>
      </c>
      <c r="Y132" s="28">
        <f ca="1">SUMPRODUCT(dFactor,tpSurvPRV,INDEX(tEIdxElec,21)*INDEX(elecPRV,1,5)*allOnes,OFFSET(tPrcElec,0,20,1,_maxLT))</f>
        <v>17860.143173570163</v>
      </c>
      <c r="Z132" s="28">
        <f ca="1">SUMPRODUCT(dFactor,tpSurvPRV,INDEX(tEIdxElec,22)*INDEX(elecPRV,1,5)*allOnes,OFFSET(tPrcElec,0,21,1,_maxLT))</f>
        <v>17935.594353213921</v>
      </c>
      <c r="AA132" s="28">
        <f ca="1">SUMPRODUCT(dFactor,tpSurvPRV,INDEX(tEIdxElec,23)*INDEX(elecPRV,1,5)*allOnes,OFFSET(tPrcElec,0,22,1,_maxLT))</f>
        <v>18003.091271248253</v>
      </c>
      <c r="AB132" s="28">
        <f ca="1">SUMPRODUCT(dFactor,tpSurvPRV,INDEX(tEIdxElec,24)*INDEX(elecPRV,1,5)*allOnes,OFFSET(tPrcElec,0,23,1,_maxLT))</f>
        <v>18076.668639669453</v>
      </c>
      <c r="AC132" s="28">
        <f ca="1">SUMPRODUCT(dFactor,tpSurvPRV,INDEX(tEIdxElec,25)*INDEX(elecPRV,1,5)*allOnes,OFFSET(tPrcElec,0,24,1,_maxLT))</f>
        <v>18142.185890720939</v>
      </c>
      <c r="AD132" s="28">
        <f ca="1">SUMPRODUCT(dFactor,tpSurvPRV,INDEX(tEIdxElec,26)*INDEX(elecPRV,1,5)*allOnes,OFFSET(tPrcElec,0,25,1,_maxLT))</f>
        <v>18213.608000824541</v>
      </c>
      <c r="AE132" s="28">
        <f ca="1">SUMPRODUCT(dFactor,tpSurvPRV,INDEX(tEIdxElec,27)*INDEX(elecPRV,1,5)*allOnes,OFFSET(tPrcElec,0,26,1,_maxLT))</f>
        <v>18291.361288734945</v>
      </c>
      <c r="AF132" s="28">
        <f ca="1">SUMPRODUCT(dFactor,tpSurvPRV,INDEX(tEIdxElec,28)*INDEX(elecPRV,1,5)*allOnes,OFFSET(tPrcElec,0,27,1,_maxLT))</f>
        <v>18361.365326868305</v>
      </c>
      <c r="AG132" s="28">
        <f ca="1">SUMPRODUCT(dFactor,tpSurvPRV,INDEX(tEIdxElec,29)*INDEX(elecPRV,1,5)*allOnes,OFFSET(tPrcElec,0,28,1,_maxLT))</f>
        <v>18437.660084172148</v>
      </c>
      <c r="AH132" s="28">
        <f ca="1">SUMPRODUCT(dFactor,tpSurvPRV,INDEX(tEIdxElec,30)*INDEX(elecPRV,1,5)*allOnes,OFFSET(tPrcElec,0,29,1,_maxLT))</f>
        <v>18506.106144842335</v>
      </c>
      <c r="AI132" s="28">
        <f ca="1">SUMPRODUCT(dFactor,tpSurvPRV,INDEX(tEIdxElec,31)*INDEX(elecPRV,1,5)*allOnes,OFFSET(tPrcElec,0,30,1,_maxLT))</f>
        <v>18580.737167216044</v>
      </c>
      <c r="AJ132" s="28">
        <f ca="1">SUMPRODUCT(dFactor,tpSurvPRV,INDEX(tEIdxElec,32)*INDEX(elecPRV,1,5)*allOnes,OFFSET(tPrcElec,0,31,1,_maxLT))</f>
        <v>18647.414991540583</v>
      </c>
      <c r="AK132" s="29">
        <f ca="1">SUMPRODUCT(dFactor,tpSurvPRV,INDEX(tEIdxElec,33)*INDEX(elecPRV,1,5)*allOnes,OFFSET(tPrcElec,0,32,1,_maxLT))</f>
        <v>18720.157965308819</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ts2bElec*SUMPRODUCT(tpSurvPRV,INDEX(tEIdxElec,1)*INDEX(elecPRV,1,5)*convFactor)</f>
        <v>3736.266992562802</v>
      </c>
      <c r="F134" s="22">
        <f ca="1">ts2bElec*SUMPRODUCT(tpSurvPRV,INDEX(tEIdxElec,2)*INDEX(elecPRV,1,5)*convFactor)</f>
        <v>3710.5317966101484</v>
      </c>
      <c r="G134" s="22">
        <f ca="1">ts2bElec*SUMPRODUCT(tpSurvPRV,INDEX(tEIdxElec,3)*INDEX(elecPRV,1,5)*convFactor)</f>
        <v>3684.606992407053</v>
      </c>
      <c r="H134" s="22">
        <f ca="1">ts2bElec*SUMPRODUCT(tpSurvPRV,INDEX(tEIdxElec,4)*INDEX(elecPRV,1,5)*convFactor)</f>
        <v>3661.8418842491351</v>
      </c>
      <c r="I134" s="22">
        <f ca="1">ts2bElec*SUMPRODUCT(tpSurvPRV,INDEX(tEIdxElec,5)*INDEX(elecPRV,1,5)*convFactor)</f>
        <v>3640.2557815239888</v>
      </c>
      <c r="J134" s="22">
        <f ca="1">ts2bElec*SUMPRODUCT(tpSurvPRV,INDEX(tEIdxElec,6)*INDEX(elecPRV,1,5)*convFactor)</f>
        <v>3621.4597229515603</v>
      </c>
      <c r="K134" s="22">
        <f ca="1">ts2bElec*SUMPRODUCT(tpSurvPRV,INDEX(tEIdxElec,7)*INDEX(elecPRV,1,5)*convFactor)</f>
        <v>3606.8870586394964</v>
      </c>
      <c r="L134" s="22">
        <f ca="1">ts2bElec*SUMPRODUCT(tpSurvPRV,INDEX(tEIdxElec,8)*INDEX(elecPRV,1,5)*convFactor)</f>
        <v>3594.8075107290047</v>
      </c>
      <c r="M134" s="22">
        <f ca="1">ts2bElec*SUMPRODUCT(tpSurvPRV,INDEX(tEIdxElec,9)*INDEX(elecPRV,1,5)*convFactor)</f>
        <v>3582.6731128991837</v>
      </c>
      <c r="N134" s="22">
        <f ca="1">ts2bElec*SUMPRODUCT(tpSurvPRV,INDEX(tEIdxElec,10)*INDEX(elecPRV,1,5)*convFactor)</f>
        <v>3572.9664316471235</v>
      </c>
      <c r="O134" s="22">
        <f ca="1">ts2bElec*SUMPRODUCT(tpSurvPRV,INDEX(tEIdxElec,11)*INDEX(elecPRV,1,5)*convFactor)</f>
        <v>3566.280798552852</v>
      </c>
      <c r="P134" s="22">
        <f ca="1">ts2bElec*SUMPRODUCT(tpSurvPRV,INDEX(tEIdxElec,12)*INDEX(elecPRV,1,5)*convFactor)</f>
        <v>3561.3876555736192</v>
      </c>
      <c r="Q134" s="22">
        <f ca="1">ts2bElec*SUMPRODUCT(tpSurvPRV,INDEX(tEIdxElec,13)*INDEX(elecPRV,1,5)*convFactor)</f>
        <v>3557.2689378564205</v>
      </c>
      <c r="R134" s="22">
        <f ca="1">ts2bElec*SUMPRODUCT(tpSurvPRV,INDEX(tEIdxElec,14)*INDEX(elecPRV,1,5)*convFactor)</f>
        <v>3554.2299987816486</v>
      </c>
      <c r="S134" s="22">
        <f ca="1">ts2bElec*SUMPRODUCT(tpSurvPRV,INDEX(tEIdxElec,15)*INDEX(elecPRV,1,5)*convFactor)</f>
        <v>3551.9130981387621</v>
      </c>
      <c r="T134" s="22">
        <f ca="1">ts2bElec*SUMPRODUCT(tpSurvPRV,INDEX(tEIdxElec,16)*INDEX(elecPRV,1,5)*convFactor)</f>
        <v>3551.622163274852</v>
      </c>
      <c r="U134" s="22">
        <f ca="1">ts2bElec*SUMPRODUCT(tpSurvPRV,INDEX(tEIdxElec,17)*INDEX(elecPRV,1,5)*convFactor)</f>
        <v>3552.2160358995038</v>
      </c>
      <c r="V134" s="22">
        <f ca="1">ts2bElec*SUMPRODUCT(tpSurvPRV,INDEX(tEIdxElec,18)*INDEX(elecPRV,1,5)*convFactor)</f>
        <v>3553.0894176043571</v>
      </c>
      <c r="W134" s="22">
        <f ca="1">ts2bElec*SUMPRODUCT(tpSurvPRV,INDEX(tEIdxElec,19)*INDEX(elecPRV,1,5)*convFactor)</f>
        <v>3554.3384744478808</v>
      </c>
      <c r="X134" s="22">
        <f ca="1">ts2bElec*SUMPRODUCT(tpSurvPRV,INDEX(tEIdxElec,20)*INDEX(elecPRV,1,5)*convFactor)</f>
        <v>3555.5188197476136</v>
      </c>
      <c r="Y134" s="22">
        <f ca="1">ts2bElec*SUMPRODUCT(tpSurvPRV,INDEX(tEIdxElec,21)*INDEX(elecPRV,1,5)*convFactor)</f>
        <v>3556.4967989372799</v>
      </c>
      <c r="Z134" s="22">
        <f ca="1">ts2bElec*SUMPRODUCT(tpSurvPRV,INDEX(tEIdxElec,22)*INDEX(elecPRV,1,5)*convFactor)</f>
        <v>3557.1521832683284</v>
      </c>
      <c r="AA134" s="22">
        <f ca="1">ts2bElec*SUMPRODUCT(tpSurvPRV,INDEX(tEIdxElec,23)*INDEX(elecPRV,1,5)*convFactor)</f>
        <v>3557.5841251692009</v>
      </c>
      <c r="AB134" s="22">
        <f ca="1">ts2bElec*SUMPRODUCT(tpSurvPRV,INDEX(tEIdxElec,24)*INDEX(elecPRV,1,5)*convFactor)</f>
        <v>3557.5841251692009</v>
      </c>
      <c r="AC134" s="22">
        <f ca="1">ts2bElec*SUMPRODUCT(tpSurvPRV,INDEX(tEIdxElec,25)*INDEX(elecPRV,1,5)*convFactor)</f>
        <v>3557.5841251692009</v>
      </c>
      <c r="AD134" s="22">
        <f ca="1">ts2bElec*SUMPRODUCT(tpSurvPRV,INDEX(tEIdxElec,26)*INDEX(elecPRV,1,5)*convFactor)</f>
        <v>3557.5841251692009</v>
      </c>
      <c r="AE134" s="22">
        <f ca="1">ts2bElec*SUMPRODUCT(tpSurvPRV,INDEX(tEIdxElec,27)*INDEX(elecPRV,1,5)*convFactor)</f>
        <v>3557.5841251692009</v>
      </c>
      <c r="AF134" s="22">
        <f ca="1">ts2bElec*SUMPRODUCT(tpSurvPRV,INDEX(tEIdxElec,28)*INDEX(elecPRV,1,5)*convFactor)</f>
        <v>3557.5841251692009</v>
      </c>
      <c r="AG134" s="22">
        <f ca="1">ts2bElec*SUMPRODUCT(tpSurvPRV,INDEX(tEIdxElec,29)*INDEX(elecPRV,1,5)*convFactor)</f>
        <v>3557.5841251692009</v>
      </c>
      <c r="AH134" s="22">
        <f ca="1">ts2bElec*SUMPRODUCT(tpSurvPRV,INDEX(tEIdxElec,30)*INDEX(elecPRV,1,5)*convFactor)</f>
        <v>3557.5841251692009</v>
      </c>
      <c r="AI134" s="22">
        <f ca="1">ts2bElec*SUMPRODUCT(tpSurvPRV,INDEX(tEIdxElec,31)*INDEX(elecPRV,1,5)*convFactor)</f>
        <v>3557.5841251692009</v>
      </c>
      <c r="AJ134" s="22">
        <f ca="1">ts2bElec*SUMPRODUCT(tpSurvPRV,INDEX(tEIdxElec,32)*INDEX(elecPRV,1,5)*convFactor)</f>
        <v>3557.5841251692009</v>
      </c>
      <c r="AK134" s="25">
        <f ca="1">ts2bElec*SUMPRODUCT(tpSurvPRV,INDEX(tEIdxElec,33)*INDEX(elecPRV,1,5)*convFactor)</f>
        <v>3557.5841251692009</v>
      </c>
      <c r="AL134" s="3"/>
    </row>
    <row r="135" spans="2:38">
      <c r="B135" s="3"/>
      <c r="C135" s="30" t="str">
        <f>"EL 5: " &amp; INDEX(_doName,7,6)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(1+INDEX(vadPRV,1,6))*INDEX(mspPRV,1,6)*tPIdxAll + INDEX(instPRV,1,6) + SUMPRODUCT(dFactor,tpSurvPRV,INDEX(mrPRV,1,6)*allOnes)</f>
        <v>1768.0390200000002</v>
      </c>
      <c r="F136" s="28">
        <f ca="1"/>
        <v>1768.0390200000002</v>
      </c>
      <c r="G136" s="28">
        <f ca="1"/>
        <v>1768.0390200000002</v>
      </c>
      <c r="H136" s="28">
        <f ca="1"/>
        <v>1768.0390200000002</v>
      </c>
      <c r="I136" s="28">
        <f ca="1"/>
        <v>1768.0390200000002</v>
      </c>
      <c r="J136" s="28">
        <f ca="1"/>
        <v>1768.0390200000002</v>
      </c>
      <c r="K136" s="28">
        <f ca="1"/>
        <v>1768.0390200000002</v>
      </c>
      <c r="L136" s="28">
        <f ca="1"/>
        <v>1768.0390200000002</v>
      </c>
      <c r="M136" s="28">
        <f ca="1"/>
        <v>1768.0390200000002</v>
      </c>
      <c r="N136" s="28">
        <f ca="1"/>
        <v>1768.0390200000002</v>
      </c>
      <c r="O136" s="28">
        <f ca="1"/>
        <v>1768.0390200000002</v>
      </c>
      <c r="P136" s="28">
        <f ca="1"/>
        <v>1768.0390200000002</v>
      </c>
      <c r="Q136" s="28">
        <f ca="1"/>
        <v>1768.0390200000002</v>
      </c>
      <c r="R136" s="28">
        <f ca="1"/>
        <v>1768.0390200000002</v>
      </c>
      <c r="S136" s="28">
        <f ca="1"/>
        <v>1768.0390200000002</v>
      </c>
      <c r="T136" s="28">
        <f ca="1"/>
        <v>1768.0390200000002</v>
      </c>
      <c r="U136" s="28">
        <f ca="1"/>
        <v>1768.0390200000002</v>
      </c>
      <c r="V136" s="28">
        <f ca="1"/>
        <v>1768.0390200000002</v>
      </c>
      <c r="W136" s="28">
        <f ca="1"/>
        <v>1768.0390200000002</v>
      </c>
      <c r="X136" s="28">
        <f ca="1"/>
        <v>1768.0390200000002</v>
      </c>
      <c r="Y136" s="28">
        <f ca="1"/>
        <v>1768.0390200000002</v>
      </c>
      <c r="Z136" s="28">
        <f ca="1"/>
        <v>1768.0390200000002</v>
      </c>
      <c r="AA136" s="28">
        <f ca="1"/>
        <v>1768.0390200000002</v>
      </c>
      <c r="AB136" s="28">
        <f ca="1"/>
        <v>1768.0390200000002</v>
      </c>
      <c r="AC136" s="28">
        <f ca="1"/>
        <v>1768.0390200000002</v>
      </c>
      <c r="AD136" s="28">
        <f ca="1"/>
        <v>1768.0390200000002</v>
      </c>
      <c r="AE136" s="28">
        <f ca="1"/>
        <v>1768.0390200000002</v>
      </c>
      <c r="AF136" s="28">
        <f ca="1"/>
        <v>1768.0390200000002</v>
      </c>
      <c r="AG136" s="28">
        <f ca="1"/>
        <v>1768.0390200000002</v>
      </c>
      <c r="AH136" s="28">
        <f ca="1"/>
        <v>1768.0390200000002</v>
      </c>
      <c r="AI136" s="28">
        <f ca="1"/>
        <v>1768.0390200000002</v>
      </c>
      <c r="AJ136" s="28">
        <f ca="1"/>
        <v>1768.0390200000002</v>
      </c>
      <c r="AK136" s="29">
        <f ca="1"/>
        <v>1768.0390200000002</v>
      </c>
      <c r="AL136" s="3"/>
    </row>
    <row r="137" spans="2:38">
      <c r="B137" s="3"/>
      <c r="C137" s="23" t="s">
        <v>47</v>
      </c>
      <c r="D137" s="16" t="str">
        <f>_yearDol &amp; "$"</f>
        <v>2013$</v>
      </c>
      <c r="E137" s="141">
        <f t="array" aca="1" ref="E137:AK137" ca="1">(tlccEFubcElec5)</f>
        <v>14748.506352257924</v>
      </c>
      <c r="F137" s="28">
        <f ca="1"/>
        <v>14813.337397768386</v>
      </c>
      <c r="G137" s="28">
        <f ca="1"/>
        <v>14870.827680552713</v>
      </c>
      <c r="H137" s="28">
        <f ca="1"/>
        <v>14933.411304974998</v>
      </c>
      <c r="I137" s="28">
        <f ca="1"/>
        <v>14988.512431699253</v>
      </c>
      <c r="J137" s="28">
        <f ca="1"/>
        <v>15048.560135147925</v>
      </c>
      <c r="K137" s="28">
        <f ca="1"/>
        <v>15100.971114817243</v>
      </c>
      <c r="L137" s="28">
        <f ca="1"/>
        <v>15158.157173180649</v>
      </c>
      <c r="M137" s="28">
        <f ca="1"/>
        <v>15220.432363601471</v>
      </c>
      <c r="N137" s="28">
        <f ca="1"/>
        <v>15275.220615347636</v>
      </c>
      <c r="O137" s="28">
        <f ca="1"/>
        <v>15334.948525805512</v>
      </c>
      <c r="P137" s="28">
        <f ca="1"/>
        <v>15399.995701162026</v>
      </c>
      <c r="Q137" s="28">
        <f ca="1"/>
        <v>15457.770798212059</v>
      </c>
      <c r="R137" s="28">
        <f ca="1"/>
        <v>15520.699705804956</v>
      </c>
      <c r="S137" s="28">
        <f ca="1"/>
        <v>15576.221686379835</v>
      </c>
      <c r="T137" s="28">
        <f ca="1"/>
        <v>15636.749105125669</v>
      </c>
      <c r="U137" s="28">
        <f ca="1"/>
        <v>15702.697187524644</v>
      </c>
      <c r="V137" s="28">
        <f ca="1"/>
        <v>15761.44236345709</v>
      </c>
      <c r="W137" s="28">
        <f ca="1"/>
        <v>15825.455242384105</v>
      </c>
      <c r="X137" s="28">
        <f ca="1"/>
        <v>15882.162084836626</v>
      </c>
      <c r="Y137" s="28">
        <f ca="1"/>
        <v>15943.976499378181</v>
      </c>
      <c r="Z137" s="28">
        <f ca="1"/>
        <v>16011.332725103772</v>
      </c>
      <c r="AA137" s="28">
        <f ca="1"/>
        <v>16071.588080531857</v>
      </c>
      <c r="AB137" s="28">
        <f ca="1"/>
        <v>16137.271531195887</v>
      </c>
      <c r="AC137" s="28">
        <f ca="1"/>
        <v>16195.759612781634</v>
      </c>
      <c r="AD137" s="28">
        <f ca="1"/>
        <v>16259.519036990112</v>
      </c>
      <c r="AE137" s="28">
        <f ca="1"/>
        <v>16328.930383984636</v>
      </c>
      <c r="AF137" s="28">
        <f ca="1"/>
        <v>16391.423877346544</v>
      </c>
      <c r="AG137" s="28">
        <f ca="1"/>
        <v>16459.533175556346</v>
      </c>
      <c r="AH137" s="28">
        <f ca="1"/>
        <v>16520.635842662345</v>
      </c>
      <c r="AI137" s="28">
        <f ca="1"/>
        <v>16587.259903583192</v>
      </c>
      <c r="AJ137" s="28">
        <f ca="1"/>
        <v>16646.784043660271</v>
      </c>
      <c r="AK137" s="29">
        <f ca="1"/>
        <v>16711.722619627119</v>
      </c>
      <c r="AL137" s="3"/>
    </row>
    <row r="138" spans="2:38">
      <c r="B138" s="3"/>
      <c r="C138" s="27" t="str">
        <f>INDEX(_fuel,1)</f>
        <v>Electricity</v>
      </c>
      <c r="D138" s="16" t="str">
        <f>_yearDol &amp; "$"</f>
        <v>2013$</v>
      </c>
      <c r="E138" s="141">
        <f ca="1">SUMPRODUCT(dFactor,tpSurvPRV,INDEX(tEIdxElec,1)*INDEX(elecPRV,1,6)*allOnes,OFFSET(tPrcElec,0,0,1,_maxLT))</f>
        <v>14748.506352257924</v>
      </c>
      <c r="F138" s="28">
        <f ca="1">SUMPRODUCT(dFactor,tpSurvPRV,INDEX(tEIdxElec,2)*INDEX(elecPRV,1,6)*allOnes,OFFSET(tPrcElec,0,1,1,_maxLT))</f>
        <v>14813.337397768386</v>
      </c>
      <c r="G138" s="28">
        <f ca="1">SUMPRODUCT(dFactor,tpSurvPRV,INDEX(tEIdxElec,3)*INDEX(elecPRV,1,6)*allOnes,OFFSET(tPrcElec,0,2,1,_maxLT))</f>
        <v>14870.827680552713</v>
      </c>
      <c r="H138" s="28">
        <f ca="1">SUMPRODUCT(dFactor,tpSurvPRV,INDEX(tEIdxElec,4)*INDEX(elecPRV,1,6)*allOnes,OFFSET(tPrcElec,0,3,1,_maxLT))</f>
        <v>14933.411304974998</v>
      </c>
      <c r="I138" s="28">
        <f ca="1">SUMPRODUCT(dFactor,tpSurvPRV,INDEX(tEIdxElec,5)*INDEX(elecPRV,1,6)*allOnes,OFFSET(tPrcElec,0,4,1,_maxLT))</f>
        <v>14988.512431699253</v>
      </c>
      <c r="J138" s="28">
        <f ca="1">SUMPRODUCT(dFactor,tpSurvPRV,INDEX(tEIdxElec,6)*INDEX(elecPRV,1,6)*allOnes,OFFSET(tPrcElec,0,5,1,_maxLT))</f>
        <v>15048.560135147925</v>
      </c>
      <c r="K138" s="28">
        <f ca="1">SUMPRODUCT(dFactor,tpSurvPRV,INDEX(tEIdxElec,7)*INDEX(elecPRV,1,6)*allOnes,OFFSET(tPrcElec,0,6,1,_maxLT))</f>
        <v>15100.971114817243</v>
      </c>
      <c r="L138" s="28">
        <f ca="1">SUMPRODUCT(dFactor,tpSurvPRV,INDEX(tEIdxElec,8)*INDEX(elecPRV,1,6)*allOnes,OFFSET(tPrcElec,0,7,1,_maxLT))</f>
        <v>15158.157173180649</v>
      </c>
      <c r="M138" s="28">
        <f ca="1">SUMPRODUCT(dFactor,tpSurvPRV,INDEX(tEIdxElec,9)*INDEX(elecPRV,1,6)*allOnes,OFFSET(tPrcElec,0,8,1,_maxLT))</f>
        <v>15220.432363601471</v>
      </c>
      <c r="N138" s="28">
        <f ca="1">SUMPRODUCT(dFactor,tpSurvPRV,INDEX(tEIdxElec,10)*INDEX(elecPRV,1,6)*allOnes,OFFSET(tPrcElec,0,9,1,_maxLT))</f>
        <v>15275.220615347636</v>
      </c>
      <c r="O138" s="28">
        <f ca="1">SUMPRODUCT(dFactor,tpSurvPRV,INDEX(tEIdxElec,11)*INDEX(elecPRV,1,6)*allOnes,OFFSET(tPrcElec,0,10,1,_maxLT))</f>
        <v>15334.948525805512</v>
      </c>
      <c r="P138" s="28">
        <f ca="1">SUMPRODUCT(dFactor,tpSurvPRV,INDEX(tEIdxElec,12)*INDEX(elecPRV,1,6)*allOnes,OFFSET(tPrcElec,0,11,1,_maxLT))</f>
        <v>15399.995701162026</v>
      </c>
      <c r="Q138" s="28">
        <f ca="1">SUMPRODUCT(dFactor,tpSurvPRV,INDEX(tEIdxElec,13)*INDEX(elecPRV,1,6)*allOnes,OFFSET(tPrcElec,0,12,1,_maxLT))</f>
        <v>15457.770798212059</v>
      </c>
      <c r="R138" s="28">
        <f ca="1">SUMPRODUCT(dFactor,tpSurvPRV,INDEX(tEIdxElec,14)*INDEX(elecPRV,1,6)*allOnes,OFFSET(tPrcElec,0,13,1,_maxLT))</f>
        <v>15520.699705804956</v>
      </c>
      <c r="S138" s="28">
        <f ca="1">SUMPRODUCT(dFactor,tpSurvPRV,INDEX(tEIdxElec,15)*INDEX(elecPRV,1,6)*allOnes,OFFSET(tPrcElec,0,14,1,_maxLT))</f>
        <v>15576.221686379835</v>
      </c>
      <c r="T138" s="28">
        <f ca="1">SUMPRODUCT(dFactor,tpSurvPRV,INDEX(tEIdxElec,16)*INDEX(elecPRV,1,6)*allOnes,OFFSET(tPrcElec,0,15,1,_maxLT))</f>
        <v>15636.749105125669</v>
      </c>
      <c r="U138" s="28">
        <f ca="1">SUMPRODUCT(dFactor,tpSurvPRV,INDEX(tEIdxElec,17)*INDEX(elecPRV,1,6)*allOnes,OFFSET(tPrcElec,0,16,1,_maxLT))</f>
        <v>15702.697187524644</v>
      </c>
      <c r="V138" s="28">
        <f ca="1">SUMPRODUCT(dFactor,tpSurvPRV,INDEX(tEIdxElec,18)*INDEX(elecPRV,1,6)*allOnes,OFFSET(tPrcElec,0,17,1,_maxLT))</f>
        <v>15761.44236345709</v>
      </c>
      <c r="W138" s="28">
        <f ca="1">SUMPRODUCT(dFactor,tpSurvPRV,INDEX(tEIdxElec,19)*INDEX(elecPRV,1,6)*allOnes,OFFSET(tPrcElec,0,18,1,_maxLT))</f>
        <v>15825.455242384105</v>
      </c>
      <c r="X138" s="28">
        <f ca="1">SUMPRODUCT(dFactor,tpSurvPRV,INDEX(tEIdxElec,20)*INDEX(elecPRV,1,6)*allOnes,OFFSET(tPrcElec,0,19,1,_maxLT))</f>
        <v>15882.162084836626</v>
      </c>
      <c r="Y138" s="28">
        <f ca="1">SUMPRODUCT(dFactor,tpSurvPRV,INDEX(tEIdxElec,21)*INDEX(elecPRV,1,6)*allOnes,OFFSET(tPrcElec,0,20,1,_maxLT))</f>
        <v>15943.976499378181</v>
      </c>
      <c r="Z138" s="28">
        <f ca="1">SUMPRODUCT(dFactor,tpSurvPRV,INDEX(tEIdxElec,22)*INDEX(elecPRV,1,6)*allOnes,OFFSET(tPrcElec,0,21,1,_maxLT))</f>
        <v>16011.332725103772</v>
      </c>
      <c r="AA138" s="28">
        <f ca="1">SUMPRODUCT(dFactor,tpSurvPRV,INDEX(tEIdxElec,23)*INDEX(elecPRV,1,6)*allOnes,OFFSET(tPrcElec,0,22,1,_maxLT))</f>
        <v>16071.588080531857</v>
      </c>
      <c r="AB138" s="28">
        <f ca="1">SUMPRODUCT(dFactor,tpSurvPRV,INDEX(tEIdxElec,24)*INDEX(elecPRV,1,6)*allOnes,OFFSET(tPrcElec,0,23,1,_maxLT))</f>
        <v>16137.271531195887</v>
      </c>
      <c r="AC138" s="28">
        <f ca="1">SUMPRODUCT(dFactor,tpSurvPRV,INDEX(tEIdxElec,25)*INDEX(elecPRV,1,6)*allOnes,OFFSET(tPrcElec,0,24,1,_maxLT))</f>
        <v>16195.759612781634</v>
      </c>
      <c r="AD138" s="28">
        <f ca="1">SUMPRODUCT(dFactor,tpSurvPRV,INDEX(tEIdxElec,26)*INDEX(elecPRV,1,6)*allOnes,OFFSET(tPrcElec,0,25,1,_maxLT))</f>
        <v>16259.519036990112</v>
      </c>
      <c r="AE138" s="28">
        <f ca="1">SUMPRODUCT(dFactor,tpSurvPRV,INDEX(tEIdxElec,27)*INDEX(elecPRV,1,6)*allOnes,OFFSET(tPrcElec,0,26,1,_maxLT))</f>
        <v>16328.930383984636</v>
      </c>
      <c r="AF138" s="28">
        <f ca="1">SUMPRODUCT(dFactor,tpSurvPRV,INDEX(tEIdxElec,28)*INDEX(elecPRV,1,6)*allOnes,OFFSET(tPrcElec,0,27,1,_maxLT))</f>
        <v>16391.423877346544</v>
      </c>
      <c r="AG138" s="28">
        <f ca="1">SUMPRODUCT(dFactor,tpSurvPRV,INDEX(tEIdxElec,29)*INDEX(elecPRV,1,6)*allOnes,OFFSET(tPrcElec,0,28,1,_maxLT))</f>
        <v>16459.533175556346</v>
      </c>
      <c r="AH138" s="28">
        <f ca="1">SUMPRODUCT(dFactor,tpSurvPRV,INDEX(tEIdxElec,30)*INDEX(elecPRV,1,6)*allOnes,OFFSET(tPrcElec,0,29,1,_maxLT))</f>
        <v>16520.635842662345</v>
      </c>
      <c r="AI138" s="28">
        <f ca="1">SUMPRODUCT(dFactor,tpSurvPRV,INDEX(tEIdxElec,31)*INDEX(elecPRV,1,6)*allOnes,OFFSET(tPrcElec,0,30,1,_maxLT))</f>
        <v>16587.259903583192</v>
      </c>
      <c r="AJ138" s="28">
        <f ca="1">SUMPRODUCT(dFactor,tpSurvPRV,INDEX(tEIdxElec,32)*INDEX(elecPRV,1,6)*allOnes,OFFSET(tPrcElec,0,31,1,_maxLT))</f>
        <v>16646.784043660271</v>
      </c>
      <c r="AK138" s="29">
        <f ca="1">SUMPRODUCT(dFactor,tpSurvPRV,INDEX(tEIdxElec,33)*INDEX(elecPRV,1,6)*allOnes,OFFSET(tPrcElec,0,32,1,_maxLT))</f>
        <v>16711.722619627119</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ts2bElec*SUMPRODUCT(tpSurvPRV,INDEX(tEIdxElec,1)*INDEX(elecPRV,1,6)*convFactor)</f>
        <v>3335.4129665084765</v>
      </c>
      <c r="F140" s="22">
        <f ca="1">ts2bElec*SUMPRODUCT(tpSurvPRV,INDEX(tEIdxElec,2)*INDEX(elecPRV,1,6)*convFactor)</f>
        <v>3312.4388304397803</v>
      </c>
      <c r="G140" s="22">
        <f ca="1">ts2bElec*SUMPRODUCT(tpSurvPRV,INDEX(tEIdxElec,3)*INDEX(elecPRV,1,6)*convFactor)</f>
        <v>3289.2954286793274</v>
      </c>
      <c r="H140" s="22">
        <f ca="1">ts2bElec*SUMPRODUCT(tpSurvPRV,INDEX(tEIdxElec,4)*INDEX(elecPRV,1,6)*convFactor)</f>
        <v>3268.9727276825761</v>
      </c>
      <c r="I140" s="22">
        <f ca="1">ts2bElec*SUMPRODUCT(tpSurvPRV,INDEX(tEIdxElec,5)*INDEX(elecPRV,1,6)*convFactor)</f>
        <v>3249.7025398000847</v>
      </c>
      <c r="J140" s="22">
        <f ca="1">ts2bElec*SUMPRODUCT(tpSurvPRV,INDEX(tEIdxElec,6)*INDEX(elecPRV,1,6)*convFactor)</f>
        <v>3232.9230597451196</v>
      </c>
      <c r="K140" s="22">
        <f ca="1">ts2bElec*SUMPRODUCT(tpSurvPRV,INDEX(tEIdxElec,7)*INDEX(elecPRV,1,6)*convFactor)</f>
        <v>3219.9138573514515</v>
      </c>
      <c r="L140" s="22">
        <f ca="1">ts2bElec*SUMPRODUCT(tpSurvPRV,INDEX(tEIdxElec,8)*INDEX(elecPRV,1,6)*convFactor)</f>
        <v>3209.1302916131312</v>
      </c>
      <c r="M140" s="22">
        <f ca="1">ts2bElec*SUMPRODUCT(tpSurvPRV,INDEX(tEIdxElec,9)*INDEX(elecPRV,1,6)*convFactor)</f>
        <v>3198.2977606556492</v>
      </c>
      <c r="N140" s="22">
        <f ca="1">ts2bElec*SUMPRODUCT(tpSurvPRV,INDEX(tEIdxElec,10)*INDEX(elecPRV,1,6)*convFactor)</f>
        <v>3189.6324831007173</v>
      </c>
      <c r="O140" s="22">
        <f ca="1">ts2bElec*SUMPRODUCT(tpSurvPRV,INDEX(tEIdxElec,11)*INDEX(elecPRV,1,6)*convFactor)</f>
        <v>3183.6641335806376</v>
      </c>
      <c r="P140" s="22">
        <f ca="1">ts2bElec*SUMPRODUCT(tpSurvPRV,INDEX(tEIdxElec,12)*INDEX(elecPRV,1,6)*convFactor)</f>
        <v>3179.2959627372798</v>
      </c>
      <c r="Q140" s="22">
        <f ca="1">ts2bElec*SUMPRODUCT(tpSurvPRV,INDEX(tEIdxElec,13)*INDEX(elecPRV,1,6)*convFactor)</f>
        <v>3175.6191311546659</v>
      </c>
      <c r="R140" s="22">
        <f ca="1">ts2bElec*SUMPRODUCT(tpSurvPRV,INDEX(tEIdxElec,14)*INDEX(elecPRV,1,6)*convFactor)</f>
        <v>3172.9062316711443</v>
      </c>
      <c r="S140" s="22">
        <f ca="1">ts2bElec*SUMPRODUCT(tpSurvPRV,INDEX(tEIdxElec,15)*INDEX(elecPRV,1,6)*convFactor)</f>
        <v>3170.837905060177</v>
      </c>
      <c r="T140" s="22">
        <f ca="1">ts2bElec*SUMPRODUCT(tpSurvPRV,INDEX(tEIdxElec,16)*INDEX(elecPRV,1,6)*convFactor)</f>
        <v>3170.578183814499</v>
      </c>
      <c r="U140" s="22">
        <f ca="1">ts2bElec*SUMPRODUCT(tpSurvPRV,INDEX(tEIdxElec,17)*INDEX(elecPRV,1,6)*convFactor)</f>
        <v>3171.1083414442028</v>
      </c>
      <c r="V140" s="22">
        <f ca="1">ts2bElec*SUMPRODUCT(tpSurvPRV,INDEX(tEIdxElec,18)*INDEX(elecPRV,1,6)*convFactor)</f>
        <v>3171.8880203774474</v>
      </c>
      <c r="W140" s="22">
        <f ca="1">ts2bElec*SUMPRODUCT(tpSurvPRV,INDEX(tEIdxElec,19)*INDEX(elecPRV,1,6)*convFactor)</f>
        <v>3173.0030692752075</v>
      </c>
      <c r="X140" s="22">
        <f ca="1">ts2bElec*SUMPRODUCT(tpSurvPRV,INDEX(tEIdxElec,20)*INDEX(elecPRV,1,6)*convFactor)</f>
        <v>3174.0567785057106</v>
      </c>
      <c r="Y140" s="22">
        <f ca="1">ts2bElec*SUMPRODUCT(tpSurvPRV,INDEX(tEIdxElec,21)*INDEX(elecPRV,1,6)*convFactor)</f>
        <v>3174.9298329412422</v>
      </c>
      <c r="Z140" s="22">
        <f ca="1">ts2bElec*SUMPRODUCT(tpSurvPRV,INDEX(tEIdxElec,22)*INDEX(elecPRV,1,6)*convFactor)</f>
        <v>3175.5149028519786</v>
      </c>
      <c r="AA140" s="22">
        <f ca="1">ts2bElec*SUMPRODUCT(tpSurvPRV,INDEX(tEIdxElec,23)*INDEX(elecPRV,1,6)*convFactor)</f>
        <v>3175.9005028692732</v>
      </c>
      <c r="AB140" s="22">
        <f ca="1">ts2bElec*SUMPRODUCT(tpSurvPRV,INDEX(tEIdxElec,24)*INDEX(elecPRV,1,6)*convFactor)</f>
        <v>3175.9005028692732</v>
      </c>
      <c r="AC140" s="22">
        <f ca="1">ts2bElec*SUMPRODUCT(tpSurvPRV,INDEX(tEIdxElec,25)*INDEX(elecPRV,1,6)*convFactor)</f>
        <v>3175.9005028692732</v>
      </c>
      <c r="AD140" s="22">
        <f ca="1">ts2bElec*SUMPRODUCT(tpSurvPRV,INDEX(tEIdxElec,26)*INDEX(elecPRV,1,6)*convFactor)</f>
        <v>3175.9005028692732</v>
      </c>
      <c r="AE140" s="22">
        <f ca="1">ts2bElec*SUMPRODUCT(tpSurvPRV,INDEX(tEIdxElec,27)*INDEX(elecPRV,1,6)*convFactor)</f>
        <v>3175.9005028692732</v>
      </c>
      <c r="AF140" s="22">
        <f ca="1">ts2bElec*SUMPRODUCT(tpSurvPRV,INDEX(tEIdxElec,28)*INDEX(elecPRV,1,6)*convFactor)</f>
        <v>3175.9005028692732</v>
      </c>
      <c r="AG140" s="22">
        <f ca="1">ts2bElec*SUMPRODUCT(tpSurvPRV,INDEX(tEIdxElec,29)*INDEX(elecPRV,1,6)*convFactor)</f>
        <v>3175.9005028692732</v>
      </c>
      <c r="AH140" s="22">
        <f ca="1">ts2bElec*SUMPRODUCT(tpSurvPRV,INDEX(tEIdxElec,30)*INDEX(elecPRV,1,6)*convFactor)</f>
        <v>3175.9005028692732</v>
      </c>
      <c r="AI140" s="22">
        <f ca="1">ts2bElec*SUMPRODUCT(tpSurvPRV,INDEX(tEIdxElec,31)*INDEX(elecPRV,1,6)*convFactor)</f>
        <v>3175.9005028692732</v>
      </c>
      <c r="AJ140" s="22">
        <f ca="1">ts2bElec*SUMPRODUCT(tpSurvPRV,INDEX(tEIdxElec,32)*INDEX(elecPRV,1,6)*convFactor)</f>
        <v>3175.9005028692732</v>
      </c>
      <c r="AK140" s="25">
        <f ca="1">ts2bElec*SUMPRODUCT(tpSurvPRV,INDEX(tEIdxElec,33)*INDEX(elecPRV,1,6)*convFactor)</f>
        <v>3175.9005028692732</v>
      </c>
      <c r="AL140" s="3"/>
    </row>
    <row r="141" spans="2:38">
      <c r="B141" s="3"/>
      <c r="C141" s="30" t="str">
        <f>"EL 6: " &amp; INDEX(_doName,7,7)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(1+INDEX(vadPRV,1,7))*INDEX(mspPRV,1,7)*tPIdxAll + INDEX(instPRV,1,7) + SUMPRODUCT(dFactor,tpSurvPRV,INDEX(mrPRV,1,7)*allOnes)</f>
        <v>1427.6778320000001</v>
      </c>
      <c r="F142" s="28">
        <f ca="1"/>
        <v>1427.6778320000001</v>
      </c>
      <c r="G142" s="28">
        <f ca="1"/>
        <v>1427.6778320000001</v>
      </c>
      <c r="H142" s="28">
        <f ca="1"/>
        <v>1427.6778320000001</v>
      </c>
      <c r="I142" s="28">
        <f ca="1"/>
        <v>1427.6778320000001</v>
      </c>
      <c r="J142" s="28">
        <f ca="1"/>
        <v>1427.6778320000001</v>
      </c>
      <c r="K142" s="28">
        <f ca="1"/>
        <v>1427.6778320000001</v>
      </c>
      <c r="L142" s="28">
        <f ca="1"/>
        <v>1427.6778320000001</v>
      </c>
      <c r="M142" s="28">
        <f ca="1"/>
        <v>1427.6778320000001</v>
      </c>
      <c r="N142" s="28">
        <f ca="1"/>
        <v>1427.6778320000001</v>
      </c>
      <c r="O142" s="28">
        <f ca="1"/>
        <v>1427.6778320000001</v>
      </c>
      <c r="P142" s="28">
        <f ca="1"/>
        <v>1427.6778320000001</v>
      </c>
      <c r="Q142" s="28">
        <f ca="1"/>
        <v>1427.6778320000001</v>
      </c>
      <c r="R142" s="28">
        <f ca="1"/>
        <v>1427.6778320000001</v>
      </c>
      <c r="S142" s="28">
        <f ca="1"/>
        <v>1427.6778320000001</v>
      </c>
      <c r="T142" s="28">
        <f ca="1"/>
        <v>1427.6778320000001</v>
      </c>
      <c r="U142" s="28">
        <f ca="1"/>
        <v>1427.6778320000001</v>
      </c>
      <c r="V142" s="28">
        <f ca="1"/>
        <v>1427.6778320000001</v>
      </c>
      <c r="W142" s="28">
        <f ca="1"/>
        <v>1427.6778320000001</v>
      </c>
      <c r="X142" s="28">
        <f ca="1"/>
        <v>1427.6778320000001</v>
      </c>
      <c r="Y142" s="28">
        <f ca="1"/>
        <v>1427.6778320000001</v>
      </c>
      <c r="Z142" s="28">
        <f ca="1"/>
        <v>1427.6778320000001</v>
      </c>
      <c r="AA142" s="28">
        <f ca="1"/>
        <v>1427.6778320000001</v>
      </c>
      <c r="AB142" s="28">
        <f ca="1"/>
        <v>1427.6778320000001</v>
      </c>
      <c r="AC142" s="28">
        <f ca="1"/>
        <v>1427.6778320000001</v>
      </c>
      <c r="AD142" s="28">
        <f ca="1"/>
        <v>1427.6778320000001</v>
      </c>
      <c r="AE142" s="28">
        <f ca="1"/>
        <v>1427.6778320000001</v>
      </c>
      <c r="AF142" s="28">
        <f ca="1"/>
        <v>1427.6778320000001</v>
      </c>
      <c r="AG142" s="28">
        <f ca="1"/>
        <v>1427.6778320000001</v>
      </c>
      <c r="AH142" s="28">
        <f ca="1"/>
        <v>1427.6778320000001</v>
      </c>
      <c r="AI142" s="28">
        <f ca="1"/>
        <v>1427.6778320000001</v>
      </c>
      <c r="AJ142" s="28">
        <f ca="1"/>
        <v>1427.6778320000001</v>
      </c>
      <c r="AK142" s="29">
        <f ca="1"/>
        <v>1427.6778320000001</v>
      </c>
      <c r="AL142" s="3"/>
    </row>
    <row r="143" spans="2:38">
      <c r="B143" s="3"/>
      <c r="C143" s="23" t="s">
        <v>47</v>
      </c>
      <c r="D143" s="16" t="str">
        <f>_yearDol &amp; "$"</f>
        <v>2013$</v>
      </c>
      <c r="E143" s="141">
        <f t="array" aca="1" ref="E143:AK143" ca="1">(tlccEFubcElec6)</f>
        <v>10579.762692192096</v>
      </c>
      <c r="F143" s="28">
        <f ca="1"/>
        <v>10626.268898326145</v>
      </c>
      <c r="G143" s="28">
        <f ca="1"/>
        <v>10667.509247310507</v>
      </c>
      <c r="H143" s="28">
        <f ca="1"/>
        <v>10712.403277864567</v>
      </c>
      <c r="I143" s="28">
        <f ca="1"/>
        <v>10751.929778439713</v>
      </c>
      <c r="J143" s="28">
        <f ca="1"/>
        <v>10795.0046795534</v>
      </c>
      <c r="K143" s="28">
        <f ca="1"/>
        <v>10832.601417427932</v>
      </c>
      <c r="L143" s="28">
        <f ca="1"/>
        <v>10873.623532639893</v>
      </c>
      <c r="M143" s="28">
        <f ca="1"/>
        <v>10918.296309701314</v>
      </c>
      <c r="N143" s="28">
        <f ca="1"/>
        <v>10957.598371072821</v>
      </c>
      <c r="O143" s="28">
        <f ca="1"/>
        <v>11000.443870383193</v>
      </c>
      <c r="P143" s="28">
        <f ca="1"/>
        <v>11047.10511611429</v>
      </c>
      <c r="Q143" s="28">
        <f ca="1"/>
        <v>11088.549775099311</v>
      </c>
      <c r="R143" s="28">
        <f ca="1"/>
        <v>11133.691492701775</v>
      </c>
      <c r="S143" s="28">
        <f ca="1"/>
        <v>11173.519890551228</v>
      </c>
      <c r="T143" s="28">
        <f ca="1"/>
        <v>11216.938912885222</v>
      </c>
      <c r="U143" s="28">
        <f ca="1"/>
        <v>11264.246419497873</v>
      </c>
      <c r="V143" s="28">
        <f ca="1"/>
        <v>11306.386959416428</v>
      </c>
      <c r="W143" s="28">
        <f ca="1"/>
        <v>11352.306258097691</v>
      </c>
      <c r="X143" s="28">
        <f ca="1"/>
        <v>11392.984610321433</v>
      </c>
      <c r="Y143" s="28">
        <f ca="1"/>
        <v>11437.326852253371</v>
      </c>
      <c r="Z143" s="28">
        <f ca="1"/>
        <v>11485.644483001746</v>
      </c>
      <c r="AA143" s="28">
        <f ca="1"/>
        <v>11528.868342159876</v>
      </c>
      <c r="AB143" s="28">
        <f ca="1"/>
        <v>11575.986016603114</v>
      </c>
      <c r="AC143" s="28">
        <f ca="1"/>
        <v>11617.942131257669</v>
      </c>
      <c r="AD143" s="28">
        <f ca="1"/>
        <v>11663.679615542858</v>
      </c>
      <c r="AE143" s="28">
        <f ca="1"/>
        <v>11713.471476617327</v>
      </c>
      <c r="AF143" s="28">
        <f ca="1"/>
        <v>11758.300852133973</v>
      </c>
      <c r="AG143" s="28">
        <f ca="1"/>
        <v>11807.1586954288</v>
      </c>
      <c r="AH143" s="28">
        <f ca="1"/>
        <v>11850.990369118424</v>
      </c>
      <c r="AI143" s="28">
        <f ca="1"/>
        <v>11898.782785333164</v>
      </c>
      <c r="AJ143" s="28">
        <f ca="1"/>
        <v>11941.482111043255</v>
      </c>
      <c r="AK143" s="29">
        <f ca="1"/>
        <v>11988.065453579011</v>
      </c>
      <c r="AL143" s="3"/>
    </row>
    <row r="144" spans="2:38">
      <c r="B144" s="3"/>
      <c r="C144" s="27" t="str">
        <f>INDEX(_fuel,1)</f>
        <v>Electricity</v>
      </c>
      <c r="D144" s="16" t="str">
        <f>_yearDol &amp; "$"</f>
        <v>2013$</v>
      </c>
      <c r="E144" s="141">
        <f ca="1">SUMPRODUCT(dFactor,tpSurvPRV,INDEX(tEIdxElec,1)*INDEX(elecPRV,1,7)*allOnes,OFFSET(tPrcElec,0,0,1,_maxLT))</f>
        <v>10579.762692192096</v>
      </c>
      <c r="F144" s="28">
        <f ca="1">SUMPRODUCT(dFactor,tpSurvPRV,INDEX(tEIdxElec,2)*INDEX(elecPRV,1,7)*allOnes,OFFSET(tPrcElec,0,1,1,_maxLT))</f>
        <v>10626.268898326145</v>
      </c>
      <c r="G144" s="28">
        <f ca="1">SUMPRODUCT(dFactor,tpSurvPRV,INDEX(tEIdxElec,3)*INDEX(elecPRV,1,7)*allOnes,OFFSET(tPrcElec,0,2,1,_maxLT))</f>
        <v>10667.509247310507</v>
      </c>
      <c r="H144" s="28">
        <f ca="1">SUMPRODUCT(dFactor,tpSurvPRV,INDEX(tEIdxElec,4)*INDEX(elecPRV,1,7)*allOnes,OFFSET(tPrcElec,0,3,1,_maxLT))</f>
        <v>10712.403277864567</v>
      </c>
      <c r="I144" s="28">
        <f ca="1">SUMPRODUCT(dFactor,tpSurvPRV,INDEX(tEIdxElec,5)*INDEX(elecPRV,1,7)*allOnes,OFFSET(tPrcElec,0,4,1,_maxLT))</f>
        <v>10751.929778439713</v>
      </c>
      <c r="J144" s="28">
        <f ca="1">SUMPRODUCT(dFactor,tpSurvPRV,INDEX(tEIdxElec,6)*INDEX(elecPRV,1,7)*allOnes,OFFSET(tPrcElec,0,5,1,_maxLT))</f>
        <v>10795.0046795534</v>
      </c>
      <c r="K144" s="28">
        <f ca="1">SUMPRODUCT(dFactor,tpSurvPRV,INDEX(tEIdxElec,7)*INDEX(elecPRV,1,7)*allOnes,OFFSET(tPrcElec,0,6,1,_maxLT))</f>
        <v>10832.601417427932</v>
      </c>
      <c r="L144" s="28">
        <f ca="1">SUMPRODUCT(dFactor,tpSurvPRV,INDEX(tEIdxElec,8)*INDEX(elecPRV,1,7)*allOnes,OFFSET(tPrcElec,0,7,1,_maxLT))</f>
        <v>10873.623532639893</v>
      </c>
      <c r="M144" s="28">
        <f ca="1">SUMPRODUCT(dFactor,tpSurvPRV,INDEX(tEIdxElec,9)*INDEX(elecPRV,1,7)*allOnes,OFFSET(tPrcElec,0,8,1,_maxLT))</f>
        <v>10918.296309701314</v>
      </c>
      <c r="N144" s="28">
        <f ca="1">SUMPRODUCT(dFactor,tpSurvPRV,INDEX(tEIdxElec,10)*INDEX(elecPRV,1,7)*allOnes,OFFSET(tPrcElec,0,9,1,_maxLT))</f>
        <v>10957.598371072821</v>
      </c>
      <c r="O144" s="28">
        <f ca="1">SUMPRODUCT(dFactor,tpSurvPRV,INDEX(tEIdxElec,11)*INDEX(elecPRV,1,7)*allOnes,OFFSET(tPrcElec,0,10,1,_maxLT))</f>
        <v>11000.443870383193</v>
      </c>
      <c r="P144" s="28">
        <f ca="1">SUMPRODUCT(dFactor,tpSurvPRV,INDEX(tEIdxElec,12)*INDEX(elecPRV,1,7)*allOnes,OFFSET(tPrcElec,0,11,1,_maxLT))</f>
        <v>11047.10511611429</v>
      </c>
      <c r="Q144" s="28">
        <f ca="1">SUMPRODUCT(dFactor,tpSurvPRV,INDEX(tEIdxElec,13)*INDEX(elecPRV,1,7)*allOnes,OFFSET(tPrcElec,0,12,1,_maxLT))</f>
        <v>11088.549775099311</v>
      </c>
      <c r="R144" s="28">
        <f ca="1">SUMPRODUCT(dFactor,tpSurvPRV,INDEX(tEIdxElec,14)*INDEX(elecPRV,1,7)*allOnes,OFFSET(tPrcElec,0,13,1,_maxLT))</f>
        <v>11133.691492701775</v>
      </c>
      <c r="S144" s="28">
        <f ca="1">SUMPRODUCT(dFactor,tpSurvPRV,INDEX(tEIdxElec,15)*INDEX(elecPRV,1,7)*allOnes,OFFSET(tPrcElec,0,14,1,_maxLT))</f>
        <v>11173.519890551228</v>
      </c>
      <c r="T144" s="28">
        <f ca="1">SUMPRODUCT(dFactor,tpSurvPRV,INDEX(tEIdxElec,16)*INDEX(elecPRV,1,7)*allOnes,OFFSET(tPrcElec,0,15,1,_maxLT))</f>
        <v>11216.938912885222</v>
      </c>
      <c r="U144" s="28">
        <f ca="1">SUMPRODUCT(dFactor,tpSurvPRV,INDEX(tEIdxElec,17)*INDEX(elecPRV,1,7)*allOnes,OFFSET(tPrcElec,0,16,1,_maxLT))</f>
        <v>11264.246419497873</v>
      </c>
      <c r="V144" s="28">
        <f ca="1">SUMPRODUCT(dFactor,tpSurvPRV,INDEX(tEIdxElec,18)*INDEX(elecPRV,1,7)*allOnes,OFFSET(tPrcElec,0,17,1,_maxLT))</f>
        <v>11306.386959416428</v>
      </c>
      <c r="W144" s="28">
        <f ca="1">SUMPRODUCT(dFactor,tpSurvPRV,INDEX(tEIdxElec,19)*INDEX(elecPRV,1,7)*allOnes,OFFSET(tPrcElec,0,18,1,_maxLT))</f>
        <v>11352.306258097691</v>
      </c>
      <c r="X144" s="28">
        <f ca="1">SUMPRODUCT(dFactor,tpSurvPRV,INDEX(tEIdxElec,20)*INDEX(elecPRV,1,7)*allOnes,OFFSET(tPrcElec,0,19,1,_maxLT))</f>
        <v>11392.984610321433</v>
      </c>
      <c r="Y144" s="28">
        <f ca="1">SUMPRODUCT(dFactor,tpSurvPRV,INDEX(tEIdxElec,21)*INDEX(elecPRV,1,7)*allOnes,OFFSET(tPrcElec,0,20,1,_maxLT))</f>
        <v>11437.326852253371</v>
      </c>
      <c r="Z144" s="28">
        <f ca="1">SUMPRODUCT(dFactor,tpSurvPRV,INDEX(tEIdxElec,22)*INDEX(elecPRV,1,7)*allOnes,OFFSET(tPrcElec,0,21,1,_maxLT))</f>
        <v>11485.644483001746</v>
      </c>
      <c r="AA144" s="28">
        <f ca="1">SUMPRODUCT(dFactor,tpSurvPRV,INDEX(tEIdxElec,23)*INDEX(elecPRV,1,7)*allOnes,OFFSET(tPrcElec,0,22,1,_maxLT))</f>
        <v>11528.868342159876</v>
      </c>
      <c r="AB144" s="28">
        <f ca="1">SUMPRODUCT(dFactor,tpSurvPRV,INDEX(tEIdxElec,24)*INDEX(elecPRV,1,7)*allOnes,OFFSET(tPrcElec,0,23,1,_maxLT))</f>
        <v>11575.986016603114</v>
      </c>
      <c r="AC144" s="28">
        <f ca="1">SUMPRODUCT(dFactor,tpSurvPRV,INDEX(tEIdxElec,25)*INDEX(elecPRV,1,7)*allOnes,OFFSET(tPrcElec,0,24,1,_maxLT))</f>
        <v>11617.942131257669</v>
      </c>
      <c r="AD144" s="28">
        <f ca="1">SUMPRODUCT(dFactor,tpSurvPRV,INDEX(tEIdxElec,26)*INDEX(elecPRV,1,7)*allOnes,OFFSET(tPrcElec,0,25,1,_maxLT))</f>
        <v>11663.679615542858</v>
      </c>
      <c r="AE144" s="28">
        <f ca="1">SUMPRODUCT(dFactor,tpSurvPRV,INDEX(tEIdxElec,27)*INDEX(elecPRV,1,7)*allOnes,OFFSET(tPrcElec,0,26,1,_maxLT))</f>
        <v>11713.471476617327</v>
      </c>
      <c r="AF144" s="28">
        <f ca="1">SUMPRODUCT(dFactor,tpSurvPRV,INDEX(tEIdxElec,28)*INDEX(elecPRV,1,7)*allOnes,OFFSET(tPrcElec,0,27,1,_maxLT))</f>
        <v>11758.300852133973</v>
      </c>
      <c r="AG144" s="28">
        <f ca="1">SUMPRODUCT(dFactor,tpSurvPRV,INDEX(tEIdxElec,29)*INDEX(elecPRV,1,7)*allOnes,OFFSET(tPrcElec,0,28,1,_maxLT))</f>
        <v>11807.1586954288</v>
      </c>
      <c r="AH144" s="28">
        <f ca="1">SUMPRODUCT(dFactor,tpSurvPRV,INDEX(tEIdxElec,30)*INDEX(elecPRV,1,7)*allOnes,OFFSET(tPrcElec,0,29,1,_maxLT))</f>
        <v>11850.990369118424</v>
      </c>
      <c r="AI144" s="28">
        <f ca="1">SUMPRODUCT(dFactor,tpSurvPRV,INDEX(tEIdxElec,31)*INDEX(elecPRV,1,7)*allOnes,OFFSET(tPrcElec,0,30,1,_maxLT))</f>
        <v>11898.782785333164</v>
      </c>
      <c r="AJ144" s="28">
        <f ca="1">SUMPRODUCT(dFactor,tpSurvPRV,INDEX(tEIdxElec,32)*INDEX(elecPRV,1,7)*allOnes,OFFSET(tPrcElec,0,31,1,_maxLT))</f>
        <v>11941.482111043255</v>
      </c>
      <c r="AK144" s="29">
        <f ca="1">SUMPRODUCT(dFactor,tpSurvPRV,INDEX(tEIdxElec,33)*INDEX(elecPRV,1,7)*allOnes,OFFSET(tPrcElec,0,32,1,_maxLT))</f>
        <v>11988.065453579011</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ts2bElec*SUMPRODUCT(tpSurvPRV,INDEX(tEIdxElec,1)*INDEX(elecPRV,1,7)*convFactor)</f>
        <v>2392.6407748210881</v>
      </c>
      <c r="F146" s="22">
        <f ca="1">ts2bElec*SUMPRODUCT(tpSurvPRV,INDEX(tEIdxElec,2)*INDEX(elecPRV,1,7)*convFactor)</f>
        <v>2376.1604003438638</v>
      </c>
      <c r="G146" s="22">
        <f ca="1">ts2bElec*SUMPRODUCT(tpSurvPRV,INDEX(tEIdxElec,3)*INDEX(elecPRV,1,7)*convFactor)</f>
        <v>2359.5586040217459</v>
      </c>
      <c r="H146" s="22">
        <f ca="1">ts2bElec*SUMPRODUCT(tpSurvPRV,INDEX(tEIdxElec,4)*INDEX(elecPRV,1,7)*convFactor)</f>
        <v>2344.9802224097602</v>
      </c>
      <c r="I146" s="22">
        <f ca="1">ts2bElec*SUMPRODUCT(tpSurvPRV,INDEX(tEIdxElec,5)*INDEX(elecPRV,1,7)*convFactor)</f>
        <v>2331.1568554896585</v>
      </c>
      <c r="J146" s="22">
        <f ca="1">ts2bElec*SUMPRODUCT(tpSurvPRV,INDEX(tEIdxElec,6)*INDEX(elecPRV,1,7)*convFactor)</f>
        <v>2319.1201845997471</v>
      </c>
      <c r="K146" s="22">
        <f ca="1">ts2bElec*SUMPRODUCT(tpSurvPRV,INDEX(tEIdxElec,7)*INDEX(elecPRV,1,7)*convFactor)</f>
        <v>2309.7881023635923</v>
      </c>
      <c r="L146" s="22">
        <f ca="1">ts2bElec*SUMPRODUCT(tpSurvPRV,INDEX(tEIdxElec,8)*INDEX(elecPRV,1,7)*convFactor)</f>
        <v>2302.0525687602444</v>
      </c>
      <c r="M146" s="22">
        <f ca="1">ts2bElec*SUMPRODUCT(tpSurvPRV,INDEX(tEIdxElec,9)*INDEX(elecPRV,1,7)*convFactor)</f>
        <v>2294.2819102170192</v>
      </c>
      <c r="N146" s="22">
        <f ca="1">ts2bElec*SUMPRODUCT(tpSurvPRV,INDEX(tEIdxElec,10)*INDEX(elecPRV,1,7)*convFactor)</f>
        <v>2288.0659193903198</v>
      </c>
      <c r="O146" s="22">
        <f ca="1">ts2bElec*SUMPRODUCT(tpSurvPRV,INDEX(tEIdxElec,11)*INDEX(elecPRV,1,7)*convFactor)</f>
        <v>2283.7845555641561</v>
      </c>
      <c r="P146" s="22">
        <f ca="1">ts2bElec*SUMPRODUCT(tpSurvPRV,INDEX(tEIdxElec,12)*INDEX(elecPRV,1,7)*convFactor)</f>
        <v>2280.6510714120741</v>
      </c>
      <c r="Q146" s="22">
        <f ca="1">ts2bElec*SUMPRODUCT(tpSurvPRV,INDEX(tEIdxElec,13)*INDEX(elecPRV,1,7)*convFactor)</f>
        <v>2278.0135158065023</v>
      </c>
      <c r="R146" s="22">
        <f ca="1">ts2bElec*SUMPRODUCT(tpSurvPRV,INDEX(tEIdxElec,14)*INDEX(elecPRV,1,7)*convFactor)</f>
        <v>2276.0674317720986</v>
      </c>
      <c r="S146" s="22">
        <f ca="1">ts2bElec*SUMPRODUCT(tpSurvPRV,INDEX(tEIdxElec,15)*INDEX(elecPRV,1,7)*convFactor)</f>
        <v>2274.5837286640458</v>
      </c>
      <c r="T146" s="22">
        <f ca="1">ts2bElec*SUMPRODUCT(tpSurvPRV,INDEX(tEIdxElec,16)*INDEX(elecPRV,1,7)*convFactor)</f>
        <v>2274.3974190080194</v>
      </c>
      <c r="U146" s="22">
        <f ca="1">ts2bElec*SUMPRODUCT(tpSurvPRV,INDEX(tEIdxElec,17)*INDEX(elecPRV,1,7)*convFactor)</f>
        <v>2274.7777247676504</v>
      </c>
      <c r="V146" s="22">
        <f ca="1">ts2bElec*SUMPRODUCT(tpSurvPRV,INDEX(tEIdxElec,18)*INDEX(elecPRV,1,7)*convFactor)</f>
        <v>2275.3370233089954</v>
      </c>
      <c r="W146" s="22">
        <f ca="1">ts2bElec*SUMPRODUCT(tpSurvPRV,INDEX(tEIdxElec,19)*INDEX(elecPRV,1,7)*convFactor)</f>
        <v>2276.1368977130014</v>
      </c>
      <c r="X146" s="22">
        <f ca="1">ts2bElec*SUMPRODUCT(tpSurvPRV,INDEX(tEIdxElec,20)*INDEX(elecPRV,1,7)*convFactor)</f>
        <v>2276.8927704325183</v>
      </c>
      <c r="Y146" s="22">
        <f ca="1">ts2bElec*SUMPRODUCT(tpSurvPRV,INDEX(tEIdxElec,21)*INDEX(elecPRV,1,7)*convFactor)</f>
        <v>2277.5190513944463</v>
      </c>
      <c r="Z146" s="22">
        <f ca="1">ts2bElec*SUMPRODUCT(tpSurvPRV,INDEX(tEIdxElec,22)*INDEX(elecPRV,1,7)*convFactor)</f>
        <v>2277.9387481871986</v>
      </c>
      <c r="AA146" s="22">
        <f ca="1">ts2bElec*SUMPRODUCT(tpSurvPRV,INDEX(tEIdxElec,23)*INDEX(elecPRV,1,7)*convFactor)</f>
        <v>2278.2153563114143</v>
      </c>
      <c r="AB146" s="22">
        <f ca="1">ts2bElec*SUMPRODUCT(tpSurvPRV,INDEX(tEIdxElec,24)*INDEX(elecPRV,1,7)*convFactor)</f>
        <v>2278.2153563114143</v>
      </c>
      <c r="AC146" s="22">
        <f ca="1">ts2bElec*SUMPRODUCT(tpSurvPRV,INDEX(tEIdxElec,25)*INDEX(elecPRV,1,7)*convFactor)</f>
        <v>2278.2153563114143</v>
      </c>
      <c r="AD146" s="22">
        <f ca="1">ts2bElec*SUMPRODUCT(tpSurvPRV,INDEX(tEIdxElec,26)*INDEX(elecPRV,1,7)*convFactor)</f>
        <v>2278.2153563114143</v>
      </c>
      <c r="AE146" s="22">
        <f ca="1">ts2bElec*SUMPRODUCT(tpSurvPRV,INDEX(tEIdxElec,27)*INDEX(elecPRV,1,7)*convFactor)</f>
        <v>2278.2153563114143</v>
      </c>
      <c r="AF146" s="22">
        <f ca="1">ts2bElec*SUMPRODUCT(tpSurvPRV,INDEX(tEIdxElec,28)*INDEX(elecPRV,1,7)*convFactor)</f>
        <v>2278.2153563114143</v>
      </c>
      <c r="AG146" s="22">
        <f ca="1">ts2bElec*SUMPRODUCT(tpSurvPRV,INDEX(tEIdxElec,29)*INDEX(elecPRV,1,7)*convFactor)</f>
        <v>2278.2153563114143</v>
      </c>
      <c r="AH146" s="22">
        <f ca="1">ts2bElec*SUMPRODUCT(tpSurvPRV,INDEX(tEIdxElec,30)*INDEX(elecPRV,1,7)*convFactor)</f>
        <v>2278.2153563114143</v>
      </c>
      <c r="AI146" s="22">
        <f ca="1">ts2bElec*SUMPRODUCT(tpSurvPRV,INDEX(tEIdxElec,31)*INDEX(elecPRV,1,7)*convFactor)</f>
        <v>2278.2153563114143</v>
      </c>
      <c r="AJ146" s="22">
        <f ca="1">ts2bElec*SUMPRODUCT(tpSurvPRV,INDEX(tEIdxElec,32)*INDEX(elecPRV,1,7)*convFactor)</f>
        <v>2278.2153563114143</v>
      </c>
      <c r="AK146" s="25">
        <f ca="1">ts2bElec*SUMPRODUCT(tpSurvPRV,INDEX(tEIdxElec,33)*INDEX(elecPRV,1,7)*convFactor)</f>
        <v>2278.2153563114143</v>
      </c>
      <c r="AL146" s="3"/>
    </row>
    <row r="147" spans="2:38">
      <c r="B147" s="3"/>
      <c r="C147" s="33" t="str">
        <f>"Std (CSL " &amp; stdCSL &amp; "): " &amp; INDEX(_doName,7,stdCSL+1)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INDEX(_doName,7,1)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(1+INDEX(vadPRV,stdCSL+1,1))*INDEX(mspPRV,stdCSL+1,1)*tPIdxAll + INDEX(instPRV,stdCSL+1,1) + SUMPRODUCT(dFactor,tpSurvPRV,INDEX(mrPRV,stdCSL+1,1)*allOnes)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SUMPRODUCT(dFactor,tpSurvPRV,INDEX(tEIdxElec,1)*INDEX(elecPRV,stdCSL+1,1)*allOnes,OFFSET(tPrcElec,0,0,1,_maxLT))</f>
        <v>0</v>
      </c>
      <c r="F151" s="28">
        <f ca="1">SUMPRODUCT(dFactor,tpSurvPRV,INDEX(tEIdxElec,2)*INDEX(elecPRV,stdCSL+1,1)*allOnes,OFFSET(tPrcElec,0,1,1,_maxLT))</f>
        <v>0</v>
      </c>
      <c r="G151" s="28">
        <f ca="1">SUMPRODUCT(dFactor,tpSurvPRV,INDEX(tEIdxElec,3)*INDEX(elecPRV,stdCSL+1,1)*allOnes,OFFSET(tPrcElec,0,2,1,_maxLT))</f>
        <v>0</v>
      </c>
      <c r="H151" s="28">
        <f ca="1">SUMPRODUCT(dFactor,tpSurvPRV,INDEX(tEIdxElec,4)*INDEX(elecPRV,stdCSL+1,1)*allOnes,OFFSET(tPrcElec,0,3,1,_maxLT))</f>
        <v>0</v>
      </c>
      <c r="I151" s="28">
        <f ca="1">SUMPRODUCT(dFactor,tpSurvPRV,INDEX(tEIdxElec,5)*INDEX(elecPRV,stdCSL+1,1)*allOnes,OFFSET(tPrcElec,0,4,1,_maxLT))</f>
        <v>0</v>
      </c>
      <c r="J151" s="28">
        <f ca="1">SUMPRODUCT(dFactor,tpSurvPRV,INDEX(tEIdxElec,6)*INDEX(elecPRV,stdCSL+1,1)*allOnes,OFFSET(tPrcElec,0,5,1,_maxLT))</f>
        <v>0</v>
      </c>
      <c r="K151" s="28">
        <f ca="1">SUMPRODUCT(dFactor,tpSurvPRV,INDEX(tEIdxElec,7)*INDEX(elecPRV,stdCSL+1,1)*allOnes,OFFSET(tPrcElec,0,6,1,_maxLT))</f>
        <v>0</v>
      </c>
      <c r="L151" s="28">
        <f ca="1">SUMPRODUCT(dFactor,tpSurvPRV,INDEX(tEIdxElec,8)*INDEX(elecPRV,stdCSL+1,1)*allOnes,OFFSET(tPrcElec,0,7,1,_maxLT))</f>
        <v>0</v>
      </c>
      <c r="M151" s="28">
        <f ca="1">SUMPRODUCT(dFactor,tpSurvPRV,INDEX(tEIdxElec,9)*INDEX(elecPRV,stdCSL+1,1)*allOnes,OFFSET(tPrcElec,0,8,1,_maxLT))</f>
        <v>0</v>
      </c>
      <c r="N151" s="28">
        <f ca="1">SUMPRODUCT(dFactor,tpSurvPRV,INDEX(tEIdxElec,10)*INDEX(elecPRV,stdCSL+1,1)*allOnes,OFFSET(tPrcElec,0,9,1,_maxLT))</f>
        <v>0</v>
      </c>
      <c r="O151" s="28">
        <f ca="1">SUMPRODUCT(dFactor,tpSurvPRV,INDEX(tEIdxElec,11)*INDEX(elecPRV,stdCSL+1,1)*allOnes,OFFSET(tPrcElec,0,10,1,_maxLT))</f>
        <v>0</v>
      </c>
      <c r="P151" s="28">
        <f ca="1">SUMPRODUCT(dFactor,tpSurvPRV,INDEX(tEIdxElec,12)*INDEX(elecPRV,stdCSL+1,1)*allOnes,OFFSET(tPrcElec,0,11,1,_maxLT))</f>
        <v>0</v>
      </c>
      <c r="Q151" s="28">
        <f ca="1">SUMPRODUCT(dFactor,tpSurvPRV,INDEX(tEIdxElec,13)*INDEX(elecPRV,stdCSL+1,1)*allOnes,OFFSET(tPrcElec,0,12,1,_maxLT))</f>
        <v>0</v>
      </c>
      <c r="R151" s="28">
        <f ca="1">SUMPRODUCT(dFactor,tpSurvPRV,INDEX(tEIdxElec,14)*INDEX(elecPRV,stdCSL+1,1)*allOnes,OFFSET(tPrcElec,0,13,1,_maxLT))</f>
        <v>0</v>
      </c>
      <c r="S151" s="28">
        <f ca="1">SUMPRODUCT(dFactor,tpSurvPRV,INDEX(tEIdxElec,15)*INDEX(elecPRV,stdCSL+1,1)*allOnes,OFFSET(tPrcElec,0,14,1,_maxLT))</f>
        <v>0</v>
      </c>
      <c r="T151" s="28">
        <f ca="1">SUMPRODUCT(dFactor,tpSurvPRV,INDEX(tEIdxElec,16)*INDEX(elecPRV,stdCSL+1,1)*allOnes,OFFSET(tPrcElec,0,15,1,_maxLT))</f>
        <v>0</v>
      </c>
      <c r="U151" s="28">
        <f ca="1">SUMPRODUCT(dFactor,tpSurvPRV,INDEX(tEIdxElec,17)*INDEX(elecPRV,stdCSL+1,1)*allOnes,OFFSET(tPrcElec,0,16,1,_maxLT))</f>
        <v>0</v>
      </c>
      <c r="V151" s="28">
        <f ca="1">SUMPRODUCT(dFactor,tpSurvPRV,INDEX(tEIdxElec,18)*INDEX(elecPRV,stdCSL+1,1)*allOnes,OFFSET(tPrcElec,0,17,1,_maxLT))</f>
        <v>0</v>
      </c>
      <c r="W151" s="28">
        <f ca="1">SUMPRODUCT(dFactor,tpSurvPRV,INDEX(tEIdxElec,19)*INDEX(elecPRV,stdCSL+1,1)*allOnes,OFFSET(tPrcElec,0,18,1,_maxLT))</f>
        <v>0</v>
      </c>
      <c r="X151" s="28">
        <f ca="1">SUMPRODUCT(dFactor,tpSurvPRV,INDEX(tEIdxElec,20)*INDEX(elecPRV,stdCSL+1,1)*allOnes,OFFSET(tPrcElec,0,19,1,_maxLT))</f>
        <v>0</v>
      </c>
      <c r="Y151" s="28">
        <f ca="1">SUMPRODUCT(dFactor,tpSurvPRV,INDEX(tEIdxElec,21)*INDEX(elecPRV,stdCSL+1,1)*allOnes,OFFSET(tPrcElec,0,20,1,_maxLT))</f>
        <v>0</v>
      </c>
      <c r="Z151" s="28">
        <f ca="1">SUMPRODUCT(dFactor,tpSurvPRV,INDEX(tEIdxElec,22)*INDEX(elecPRV,stdCSL+1,1)*allOnes,OFFSET(tPrcElec,0,21,1,_maxLT))</f>
        <v>0</v>
      </c>
      <c r="AA151" s="28">
        <f ca="1">SUMPRODUCT(dFactor,tpSurvPRV,INDEX(tEIdxElec,23)*INDEX(elecPRV,stdCSL+1,1)*allOnes,OFFSET(tPrcElec,0,22,1,_maxLT))</f>
        <v>0</v>
      </c>
      <c r="AB151" s="28">
        <f ca="1">SUMPRODUCT(dFactor,tpSurvPRV,INDEX(tEIdxElec,24)*INDEX(elecPRV,stdCSL+1,1)*allOnes,OFFSET(tPrcElec,0,23,1,_maxLT))</f>
        <v>0</v>
      </c>
      <c r="AC151" s="28">
        <f ca="1">SUMPRODUCT(dFactor,tpSurvPRV,INDEX(tEIdxElec,25)*INDEX(elecPRV,stdCSL+1,1)*allOnes,OFFSET(tPrcElec,0,24,1,_maxLT))</f>
        <v>0</v>
      </c>
      <c r="AD151" s="28">
        <f ca="1">SUMPRODUCT(dFactor,tpSurvPRV,INDEX(tEIdxElec,26)*INDEX(elecPRV,stdCSL+1,1)*allOnes,OFFSET(tPrcElec,0,25,1,_maxLT))</f>
        <v>0</v>
      </c>
      <c r="AE151" s="28">
        <f ca="1">SUMPRODUCT(dFactor,tpSurvPRV,INDEX(tEIdxElec,27)*INDEX(elecPRV,stdCSL+1,1)*allOnes,OFFSET(tPrcElec,0,26,1,_maxLT))</f>
        <v>0</v>
      </c>
      <c r="AF151" s="28">
        <f ca="1">SUMPRODUCT(dFactor,tpSurvPRV,INDEX(tEIdxElec,28)*INDEX(elecPRV,stdCSL+1,1)*allOnes,OFFSET(tPrcElec,0,27,1,_maxLT))</f>
        <v>0</v>
      </c>
      <c r="AG151" s="28">
        <f ca="1">SUMPRODUCT(dFactor,tpSurvPRV,INDEX(tEIdxElec,29)*INDEX(elecPRV,stdCSL+1,1)*allOnes,OFFSET(tPrcElec,0,28,1,_maxLT))</f>
        <v>0</v>
      </c>
      <c r="AH151" s="28">
        <f ca="1">SUMPRODUCT(dFactor,tpSurvPRV,INDEX(tEIdxElec,30)*INDEX(elecPRV,stdCSL+1,1)*allOnes,OFFSET(tPrcElec,0,29,1,_maxLT))</f>
        <v>0</v>
      </c>
      <c r="AI151" s="28">
        <f ca="1">SUMPRODUCT(dFactor,tpSurvPRV,INDEX(tEIdxElec,31)*INDEX(elecPRV,stdCSL+1,1)*allOnes,OFFSET(tPrcElec,0,30,1,_maxLT))</f>
        <v>0</v>
      </c>
      <c r="AJ151" s="28">
        <f ca="1">SUMPRODUCT(dFactor,tpSurvPRV,INDEX(tEIdxElec,32)*INDEX(elecPRV,stdCSL+1,1)*allOnes,OFFSET(tPrcElec,0,31,1,_maxLT))</f>
        <v>0</v>
      </c>
      <c r="AK151" s="29">
        <f ca="1">SUMPRODUCT(dFactor,tpSurvPRV,INDEX(tEIdxElec,33)*INDEX(elecPRV,stdCSL+1,1)*allOnes,OFFSET(tPrcElec,0,32,1,_maxLT))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ts2bElec*SUMPRODUCT(tpSurvPRV,INDEX(tEIdxElec,1)*INDEX(elecPRV,stdCSL+1,1)*convFactor)</f>
        <v>0</v>
      </c>
      <c r="F153" s="22">
        <f ca="1">ts2bElec*SUMPRODUCT(tpSurvPRV,INDEX(tEIdxElec,2)*INDEX(elecPRV,stdCSL+1,1)*convFactor)</f>
        <v>0</v>
      </c>
      <c r="G153" s="22">
        <f ca="1">ts2bElec*SUMPRODUCT(tpSurvPRV,INDEX(tEIdxElec,3)*INDEX(elecPRV,stdCSL+1,1)*convFactor)</f>
        <v>0</v>
      </c>
      <c r="H153" s="22">
        <f ca="1">ts2bElec*SUMPRODUCT(tpSurvPRV,INDEX(tEIdxElec,4)*INDEX(elecPRV,stdCSL+1,1)*convFactor)</f>
        <v>0</v>
      </c>
      <c r="I153" s="22">
        <f ca="1">ts2bElec*SUMPRODUCT(tpSurvPRV,INDEX(tEIdxElec,5)*INDEX(elecPRV,stdCSL+1,1)*convFactor)</f>
        <v>0</v>
      </c>
      <c r="J153" s="22">
        <f ca="1">ts2bElec*SUMPRODUCT(tpSurvPRV,INDEX(tEIdxElec,6)*INDEX(elecPRV,stdCSL+1,1)*convFactor)</f>
        <v>0</v>
      </c>
      <c r="K153" s="22">
        <f ca="1">ts2bElec*SUMPRODUCT(tpSurvPRV,INDEX(tEIdxElec,7)*INDEX(elecPRV,stdCSL+1,1)*convFactor)</f>
        <v>0</v>
      </c>
      <c r="L153" s="22">
        <f ca="1">ts2bElec*SUMPRODUCT(tpSurvPRV,INDEX(tEIdxElec,8)*INDEX(elecPRV,stdCSL+1,1)*convFactor)</f>
        <v>0</v>
      </c>
      <c r="M153" s="22">
        <f ca="1">ts2bElec*SUMPRODUCT(tpSurvPRV,INDEX(tEIdxElec,9)*INDEX(elecPRV,stdCSL+1,1)*convFactor)</f>
        <v>0</v>
      </c>
      <c r="N153" s="22">
        <f ca="1">ts2bElec*SUMPRODUCT(tpSurvPRV,INDEX(tEIdxElec,10)*INDEX(elecPRV,stdCSL+1,1)*convFactor)</f>
        <v>0</v>
      </c>
      <c r="O153" s="22">
        <f ca="1">ts2bElec*SUMPRODUCT(tpSurvPRV,INDEX(tEIdxElec,11)*INDEX(elecPRV,stdCSL+1,1)*convFactor)</f>
        <v>0</v>
      </c>
      <c r="P153" s="22">
        <f ca="1">ts2bElec*SUMPRODUCT(tpSurvPRV,INDEX(tEIdxElec,12)*INDEX(elecPRV,stdCSL+1,1)*convFactor)</f>
        <v>0</v>
      </c>
      <c r="Q153" s="22">
        <f ca="1">ts2bElec*SUMPRODUCT(tpSurvPRV,INDEX(tEIdxElec,13)*INDEX(elecPRV,stdCSL+1,1)*convFactor)</f>
        <v>0</v>
      </c>
      <c r="R153" s="22">
        <f ca="1">ts2bElec*SUMPRODUCT(tpSurvPRV,INDEX(tEIdxElec,14)*INDEX(elecPRV,stdCSL+1,1)*convFactor)</f>
        <v>0</v>
      </c>
      <c r="S153" s="22">
        <f ca="1">ts2bElec*SUMPRODUCT(tpSurvPRV,INDEX(tEIdxElec,15)*INDEX(elecPRV,stdCSL+1,1)*convFactor)</f>
        <v>0</v>
      </c>
      <c r="T153" s="22">
        <f ca="1">ts2bElec*SUMPRODUCT(tpSurvPRV,INDEX(tEIdxElec,16)*INDEX(elecPRV,stdCSL+1,1)*convFactor)</f>
        <v>0</v>
      </c>
      <c r="U153" s="22">
        <f ca="1">ts2bElec*SUMPRODUCT(tpSurvPRV,INDEX(tEIdxElec,17)*INDEX(elecPRV,stdCSL+1,1)*convFactor)</f>
        <v>0</v>
      </c>
      <c r="V153" s="22">
        <f ca="1">ts2bElec*SUMPRODUCT(tpSurvPRV,INDEX(tEIdxElec,18)*INDEX(elecPRV,stdCSL+1,1)*convFactor)</f>
        <v>0</v>
      </c>
      <c r="W153" s="22">
        <f ca="1">ts2bElec*SUMPRODUCT(tpSurvPRV,INDEX(tEIdxElec,19)*INDEX(elecPRV,stdCSL+1,1)*convFactor)</f>
        <v>0</v>
      </c>
      <c r="X153" s="22">
        <f ca="1">ts2bElec*SUMPRODUCT(tpSurvPRV,INDEX(tEIdxElec,20)*INDEX(elecPRV,stdCSL+1,1)*convFactor)</f>
        <v>0</v>
      </c>
      <c r="Y153" s="22">
        <f ca="1">ts2bElec*SUMPRODUCT(tpSurvPRV,INDEX(tEIdxElec,21)*INDEX(elecPRV,stdCSL+1,1)*convFactor)</f>
        <v>0</v>
      </c>
      <c r="Z153" s="22">
        <f ca="1">ts2bElec*SUMPRODUCT(tpSurvPRV,INDEX(tEIdxElec,22)*INDEX(elecPRV,stdCSL+1,1)*convFactor)</f>
        <v>0</v>
      </c>
      <c r="AA153" s="22">
        <f ca="1">ts2bElec*SUMPRODUCT(tpSurvPRV,INDEX(tEIdxElec,23)*INDEX(elecPRV,stdCSL+1,1)*convFactor)</f>
        <v>0</v>
      </c>
      <c r="AB153" s="22">
        <f ca="1">ts2bElec*SUMPRODUCT(tpSurvPRV,INDEX(tEIdxElec,24)*INDEX(elecPRV,stdCSL+1,1)*convFactor)</f>
        <v>0</v>
      </c>
      <c r="AC153" s="22">
        <f ca="1">ts2bElec*SUMPRODUCT(tpSurvPRV,INDEX(tEIdxElec,25)*INDEX(elecPRV,stdCSL+1,1)*convFactor)</f>
        <v>0</v>
      </c>
      <c r="AD153" s="22">
        <f ca="1">ts2bElec*SUMPRODUCT(tpSurvPRV,INDEX(tEIdxElec,26)*INDEX(elecPRV,stdCSL+1,1)*convFactor)</f>
        <v>0</v>
      </c>
      <c r="AE153" s="22">
        <f ca="1">ts2bElec*SUMPRODUCT(tpSurvPRV,INDEX(tEIdxElec,27)*INDEX(elecPRV,stdCSL+1,1)*convFactor)</f>
        <v>0</v>
      </c>
      <c r="AF153" s="22">
        <f ca="1">ts2bElec*SUMPRODUCT(tpSurvPRV,INDEX(tEIdxElec,28)*INDEX(elecPRV,stdCSL+1,1)*convFactor)</f>
        <v>0</v>
      </c>
      <c r="AG153" s="22">
        <f ca="1">ts2bElec*SUMPRODUCT(tpSurvPRV,INDEX(tEIdxElec,29)*INDEX(elecPRV,stdCSL+1,1)*convFactor)</f>
        <v>0</v>
      </c>
      <c r="AH153" s="22">
        <f ca="1">ts2bElec*SUMPRODUCT(tpSurvPRV,INDEX(tEIdxElec,30)*INDEX(elecPRV,stdCSL+1,1)*convFactor)</f>
        <v>0</v>
      </c>
      <c r="AI153" s="22">
        <f ca="1">ts2bElec*SUMPRODUCT(tpSurvPRV,INDEX(tEIdxElec,31)*INDEX(elecPRV,stdCSL+1,1)*convFactor)</f>
        <v>0</v>
      </c>
      <c r="AJ153" s="22">
        <f ca="1">ts2bElec*SUMPRODUCT(tpSurvPRV,INDEX(tEIdxElec,32)*INDEX(elecPRV,stdCSL+1,1)*convFactor)</f>
        <v>0</v>
      </c>
      <c r="AK153" s="25">
        <f ca="1">ts2bElec*SUMPRODUCT(tpSurvPRV,INDEX(tEIdxElec,33)*INDEX(elecPRV,stdCSL+1,1)*convFactor)</f>
        <v>0</v>
      </c>
      <c r="AL153" s="3"/>
    </row>
    <row r="154" spans="2:38">
      <c r="B154" s="3"/>
      <c r="C154" s="30" t="str">
        <f>"EL 1: " &amp; INDEX(_doName,7,2)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(1+INDEX(vadPRV,stdCSL+1,2))*INDEX(mspPRV,stdCSL+1,2)*tPIdxAll + INDEX(instPRV,stdCSL+1,2) + SUMPRODUCT(dFactor,tpSurvPRV,INDEX(mrPRV,stdCSL+1,2)*allOnes)</f>
        <v>872.44381399999997</v>
      </c>
      <c r="F155" s="28">
        <f ca="1"/>
        <v>872.44381399999997</v>
      </c>
      <c r="G155" s="28">
        <f ca="1"/>
        <v>872.44381399999997</v>
      </c>
      <c r="H155" s="28">
        <f ca="1"/>
        <v>872.44381399999997</v>
      </c>
      <c r="I155" s="28">
        <f ca="1"/>
        <v>872.44381399999997</v>
      </c>
      <c r="J155" s="28">
        <f ca="1"/>
        <v>872.44381399999997</v>
      </c>
      <c r="K155" s="28">
        <f ca="1"/>
        <v>872.44381399999997</v>
      </c>
      <c r="L155" s="28">
        <f ca="1"/>
        <v>872.44381399999997</v>
      </c>
      <c r="M155" s="28">
        <f ca="1"/>
        <v>872.44381399999997</v>
      </c>
      <c r="N155" s="28">
        <f ca="1"/>
        <v>872.44381399999997</v>
      </c>
      <c r="O155" s="28">
        <f ca="1"/>
        <v>872.44381399999997</v>
      </c>
      <c r="P155" s="28">
        <f ca="1"/>
        <v>872.44381399999997</v>
      </c>
      <c r="Q155" s="28">
        <f ca="1"/>
        <v>872.44381399999997</v>
      </c>
      <c r="R155" s="28">
        <f ca="1"/>
        <v>872.44381399999997</v>
      </c>
      <c r="S155" s="28">
        <f ca="1"/>
        <v>872.44381399999997</v>
      </c>
      <c r="T155" s="28">
        <f ca="1"/>
        <v>872.44381399999997</v>
      </c>
      <c r="U155" s="28">
        <f ca="1"/>
        <v>872.44381399999997</v>
      </c>
      <c r="V155" s="28">
        <f ca="1"/>
        <v>872.44381399999997</v>
      </c>
      <c r="W155" s="28">
        <f ca="1"/>
        <v>872.44381399999997</v>
      </c>
      <c r="X155" s="28">
        <f ca="1"/>
        <v>872.44381399999997</v>
      </c>
      <c r="Y155" s="28">
        <f ca="1"/>
        <v>872.44381399999997</v>
      </c>
      <c r="Z155" s="28">
        <f ca="1"/>
        <v>872.44381399999997</v>
      </c>
      <c r="AA155" s="28">
        <f ca="1"/>
        <v>872.44381399999997</v>
      </c>
      <c r="AB155" s="28">
        <f ca="1"/>
        <v>872.44381399999997</v>
      </c>
      <c r="AC155" s="28">
        <f ca="1"/>
        <v>872.44381399999997</v>
      </c>
      <c r="AD155" s="28">
        <f ca="1"/>
        <v>872.44381399999997</v>
      </c>
      <c r="AE155" s="28">
        <f ca="1"/>
        <v>872.44381399999997</v>
      </c>
      <c r="AF155" s="28">
        <f ca="1"/>
        <v>872.44381399999997</v>
      </c>
      <c r="AG155" s="28">
        <f ca="1"/>
        <v>872.44381399999997</v>
      </c>
      <c r="AH155" s="28">
        <f ca="1"/>
        <v>872.44381399999997</v>
      </c>
      <c r="AI155" s="28">
        <f ca="1"/>
        <v>872.44381399999997</v>
      </c>
      <c r="AJ155" s="28">
        <f ca="1"/>
        <v>872.44381399999997</v>
      </c>
      <c r="AK155" s="29">
        <f ca="1"/>
        <v>872.44381399999997</v>
      </c>
      <c r="AL155" s="3"/>
    </row>
    <row r="156" spans="2:38">
      <c r="B156" s="3"/>
      <c r="C156" s="23" t="s">
        <v>47</v>
      </c>
      <c r="D156" s="16" t="str">
        <f>_yearDol &amp; "$"</f>
        <v>2013$</v>
      </c>
      <c r="E156" s="141">
        <f t="array" aca="1" ref="E156:AK156" ca="1">(tlccEFupolElec1)</f>
        <v>9082.2647796736146</v>
      </c>
      <c r="F156" s="28">
        <f ca="1"/>
        <v>9122.188329028766</v>
      </c>
      <c r="G156" s="28">
        <f ca="1"/>
        <v>9157.5913697187607</v>
      </c>
      <c r="H156" s="28">
        <f ca="1"/>
        <v>9196.1309366619462</v>
      </c>
      <c r="I156" s="28">
        <f ca="1"/>
        <v>9230.0627132510672</v>
      </c>
      <c r="J156" s="28">
        <f ca="1"/>
        <v>9267.0406369205102</v>
      </c>
      <c r="K156" s="28">
        <f ca="1"/>
        <v>9299.3157964078255</v>
      </c>
      <c r="L156" s="28">
        <f ca="1"/>
        <v>9334.5314929236174</v>
      </c>
      <c r="M156" s="28">
        <f ca="1"/>
        <v>9372.8811233945016</v>
      </c>
      <c r="N156" s="28">
        <f ca="1"/>
        <v>9406.6202287173855</v>
      </c>
      <c r="O156" s="28">
        <f ca="1"/>
        <v>9443.4012209452503</v>
      </c>
      <c r="P156" s="28">
        <f ca="1"/>
        <v>9483.4578650315998</v>
      </c>
      <c r="Q156" s="28">
        <f ca="1"/>
        <v>9519.0362969451089</v>
      </c>
      <c r="R156" s="28">
        <f ca="1"/>
        <v>9557.7884924151858</v>
      </c>
      <c r="S156" s="28">
        <f ca="1"/>
        <v>9591.979434645471</v>
      </c>
      <c r="T156" s="28">
        <f ca="1"/>
        <v>9629.2527713719101</v>
      </c>
      <c r="U156" s="28">
        <f ca="1"/>
        <v>9669.8642022350432</v>
      </c>
      <c r="V156" s="28">
        <f ca="1"/>
        <v>9706.0400175755112</v>
      </c>
      <c r="W156" s="28">
        <f ca="1"/>
        <v>9745.4597324834776</v>
      </c>
      <c r="X156" s="28">
        <f ca="1"/>
        <v>9780.380323468893</v>
      </c>
      <c r="Y156" s="28">
        <f ca="1"/>
        <v>9818.4462039491245</v>
      </c>
      <c r="Z156" s="28">
        <f ca="1"/>
        <v>9859.9247823209353</v>
      </c>
      <c r="AA156" s="28">
        <f ca="1"/>
        <v>9897.0305799739544</v>
      </c>
      <c r="AB156" s="28">
        <f ca="1"/>
        <v>9937.4790482001717</v>
      </c>
      <c r="AC156" s="28">
        <f ca="1"/>
        <v>9973.4965424961629</v>
      </c>
      <c r="AD156" s="28">
        <f ca="1"/>
        <v>10012.760177675889</v>
      </c>
      <c r="AE156" s="28">
        <f ca="1"/>
        <v>10055.504318476398</v>
      </c>
      <c r="AF156" s="28">
        <f ca="1"/>
        <v>10093.988381890222</v>
      </c>
      <c r="AG156" s="28">
        <f ca="1"/>
        <v>10135.930709168972</v>
      </c>
      <c r="AH156" s="28">
        <f ca="1"/>
        <v>10173.558289084282</v>
      </c>
      <c r="AI156" s="28">
        <f ca="1"/>
        <v>10214.585993688939</v>
      </c>
      <c r="AJ156" s="28">
        <f ca="1"/>
        <v>10251.241502257075</v>
      </c>
      <c r="AK156" s="29">
        <f ca="1"/>
        <v>10291.231269848382</v>
      </c>
      <c r="AL156" s="3"/>
    </row>
    <row r="157" spans="2:38">
      <c r="B157" s="3"/>
      <c r="C157" s="27" t="str">
        <f>INDEX(_fuel,1)</f>
        <v>Electricity</v>
      </c>
      <c r="D157" s="16" t="str">
        <f>_yearDol &amp; "$"</f>
        <v>2013$</v>
      </c>
      <c r="E157" s="141">
        <f ca="1">SUMPRODUCT(dFactor,tpSurvPRV,INDEX(tEIdxElec,1)*INDEX(elecPRV,stdCSL+1,2)*allOnes,OFFSET(tPrcElec,0,0,1,_maxLT))</f>
        <v>9082.2647796736146</v>
      </c>
      <c r="F157" s="28">
        <f ca="1">SUMPRODUCT(dFactor,tpSurvPRV,INDEX(tEIdxElec,2)*INDEX(elecPRV,stdCSL+1,2)*allOnes,OFFSET(tPrcElec,0,1,1,_maxLT))</f>
        <v>9122.188329028766</v>
      </c>
      <c r="G157" s="28">
        <f ca="1">SUMPRODUCT(dFactor,tpSurvPRV,INDEX(tEIdxElec,3)*INDEX(elecPRV,stdCSL+1,2)*allOnes,OFFSET(tPrcElec,0,2,1,_maxLT))</f>
        <v>9157.5913697187607</v>
      </c>
      <c r="H157" s="28">
        <f ca="1">SUMPRODUCT(dFactor,tpSurvPRV,INDEX(tEIdxElec,4)*INDEX(elecPRV,stdCSL+1,2)*allOnes,OFFSET(tPrcElec,0,3,1,_maxLT))</f>
        <v>9196.1309366619462</v>
      </c>
      <c r="I157" s="28">
        <f ca="1">SUMPRODUCT(dFactor,tpSurvPRV,INDEX(tEIdxElec,5)*INDEX(elecPRV,stdCSL+1,2)*allOnes,OFFSET(tPrcElec,0,4,1,_maxLT))</f>
        <v>9230.0627132510672</v>
      </c>
      <c r="J157" s="28">
        <f ca="1">SUMPRODUCT(dFactor,tpSurvPRV,INDEX(tEIdxElec,6)*INDEX(elecPRV,stdCSL+1,2)*allOnes,OFFSET(tPrcElec,0,5,1,_maxLT))</f>
        <v>9267.0406369205102</v>
      </c>
      <c r="K157" s="28">
        <f ca="1">SUMPRODUCT(dFactor,tpSurvPRV,INDEX(tEIdxElec,7)*INDEX(elecPRV,stdCSL+1,2)*allOnes,OFFSET(tPrcElec,0,6,1,_maxLT))</f>
        <v>9299.3157964078255</v>
      </c>
      <c r="L157" s="28">
        <f ca="1">SUMPRODUCT(dFactor,tpSurvPRV,INDEX(tEIdxElec,8)*INDEX(elecPRV,stdCSL+1,2)*allOnes,OFFSET(tPrcElec,0,7,1,_maxLT))</f>
        <v>9334.5314929236174</v>
      </c>
      <c r="M157" s="28">
        <f ca="1">SUMPRODUCT(dFactor,tpSurvPRV,INDEX(tEIdxElec,9)*INDEX(elecPRV,stdCSL+1,2)*allOnes,OFFSET(tPrcElec,0,8,1,_maxLT))</f>
        <v>9372.8811233945016</v>
      </c>
      <c r="N157" s="28">
        <f ca="1">SUMPRODUCT(dFactor,tpSurvPRV,INDEX(tEIdxElec,10)*INDEX(elecPRV,stdCSL+1,2)*allOnes,OFFSET(tPrcElec,0,9,1,_maxLT))</f>
        <v>9406.6202287173855</v>
      </c>
      <c r="O157" s="28">
        <f ca="1">SUMPRODUCT(dFactor,tpSurvPRV,INDEX(tEIdxElec,11)*INDEX(elecPRV,stdCSL+1,2)*allOnes,OFFSET(tPrcElec,0,10,1,_maxLT))</f>
        <v>9443.4012209452503</v>
      </c>
      <c r="P157" s="28">
        <f ca="1">SUMPRODUCT(dFactor,tpSurvPRV,INDEX(tEIdxElec,12)*INDEX(elecPRV,stdCSL+1,2)*allOnes,OFFSET(tPrcElec,0,11,1,_maxLT))</f>
        <v>9483.4578650315998</v>
      </c>
      <c r="Q157" s="28">
        <f ca="1">SUMPRODUCT(dFactor,tpSurvPRV,INDEX(tEIdxElec,13)*INDEX(elecPRV,stdCSL+1,2)*allOnes,OFFSET(tPrcElec,0,12,1,_maxLT))</f>
        <v>9519.0362969451089</v>
      </c>
      <c r="R157" s="28">
        <f ca="1">SUMPRODUCT(dFactor,tpSurvPRV,INDEX(tEIdxElec,14)*INDEX(elecPRV,stdCSL+1,2)*allOnes,OFFSET(tPrcElec,0,13,1,_maxLT))</f>
        <v>9557.7884924151858</v>
      </c>
      <c r="S157" s="28">
        <f ca="1">SUMPRODUCT(dFactor,tpSurvPRV,INDEX(tEIdxElec,15)*INDEX(elecPRV,stdCSL+1,2)*allOnes,OFFSET(tPrcElec,0,14,1,_maxLT))</f>
        <v>9591.979434645471</v>
      </c>
      <c r="T157" s="28">
        <f ca="1">SUMPRODUCT(dFactor,tpSurvPRV,INDEX(tEIdxElec,16)*INDEX(elecPRV,stdCSL+1,2)*allOnes,OFFSET(tPrcElec,0,15,1,_maxLT))</f>
        <v>9629.2527713719101</v>
      </c>
      <c r="U157" s="28">
        <f ca="1">SUMPRODUCT(dFactor,tpSurvPRV,INDEX(tEIdxElec,17)*INDEX(elecPRV,stdCSL+1,2)*allOnes,OFFSET(tPrcElec,0,16,1,_maxLT))</f>
        <v>9669.8642022350432</v>
      </c>
      <c r="V157" s="28">
        <f ca="1">SUMPRODUCT(dFactor,tpSurvPRV,INDEX(tEIdxElec,18)*INDEX(elecPRV,stdCSL+1,2)*allOnes,OFFSET(tPrcElec,0,17,1,_maxLT))</f>
        <v>9706.0400175755112</v>
      </c>
      <c r="W157" s="28">
        <f ca="1">SUMPRODUCT(dFactor,tpSurvPRV,INDEX(tEIdxElec,19)*INDEX(elecPRV,stdCSL+1,2)*allOnes,OFFSET(tPrcElec,0,18,1,_maxLT))</f>
        <v>9745.4597324834776</v>
      </c>
      <c r="X157" s="28">
        <f ca="1">SUMPRODUCT(dFactor,tpSurvPRV,INDEX(tEIdxElec,20)*INDEX(elecPRV,stdCSL+1,2)*allOnes,OFFSET(tPrcElec,0,19,1,_maxLT))</f>
        <v>9780.380323468893</v>
      </c>
      <c r="Y157" s="28">
        <f ca="1">SUMPRODUCT(dFactor,tpSurvPRV,INDEX(tEIdxElec,21)*INDEX(elecPRV,stdCSL+1,2)*allOnes,OFFSET(tPrcElec,0,20,1,_maxLT))</f>
        <v>9818.4462039491245</v>
      </c>
      <c r="Z157" s="28">
        <f ca="1">SUMPRODUCT(dFactor,tpSurvPRV,INDEX(tEIdxElec,22)*INDEX(elecPRV,stdCSL+1,2)*allOnes,OFFSET(tPrcElec,0,21,1,_maxLT))</f>
        <v>9859.9247823209353</v>
      </c>
      <c r="AA157" s="28">
        <f ca="1">SUMPRODUCT(dFactor,tpSurvPRV,INDEX(tEIdxElec,23)*INDEX(elecPRV,stdCSL+1,2)*allOnes,OFFSET(tPrcElec,0,22,1,_maxLT))</f>
        <v>9897.0305799739544</v>
      </c>
      <c r="AB157" s="28">
        <f ca="1">SUMPRODUCT(dFactor,tpSurvPRV,INDEX(tEIdxElec,24)*INDEX(elecPRV,stdCSL+1,2)*allOnes,OFFSET(tPrcElec,0,23,1,_maxLT))</f>
        <v>9937.4790482001717</v>
      </c>
      <c r="AC157" s="28">
        <f ca="1">SUMPRODUCT(dFactor,tpSurvPRV,INDEX(tEIdxElec,25)*INDEX(elecPRV,stdCSL+1,2)*allOnes,OFFSET(tPrcElec,0,24,1,_maxLT))</f>
        <v>9973.4965424961629</v>
      </c>
      <c r="AD157" s="28">
        <f ca="1">SUMPRODUCT(dFactor,tpSurvPRV,INDEX(tEIdxElec,26)*INDEX(elecPRV,stdCSL+1,2)*allOnes,OFFSET(tPrcElec,0,25,1,_maxLT))</f>
        <v>10012.760177675889</v>
      </c>
      <c r="AE157" s="28">
        <f ca="1">SUMPRODUCT(dFactor,tpSurvPRV,INDEX(tEIdxElec,27)*INDEX(elecPRV,stdCSL+1,2)*allOnes,OFFSET(tPrcElec,0,26,1,_maxLT))</f>
        <v>10055.504318476398</v>
      </c>
      <c r="AF157" s="28">
        <f ca="1">SUMPRODUCT(dFactor,tpSurvPRV,INDEX(tEIdxElec,28)*INDEX(elecPRV,stdCSL+1,2)*allOnes,OFFSET(tPrcElec,0,27,1,_maxLT))</f>
        <v>10093.988381890222</v>
      </c>
      <c r="AG157" s="28">
        <f ca="1">SUMPRODUCT(dFactor,tpSurvPRV,INDEX(tEIdxElec,29)*INDEX(elecPRV,stdCSL+1,2)*allOnes,OFFSET(tPrcElec,0,28,1,_maxLT))</f>
        <v>10135.930709168972</v>
      </c>
      <c r="AH157" s="28">
        <f ca="1">SUMPRODUCT(dFactor,tpSurvPRV,INDEX(tEIdxElec,30)*INDEX(elecPRV,stdCSL+1,2)*allOnes,OFFSET(tPrcElec,0,29,1,_maxLT))</f>
        <v>10173.558289084282</v>
      </c>
      <c r="AI157" s="28">
        <f ca="1">SUMPRODUCT(dFactor,tpSurvPRV,INDEX(tEIdxElec,31)*INDEX(elecPRV,stdCSL+1,2)*allOnes,OFFSET(tPrcElec,0,30,1,_maxLT))</f>
        <v>10214.585993688939</v>
      </c>
      <c r="AJ157" s="28">
        <f ca="1">SUMPRODUCT(dFactor,tpSurvPRV,INDEX(tEIdxElec,32)*INDEX(elecPRV,stdCSL+1,2)*allOnes,OFFSET(tPrcElec,0,31,1,_maxLT))</f>
        <v>10251.241502257075</v>
      </c>
      <c r="AK157" s="29">
        <f ca="1">SUMPRODUCT(dFactor,tpSurvPRV,INDEX(tEIdxElec,33)*INDEX(elecPRV,stdCSL+1,2)*allOnes,OFFSET(tPrcElec,0,32,1,_maxLT))</f>
        <v>10291.231269848382</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ts2bElec*SUMPRODUCT(tpSurvPRV,INDEX(tEIdxElec,1)*INDEX(elecPRV,stdCSL+1,2)*convFactor)</f>
        <v>2053.9777376675761</v>
      </c>
      <c r="F159" s="22">
        <f ca="1">ts2bElec*SUMPRODUCT(tpSurvPRV,INDEX(tEIdxElec,2)*INDEX(elecPRV,stdCSL+1,2)*convFactor)</f>
        <v>2039.8300550564354</v>
      </c>
      <c r="G159" s="22">
        <f ca="1">ts2bElec*SUMPRODUCT(tpSurvPRV,INDEX(tEIdxElec,3)*INDEX(elecPRV,stdCSL+1,2)*convFactor)</f>
        <v>2025.5781370879001</v>
      </c>
      <c r="H159" s="22">
        <f ca="1">ts2bElec*SUMPRODUCT(tpSurvPRV,INDEX(tEIdxElec,4)*INDEX(elecPRV,stdCSL+1,2)*convFactor)</f>
        <v>2013.0632323862196</v>
      </c>
      <c r="I159" s="22">
        <f ca="1">ts2bElec*SUMPRODUCT(tpSurvPRV,INDEX(tEIdxElec,5)*INDEX(elecPRV,stdCSL+1,2)*convFactor)</f>
        <v>2001.1964748636149</v>
      </c>
      <c r="J159" s="22">
        <f ca="1">ts2bElec*SUMPRODUCT(tpSurvPRV,INDEX(tEIdxElec,6)*INDEX(elecPRV,stdCSL+1,2)*convFactor)</f>
        <v>1990.8635179468549</v>
      </c>
      <c r="K159" s="22">
        <f ca="1">ts2bElec*SUMPRODUCT(tpSurvPRV,INDEX(tEIdxElec,7)*INDEX(elecPRV,stdCSL+1,2)*convFactor)</f>
        <v>1982.8523324145942</v>
      </c>
      <c r="L159" s="22">
        <f ca="1">ts2bElec*SUMPRODUCT(tpSurvPRV,INDEX(tEIdxElec,8)*INDEX(elecPRV,stdCSL+1,2)*convFactor)</f>
        <v>1976.2117142417958</v>
      </c>
      <c r="M159" s="22">
        <f ca="1">ts2bElec*SUMPRODUCT(tpSurvPRV,INDEX(tEIdxElec,9)*INDEX(elecPRV,stdCSL+1,2)*convFactor)</f>
        <v>1969.5409428402697</v>
      </c>
      <c r="N159" s="22">
        <f ca="1">ts2bElec*SUMPRODUCT(tpSurvPRV,INDEX(tEIdxElec,10)*INDEX(elecPRV,stdCSL+1,2)*convFactor)</f>
        <v>1964.204785858434</v>
      </c>
      <c r="O159" s="22">
        <f ca="1">ts2bElec*SUMPRODUCT(tpSurvPRV,INDEX(tEIdxElec,11)*INDEX(elecPRV,stdCSL+1,2)*convFactor)</f>
        <v>1960.5294217677035</v>
      </c>
      <c r="P159" s="22">
        <f ca="1">ts2bElec*SUMPRODUCT(tpSurvPRV,INDEX(tEIdxElec,12)*INDEX(elecPRV,stdCSL+1,2)*convFactor)</f>
        <v>1957.839462306408</v>
      </c>
      <c r="Q159" s="22">
        <f ca="1">ts2bElec*SUMPRODUCT(tpSurvPRV,INDEX(tEIdxElec,13)*INDEX(elecPRV,stdCSL+1,2)*convFactor)</f>
        <v>1955.5752358697798</v>
      </c>
      <c r="R159" s="22">
        <f ca="1">ts2bElec*SUMPRODUCT(tpSurvPRV,INDEX(tEIdxElec,14)*INDEX(elecPRV,stdCSL+1,2)*convFactor)</f>
        <v>1953.9046076148572</v>
      </c>
      <c r="S159" s="22">
        <f ca="1">ts2bElec*SUMPRODUCT(tpSurvPRV,INDEX(tEIdxElec,15)*INDEX(elecPRV,stdCSL+1,2)*convFactor)</f>
        <v>1952.6309132160497</v>
      </c>
      <c r="T159" s="22">
        <f ca="1">ts2bElec*SUMPRODUCT(tpSurvPRV,INDEX(tEIdxElec,16)*INDEX(elecPRV,stdCSL+1,2)*convFactor)</f>
        <v>1952.4709745032189</v>
      </c>
      <c r="U159" s="22">
        <f ca="1">ts2bElec*SUMPRODUCT(tpSurvPRV,INDEX(tEIdxElec,17)*INDEX(elecPRV,stdCSL+1,2)*convFactor)</f>
        <v>1952.7974504088413</v>
      </c>
      <c r="V159" s="22">
        <f ca="1">ts2bElec*SUMPRODUCT(tpSurvPRV,INDEX(tEIdxElec,18)*INDEX(elecPRV,stdCSL+1,2)*convFactor)</f>
        <v>1953.2775838098607</v>
      </c>
      <c r="W159" s="22">
        <f ca="1">ts2bElec*SUMPRODUCT(tpSurvPRV,INDEX(tEIdxElec,19)*INDEX(elecPRV,stdCSL+1,2)*convFactor)</f>
        <v>1953.964241095003</v>
      </c>
      <c r="X159" s="22">
        <f ca="1">ts2bElec*SUMPRODUCT(tpSurvPRV,INDEX(tEIdxElec,20)*INDEX(elecPRV,stdCSL+1,2)*convFactor)</f>
        <v>1954.6131248533736</v>
      </c>
      <c r="Y159" s="22">
        <f ca="1">ts2bElec*SUMPRODUCT(tpSurvPRV,INDEX(tEIdxElec,21)*INDEX(elecPRV,stdCSL+1,2)*convFactor)</f>
        <v>1955.1507597406755</v>
      </c>
      <c r="Z159" s="22">
        <f ca="1">ts2bElec*SUMPRODUCT(tpSurvPRV,INDEX(tEIdxElec,22)*INDEX(elecPRV,stdCSL+1,2)*convFactor)</f>
        <v>1955.5110511299874</v>
      </c>
      <c r="AA159" s="22">
        <f ca="1">ts2bElec*SUMPRODUCT(tpSurvPRV,INDEX(tEIdxElec,23)*INDEX(elecPRV,stdCSL+1,2)*convFactor)</f>
        <v>1955.7485071389194</v>
      </c>
      <c r="AB159" s="22">
        <f ca="1">ts2bElec*SUMPRODUCT(tpSurvPRV,INDEX(tEIdxElec,24)*INDEX(elecPRV,stdCSL+1,2)*convFactor)</f>
        <v>1955.7485071389194</v>
      </c>
      <c r="AC159" s="22">
        <f ca="1">ts2bElec*SUMPRODUCT(tpSurvPRV,INDEX(tEIdxElec,25)*INDEX(elecPRV,stdCSL+1,2)*convFactor)</f>
        <v>1955.7485071389194</v>
      </c>
      <c r="AD159" s="22">
        <f ca="1">ts2bElec*SUMPRODUCT(tpSurvPRV,INDEX(tEIdxElec,26)*INDEX(elecPRV,stdCSL+1,2)*convFactor)</f>
        <v>1955.7485071389194</v>
      </c>
      <c r="AE159" s="22">
        <f ca="1">ts2bElec*SUMPRODUCT(tpSurvPRV,INDEX(tEIdxElec,27)*INDEX(elecPRV,stdCSL+1,2)*convFactor)</f>
        <v>1955.7485071389194</v>
      </c>
      <c r="AF159" s="22">
        <f ca="1">ts2bElec*SUMPRODUCT(tpSurvPRV,INDEX(tEIdxElec,28)*INDEX(elecPRV,stdCSL+1,2)*convFactor)</f>
        <v>1955.7485071389194</v>
      </c>
      <c r="AG159" s="22">
        <f ca="1">ts2bElec*SUMPRODUCT(tpSurvPRV,INDEX(tEIdxElec,29)*INDEX(elecPRV,stdCSL+1,2)*convFactor)</f>
        <v>1955.7485071389194</v>
      </c>
      <c r="AH159" s="22">
        <f ca="1">ts2bElec*SUMPRODUCT(tpSurvPRV,INDEX(tEIdxElec,30)*INDEX(elecPRV,stdCSL+1,2)*convFactor)</f>
        <v>1955.7485071389194</v>
      </c>
      <c r="AI159" s="22">
        <f ca="1">ts2bElec*SUMPRODUCT(tpSurvPRV,INDEX(tEIdxElec,31)*INDEX(elecPRV,stdCSL+1,2)*convFactor)</f>
        <v>1955.7485071389194</v>
      </c>
      <c r="AJ159" s="22">
        <f ca="1">ts2bElec*SUMPRODUCT(tpSurvPRV,INDEX(tEIdxElec,32)*INDEX(elecPRV,stdCSL+1,2)*convFactor)</f>
        <v>1955.7485071389194</v>
      </c>
      <c r="AK159" s="25">
        <f ca="1">ts2bElec*SUMPRODUCT(tpSurvPRV,INDEX(tEIdxElec,33)*INDEX(elecPRV,stdCSL+1,2)*convFactor)</f>
        <v>1955.7485071389194</v>
      </c>
      <c r="AL159" s="3"/>
    </row>
    <row r="160" spans="2:38">
      <c r="B160" s="3"/>
      <c r="C160" s="30" t="str">
        <f>"EL 2: " &amp; INDEX(_doName,7,3)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(1+INDEX(vadPRV,stdCSL+1,3))*INDEX(mspPRV,stdCSL+1,3)*tPIdxAll + INDEX(instPRV,stdCSL+1,3) + SUMPRODUCT(dFactor,tpSurvPRV,INDEX(mrPRV,stdCSL+1,3)*allOnes)</f>
        <v>2396.392218</v>
      </c>
      <c r="F161" s="28">
        <f ca="1"/>
        <v>2396.392218</v>
      </c>
      <c r="G161" s="28">
        <f ca="1"/>
        <v>2396.392218</v>
      </c>
      <c r="H161" s="28">
        <f ca="1"/>
        <v>2396.392218</v>
      </c>
      <c r="I161" s="28">
        <f ca="1"/>
        <v>2396.392218</v>
      </c>
      <c r="J161" s="28">
        <f ca="1"/>
        <v>2396.392218</v>
      </c>
      <c r="K161" s="28">
        <f ca="1"/>
        <v>2396.392218</v>
      </c>
      <c r="L161" s="28">
        <f ca="1"/>
        <v>2396.392218</v>
      </c>
      <c r="M161" s="28">
        <f ca="1"/>
        <v>2396.392218</v>
      </c>
      <c r="N161" s="28">
        <f ca="1"/>
        <v>2396.392218</v>
      </c>
      <c r="O161" s="28">
        <f ca="1"/>
        <v>2396.392218</v>
      </c>
      <c r="P161" s="28">
        <f ca="1"/>
        <v>2396.392218</v>
      </c>
      <c r="Q161" s="28">
        <f ca="1"/>
        <v>2396.392218</v>
      </c>
      <c r="R161" s="28">
        <f ca="1"/>
        <v>2396.392218</v>
      </c>
      <c r="S161" s="28">
        <f ca="1"/>
        <v>2396.392218</v>
      </c>
      <c r="T161" s="28">
        <f ca="1"/>
        <v>2396.392218</v>
      </c>
      <c r="U161" s="28">
        <f ca="1"/>
        <v>2396.392218</v>
      </c>
      <c r="V161" s="28">
        <f ca="1"/>
        <v>2396.392218</v>
      </c>
      <c r="W161" s="28">
        <f ca="1"/>
        <v>2396.392218</v>
      </c>
      <c r="X161" s="28">
        <f ca="1"/>
        <v>2396.392218</v>
      </c>
      <c r="Y161" s="28">
        <f ca="1"/>
        <v>2396.392218</v>
      </c>
      <c r="Z161" s="28">
        <f ca="1"/>
        <v>2396.392218</v>
      </c>
      <c r="AA161" s="28">
        <f ca="1"/>
        <v>2396.392218</v>
      </c>
      <c r="AB161" s="28">
        <f ca="1"/>
        <v>2396.392218</v>
      </c>
      <c r="AC161" s="28">
        <f ca="1"/>
        <v>2396.392218</v>
      </c>
      <c r="AD161" s="28">
        <f ca="1"/>
        <v>2396.392218</v>
      </c>
      <c r="AE161" s="28">
        <f ca="1"/>
        <v>2396.392218</v>
      </c>
      <c r="AF161" s="28">
        <f ca="1"/>
        <v>2396.392218</v>
      </c>
      <c r="AG161" s="28">
        <f ca="1"/>
        <v>2396.392218</v>
      </c>
      <c r="AH161" s="28">
        <f ca="1"/>
        <v>2396.392218</v>
      </c>
      <c r="AI161" s="28">
        <f ca="1"/>
        <v>2396.392218</v>
      </c>
      <c r="AJ161" s="28">
        <f ca="1"/>
        <v>2396.392218</v>
      </c>
      <c r="AK161" s="29">
        <f ca="1"/>
        <v>2396.392218</v>
      </c>
      <c r="AL161" s="3"/>
    </row>
    <row r="162" spans="2:38">
      <c r="B162" s="3"/>
      <c r="C162" s="23" t="s">
        <v>47</v>
      </c>
      <c r="D162" s="16" t="str">
        <f>_yearDol &amp; "$"</f>
        <v>2013$</v>
      </c>
      <c r="E162" s="141">
        <f t="array" aca="1" ref="E162:AK162" ca="1">(tlccEFupolElec2)</f>
        <v>24264.029749272682</v>
      </c>
      <c r="F162" s="28">
        <f ca="1"/>
        <v>24370.688849480579</v>
      </c>
      <c r="G162" s="28">
        <f ca="1"/>
        <v>24465.271032818713</v>
      </c>
      <c r="H162" s="28">
        <f ca="1"/>
        <v>24568.232708294894</v>
      </c>
      <c r="I162" s="28">
        <f ca="1"/>
        <v>24658.884286571585</v>
      </c>
      <c r="J162" s="28">
        <f ca="1"/>
        <v>24757.67390146917</v>
      </c>
      <c r="K162" s="28">
        <f ca="1"/>
        <v>24843.899688644568</v>
      </c>
      <c r="L162" s="28">
        <f ca="1"/>
        <v>24937.981366357024</v>
      </c>
      <c r="M162" s="28">
        <f ca="1"/>
        <v>25040.435610666391</v>
      </c>
      <c r="N162" s="28">
        <f ca="1"/>
        <v>25130.572451545606</v>
      </c>
      <c r="O162" s="28">
        <f ca="1"/>
        <v>25228.835947631083</v>
      </c>
      <c r="P162" s="28">
        <f ca="1"/>
        <v>25335.850621541776</v>
      </c>
      <c r="Q162" s="28">
        <f ca="1"/>
        <v>25430.901377198439</v>
      </c>
      <c r="R162" s="28">
        <f ca="1"/>
        <v>25534.431107562599</v>
      </c>
      <c r="S162" s="28">
        <f ca="1"/>
        <v>25625.775068519113</v>
      </c>
      <c r="T162" s="28">
        <f ca="1"/>
        <v>25725.353904098665</v>
      </c>
      <c r="U162" s="28">
        <f ca="1"/>
        <v>25833.850737270586</v>
      </c>
      <c r="V162" s="28">
        <f ca="1"/>
        <v>25930.497452701067</v>
      </c>
      <c r="W162" s="28">
        <f ca="1"/>
        <v>26035.810517056496</v>
      </c>
      <c r="X162" s="28">
        <f ca="1"/>
        <v>26129.10379567006</v>
      </c>
      <c r="Y162" s="28">
        <f ca="1"/>
        <v>26230.799978154362</v>
      </c>
      <c r="Z162" s="28">
        <f ca="1"/>
        <v>26341.613468400064</v>
      </c>
      <c r="AA162" s="28">
        <f ca="1"/>
        <v>26440.744709336614</v>
      </c>
      <c r="AB162" s="28">
        <f ca="1"/>
        <v>26548.806174198297</v>
      </c>
      <c r="AC162" s="28">
        <f ca="1"/>
        <v>26645.029921720863</v>
      </c>
      <c r="AD162" s="28">
        <f ca="1"/>
        <v>26749.926006032088</v>
      </c>
      <c r="AE162" s="28">
        <f ca="1"/>
        <v>26864.120552122829</v>
      </c>
      <c r="AF162" s="28">
        <f ca="1"/>
        <v>26966.933945279543</v>
      </c>
      <c r="AG162" s="28">
        <f ca="1"/>
        <v>27078.986379505302</v>
      </c>
      <c r="AH162" s="28">
        <f ca="1"/>
        <v>27179.511605383021</v>
      </c>
      <c r="AI162" s="28">
        <f ca="1"/>
        <v>27289.1205486611</v>
      </c>
      <c r="AJ162" s="28">
        <f ca="1"/>
        <v>27387.048804657621</v>
      </c>
      <c r="AK162" s="29">
        <f ca="1"/>
        <v>27493.884812420092</v>
      </c>
      <c r="AL162" s="3"/>
    </row>
    <row r="163" spans="2:38">
      <c r="B163" s="3"/>
      <c r="C163" s="27" t="str">
        <f>INDEX(_fuel,1)</f>
        <v>Electricity</v>
      </c>
      <c r="D163" s="16" t="str">
        <f>_yearDol &amp; "$"</f>
        <v>2013$</v>
      </c>
      <c r="E163" s="141">
        <f ca="1">SUMPRODUCT(dFactor,tpSurvPRV,INDEX(tEIdxElec,1)*INDEX(elecPRV,stdCSL+1,3)*allOnes,OFFSET(tPrcElec,0,0,1,_maxLT))</f>
        <v>24264.029749272682</v>
      </c>
      <c r="F163" s="28">
        <f ca="1">SUMPRODUCT(dFactor,tpSurvPRV,INDEX(tEIdxElec,2)*INDEX(elecPRV,stdCSL+1,3)*allOnes,OFFSET(tPrcElec,0,1,1,_maxLT))</f>
        <v>24370.688849480579</v>
      </c>
      <c r="G163" s="28">
        <f ca="1">SUMPRODUCT(dFactor,tpSurvPRV,INDEX(tEIdxElec,3)*INDEX(elecPRV,stdCSL+1,3)*allOnes,OFFSET(tPrcElec,0,2,1,_maxLT))</f>
        <v>24465.271032818713</v>
      </c>
      <c r="H163" s="28">
        <f ca="1">SUMPRODUCT(dFactor,tpSurvPRV,INDEX(tEIdxElec,4)*INDEX(elecPRV,stdCSL+1,3)*allOnes,OFFSET(tPrcElec,0,3,1,_maxLT))</f>
        <v>24568.232708294894</v>
      </c>
      <c r="I163" s="28">
        <f ca="1">SUMPRODUCT(dFactor,tpSurvPRV,INDEX(tEIdxElec,5)*INDEX(elecPRV,stdCSL+1,3)*allOnes,OFFSET(tPrcElec,0,4,1,_maxLT))</f>
        <v>24658.884286571585</v>
      </c>
      <c r="J163" s="28">
        <f ca="1">SUMPRODUCT(dFactor,tpSurvPRV,INDEX(tEIdxElec,6)*INDEX(elecPRV,stdCSL+1,3)*allOnes,OFFSET(tPrcElec,0,5,1,_maxLT))</f>
        <v>24757.67390146917</v>
      </c>
      <c r="K163" s="28">
        <f ca="1">SUMPRODUCT(dFactor,tpSurvPRV,INDEX(tEIdxElec,7)*INDEX(elecPRV,stdCSL+1,3)*allOnes,OFFSET(tPrcElec,0,6,1,_maxLT))</f>
        <v>24843.899688644568</v>
      </c>
      <c r="L163" s="28">
        <f ca="1">SUMPRODUCT(dFactor,tpSurvPRV,INDEX(tEIdxElec,8)*INDEX(elecPRV,stdCSL+1,3)*allOnes,OFFSET(tPrcElec,0,7,1,_maxLT))</f>
        <v>24937.981366357024</v>
      </c>
      <c r="M163" s="28">
        <f ca="1">SUMPRODUCT(dFactor,tpSurvPRV,INDEX(tEIdxElec,9)*INDEX(elecPRV,stdCSL+1,3)*allOnes,OFFSET(tPrcElec,0,8,1,_maxLT))</f>
        <v>25040.435610666391</v>
      </c>
      <c r="N163" s="28">
        <f ca="1">SUMPRODUCT(dFactor,tpSurvPRV,INDEX(tEIdxElec,10)*INDEX(elecPRV,stdCSL+1,3)*allOnes,OFFSET(tPrcElec,0,9,1,_maxLT))</f>
        <v>25130.572451545606</v>
      </c>
      <c r="O163" s="28">
        <f ca="1">SUMPRODUCT(dFactor,tpSurvPRV,INDEX(tEIdxElec,11)*INDEX(elecPRV,stdCSL+1,3)*allOnes,OFFSET(tPrcElec,0,10,1,_maxLT))</f>
        <v>25228.835947631083</v>
      </c>
      <c r="P163" s="28">
        <f ca="1">SUMPRODUCT(dFactor,tpSurvPRV,INDEX(tEIdxElec,12)*INDEX(elecPRV,stdCSL+1,3)*allOnes,OFFSET(tPrcElec,0,11,1,_maxLT))</f>
        <v>25335.850621541776</v>
      </c>
      <c r="Q163" s="28">
        <f ca="1">SUMPRODUCT(dFactor,tpSurvPRV,INDEX(tEIdxElec,13)*INDEX(elecPRV,stdCSL+1,3)*allOnes,OFFSET(tPrcElec,0,12,1,_maxLT))</f>
        <v>25430.901377198439</v>
      </c>
      <c r="R163" s="28">
        <f ca="1">SUMPRODUCT(dFactor,tpSurvPRV,INDEX(tEIdxElec,14)*INDEX(elecPRV,stdCSL+1,3)*allOnes,OFFSET(tPrcElec,0,13,1,_maxLT))</f>
        <v>25534.431107562599</v>
      </c>
      <c r="S163" s="28">
        <f ca="1">SUMPRODUCT(dFactor,tpSurvPRV,INDEX(tEIdxElec,15)*INDEX(elecPRV,stdCSL+1,3)*allOnes,OFFSET(tPrcElec,0,14,1,_maxLT))</f>
        <v>25625.775068519113</v>
      </c>
      <c r="T163" s="28">
        <f ca="1">SUMPRODUCT(dFactor,tpSurvPRV,INDEX(tEIdxElec,16)*INDEX(elecPRV,stdCSL+1,3)*allOnes,OFFSET(tPrcElec,0,15,1,_maxLT))</f>
        <v>25725.353904098665</v>
      </c>
      <c r="U163" s="28">
        <f ca="1">SUMPRODUCT(dFactor,tpSurvPRV,INDEX(tEIdxElec,17)*INDEX(elecPRV,stdCSL+1,3)*allOnes,OFFSET(tPrcElec,0,16,1,_maxLT))</f>
        <v>25833.850737270586</v>
      </c>
      <c r="V163" s="28">
        <f ca="1">SUMPRODUCT(dFactor,tpSurvPRV,INDEX(tEIdxElec,18)*INDEX(elecPRV,stdCSL+1,3)*allOnes,OFFSET(tPrcElec,0,17,1,_maxLT))</f>
        <v>25930.497452701067</v>
      </c>
      <c r="W163" s="28">
        <f ca="1">SUMPRODUCT(dFactor,tpSurvPRV,INDEX(tEIdxElec,19)*INDEX(elecPRV,stdCSL+1,3)*allOnes,OFFSET(tPrcElec,0,18,1,_maxLT))</f>
        <v>26035.810517056496</v>
      </c>
      <c r="X163" s="28">
        <f ca="1">SUMPRODUCT(dFactor,tpSurvPRV,INDEX(tEIdxElec,20)*INDEX(elecPRV,stdCSL+1,3)*allOnes,OFFSET(tPrcElec,0,19,1,_maxLT))</f>
        <v>26129.10379567006</v>
      </c>
      <c r="Y163" s="28">
        <f ca="1">SUMPRODUCT(dFactor,tpSurvPRV,INDEX(tEIdxElec,21)*INDEX(elecPRV,stdCSL+1,3)*allOnes,OFFSET(tPrcElec,0,20,1,_maxLT))</f>
        <v>26230.799978154362</v>
      </c>
      <c r="Z163" s="28">
        <f ca="1">SUMPRODUCT(dFactor,tpSurvPRV,INDEX(tEIdxElec,22)*INDEX(elecPRV,stdCSL+1,3)*allOnes,OFFSET(tPrcElec,0,21,1,_maxLT))</f>
        <v>26341.613468400064</v>
      </c>
      <c r="AA163" s="28">
        <f ca="1">SUMPRODUCT(dFactor,tpSurvPRV,INDEX(tEIdxElec,23)*INDEX(elecPRV,stdCSL+1,3)*allOnes,OFFSET(tPrcElec,0,22,1,_maxLT))</f>
        <v>26440.744709336614</v>
      </c>
      <c r="AB163" s="28">
        <f ca="1">SUMPRODUCT(dFactor,tpSurvPRV,INDEX(tEIdxElec,24)*INDEX(elecPRV,stdCSL+1,3)*allOnes,OFFSET(tPrcElec,0,23,1,_maxLT))</f>
        <v>26548.806174198297</v>
      </c>
      <c r="AC163" s="28">
        <f ca="1">SUMPRODUCT(dFactor,tpSurvPRV,INDEX(tEIdxElec,25)*INDEX(elecPRV,stdCSL+1,3)*allOnes,OFFSET(tPrcElec,0,24,1,_maxLT))</f>
        <v>26645.029921720863</v>
      </c>
      <c r="AD163" s="28">
        <f ca="1">SUMPRODUCT(dFactor,tpSurvPRV,INDEX(tEIdxElec,26)*INDEX(elecPRV,stdCSL+1,3)*allOnes,OFFSET(tPrcElec,0,25,1,_maxLT))</f>
        <v>26749.926006032088</v>
      </c>
      <c r="AE163" s="28">
        <f ca="1">SUMPRODUCT(dFactor,tpSurvPRV,INDEX(tEIdxElec,27)*INDEX(elecPRV,stdCSL+1,3)*allOnes,OFFSET(tPrcElec,0,26,1,_maxLT))</f>
        <v>26864.120552122829</v>
      </c>
      <c r="AF163" s="28">
        <f ca="1">SUMPRODUCT(dFactor,tpSurvPRV,INDEX(tEIdxElec,28)*INDEX(elecPRV,stdCSL+1,3)*allOnes,OFFSET(tPrcElec,0,27,1,_maxLT))</f>
        <v>26966.933945279543</v>
      </c>
      <c r="AG163" s="28">
        <f ca="1">SUMPRODUCT(dFactor,tpSurvPRV,INDEX(tEIdxElec,29)*INDEX(elecPRV,stdCSL+1,3)*allOnes,OFFSET(tPrcElec,0,28,1,_maxLT))</f>
        <v>27078.986379505302</v>
      </c>
      <c r="AH163" s="28">
        <f ca="1">SUMPRODUCT(dFactor,tpSurvPRV,INDEX(tEIdxElec,30)*INDEX(elecPRV,stdCSL+1,3)*allOnes,OFFSET(tPrcElec,0,29,1,_maxLT))</f>
        <v>27179.511605383021</v>
      </c>
      <c r="AI163" s="28">
        <f ca="1">SUMPRODUCT(dFactor,tpSurvPRV,INDEX(tEIdxElec,31)*INDEX(elecPRV,stdCSL+1,3)*allOnes,OFFSET(tPrcElec,0,30,1,_maxLT))</f>
        <v>27289.1205486611</v>
      </c>
      <c r="AJ163" s="28">
        <f ca="1">SUMPRODUCT(dFactor,tpSurvPRV,INDEX(tEIdxElec,32)*INDEX(elecPRV,stdCSL+1,3)*allOnes,OFFSET(tPrcElec,0,31,1,_maxLT))</f>
        <v>27387.048804657621</v>
      </c>
      <c r="AK163" s="29">
        <f ca="1">SUMPRODUCT(dFactor,tpSurvPRV,INDEX(tEIdxElec,33)*INDEX(elecPRV,stdCSL+1,3)*allOnes,OFFSET(tPrcElec,0,32,1,_maxLT))</f>
        <v>27493.884812420092</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ts2bElec*SUMPRODUCT(tpSurvPRV,INDEX(tEIdxElec,1)*INDEX(elecPRV,stdCSL+1,3)*convFactor)</f>
        <v>5487.373264281875</v>
      </c>
      <c r="F165" s="22">
        <f ca="1">ts2bElec*SUMPRODUCT(tpSurvPRV,INDEX(tEIdxElec,2)*INDEX(elecPRV,stdCSL+1,3)*convFactor)</f>
        <v>5449.5765472638595</v>
      </c>
      <c r="G165" s="22">
        <f ca="1">ts2bElec*SUMPRODUCT(tpSurvPRV,INDEX(tEIdxElec,3)*INDEX(elecPRV,stdCSL+1,3)*convFactor)</f>
        <v>5411.5013567731958</v>
      </c>
      <c r="H165" s="22">
        <f ca="1">ts2bElec*SUMPRODUCT(tpSurvPRV,INDEX(tEIdxElec,4)*INDEX(elecPRV,stdCSL+1,3)*convFactor)</f>
        <v>5378.0667424608619</v>
      </c>
      <c r="I165" s="22">
        <f ca="1">ts2bElec*SUMPRODUCT(tpSurvPRV,INDEX(tEIdxElec,5)*INDEX(elecPRV,stdCSL+1,3)*convFactor)</f>
        <v>5346.3637075305978</v>
      </c>
      <c r="J165" s="22">
        <f ca="1">ts2bElec*SUMPRODUCT(tpSurvPRV,INDEX(tEIdxElec,6)*INDEX(elecPRV,stdCSL+1,3)*convFactor)</f>
        <v>5318.7583491636706</v>
      </c>
      <c r="K165" s="22">
        <f ca="1">ts2bElec*SUMPRODUCT(tpSurvPRV,INDEX(tEIdxElec,7)*INDEX(elecPRV,stdCSL+1,3)*convFactor)</f>
        <v>5297.355797179418</v>
      </c>
      <c r="L165" s="22">
        <f ca="1">ts2bElec*SUMPRODUCT(tpSurvPRV,INDEX(tEIdxElec,8)*INDEX(elecPRV,stdCSL+1,3)*convFactor)</f>
        <v>5279.6148304924573</v>
      </c>
      <c r="M165" s="22">
        <f ca="1">ts2bElec*SUMPRODUCT(tpSurvPRV,INDEX(tEIdxElec,9)*INDEX(elecPRV,stdCSL+1,3)*convFactor)</f>
        <v>5261.7933069337669</v>
      </c>
      <c r="N165" s="22">
        <f ca="1">ts2bElec*SUMPRODUCT(tpSurvPRV,INDEX(tEIdxElec,10)*INDEX(elecPRV,stdCSL+1,3)*convFactor)</f>
        <v>5247.5373173876542</v>
      </c>
      <c r="O165" s="22">
        <f ca="1">ts2bElec*SUMPRODUCT(tpSurvPRV,INDEX(tEIdxElec,11)*INDEX(elecPRV,stdCSL+1,3)*convFactor)</f>
        <v>5237.7182749130852</v>
      </c>
      <c r="P165" s="22">
        <f ca="1">ts2bElec*SUMPRODUCT(tpSurvPRV,INDEX(tEIdxElec,12)*INDEX(elecPRV,stdCSL+1,3)*convFactor)</f>
        <v>5230.5318232981444</v>
      </c>
      <c r="Q165" s="22">
        <f ca="1">ts2bElec*SUMPRODUCT(tpSurvPRV,INDEX(tEIdxElec,13)*INDEX(elecPRV,stdCSL+1,3)*convFactor)</f>
        <v>5224.4827530551811</v>
      </c>
      <c r="R165" s="22">
        <f ca="1">ts2bElec*SUMPRODUCT(tpSurvPRV,INDEX(tEIdxElec,14)*INDEX(elecPRV,stdCSL+1,3)*convFactor)</f>
        <v>5220.019529986841</v>
      </c>
      <c r="S165" s="22">
        <f ca="1">ts2bElec*SUMPRODUCT(tpSurvPRV,INDEX(tEIdxElec,15)*INDEX(elecPRV,stdCSL+1,3)*convFactor)</f>
        <v>5216.6167489037216</v>
      </c>
      <c r="T165" s="22">
        <f ca="1">ts2bElec*SUMPRODUCT(tpSurvPRV,INDEX(tEIdxElec,16)*INDEX(elecPRV,stdCSL+1,3)*convFactor)</f>
        <v>5216.1894592595281</v>
      </c>
      <c r="U165" s="22">
        <f ca="1">ts2bElec*SUMPRODUCT(tpSurvPRV,INDEX(tEIdxElec,17)*INDEX(elecPRV,stdCSL+1,3)*convFactor)</f>
        <v>5217.0616669388473</v>
      </c>
      <c r="V165" s="22">
        <f ca="1">ts2bElec*SUMPRODUCT(tpSurvPRV,INDEX(tEIdxElec,18)*INDEX(elecPRV,stdCSL+1,3)*convFactor)</f>
        <v>5218.3443834647978</v>
      </c>
      <c r="W165" s="22">
        <f ca="1">ts2bElec*SUMPRODUCT(tpSurvPRV,INDEX(tEIdxElec,19)*INDEX(elecPRV,stdCSL+1,3)*convFactor)</f>
        <v>5220.1788458151505</v>
      </c>
      <c r="X165" s="22">
        <f ca="1">ts2bElec*SUMPRODUCT(tpSurvPRV,INDEX(tEIdxElec,20)*INDEX(elecPRV,stdCSL+1,3)*convFactor)</f>
        <v>5221.9123930303967</v>
      </c>
      <c r="Y165" s="22">
        <f ca="1">ts2bElec*SUMPRODUCT(tpSurvPRV,INDEX(tEIdxElec,21)*INDEX(elecPRV,stdCSL+1,3)*convFactor)</f>
        <v>5223.3487295847917</v>
      </c>
      <c r="Z165" s="22">
        <f ca="1">ts2bElec*SUMPRODUCT(tpSurvPRV,INDEX(tEIdxElec,22)*INDEX(elecPRV,stdCSL+1,3)*convFactor)</f>
        <v>5224.3112781561831</v>
      </c>
      <c r="AA165" s="22">
        <f ca="1">ts2bElec*SUMPRODUCT(tpSurvPRV,INDEX(tEIdxElec,23)*INDEX(elecPRV,stdCSL+1,3)*convFactor)</f>
        <v>5224.9456617383221</v>
      </c>
      <c r="AB165" s="22">
        <f ca="1">ts2bElec*SUMPRODUCT(tpSurvPRV,INDEX(tEIdxElec,24)*INDEX(elecPRV,stdCSL+1,3)*convFactor)</f>
        <v>5224.9456617383221</v>
      </c>
      <c r="AC165" s="22">
        <f ca="1">ts2bElec*SUMPRODUCT(tpSurvPRV,INDEX(tEIdxElec,25)*INDEX(elecPRV,stdCSL+1,3)*convFactor)</f>
        <v>5224.9456617383221</v>
      </c>
      <c r="AD165" s="22">
        <f ca="1">ts2bElec*SUMPRODUCT(tpSurvPRV,INDEX(tEIdxElec,26)*INDEX(elecPRV,stdCSL+1,3)*convFactor)</f>
        <v>5224.9456617383221</v>
      </c>
      <c r="AE165" s="22">
        <f ca="1">ts2bElec*SUMPRODUCT(tpSurvPRV,INDEX(tEIdxElec,27)*INDEX(elecPRV,stdCSL+1,3)*convFactor)</f>
        <v>5224.9456617383221</v>
      </c>
      <c r="AF165" s="22">
        <f ca="1">ts2bElec*SUMPRODUCT(tpSurvPRV,INDEX(tEIdxElec,28)*INDEX(elecPRV,stdCSL+1,3)*convFactor)</f>
        <v>5224.9456617383221</v>
      </c>
      <c r="AG165" s="22">
        <f ca="1">ts2bElec*SUMPRODUCT(tpSurvPRV,INDEX(tEIdxElec,29)*INDEX(elecPRV,stdCSL+1,3)*convFactor)</f>
        <v>5224.9456617383221</v>
      </c>
      <c r="AH165" s="22">
        <f ca="1">ts2bElec*SUMPRODUCT(tpSurvPRV,INDEX(tEIdxElec,30)*INDEX(elecPRV,stdCSL+1,3)*convFactor)</f>
        <v>5224.9456617383221</v>
      </c>
      <c r="AI165" s="22">
        <f ca="1">ts2bElec*SUMPRODUCT(tpSurvPRV,INDEX(tEIdxElec,31)*INDEX(elecPRV,stdCSL+1,3)*convFactor)</f>
        <v>5224.9456617383221</v>
      </c>
      <c r="AJ165" s="22">
        <f ca="1">ts2bElec*SUMPRODUCT(tpSurvPRV,INDEX(tEIdxElec,32)*INDEX(elecPRV,stdCSL+1,3)*convFactor)</f>
        <v>5224.9456617383221</v>
      </c>
      <c r="AK165" s="25">
        <f ca="1">ts2bElec*SUMPRODUCT(tpSurvPRV,INDEX(tEIdxElec,33)*INDEX(elecPRV,stdCSL+1,3)*convFactor)</f>
        <v>5224.9456617383221</v>
      </c>
      <c r="AL165" s="3"/>
    </row>
    <row r="166" spans="2:38">
      <c r="B166" s="3"/>
      <c r="C166" s="30" t="str">
        <f>"EL 3: " &amp; INDEX(_doName,7,4)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(1+INDEX(vadPRV,stdCSL+1,4))*INDEX(mspPRV,stdCSL+1,4)*tPIdxAll + INDEX(instPRV,stdCSL+1,4) + SUMPRODUCT(dFactor,tpSurvPRV,INDEX(mrPRV,stdCSL+1,4)*allOnes)</f>
        <v>2337.5016719999999</v>
      </c>
      <c r="F167" s="28">
        <f ca="1"/>
        <v>2337.5016719999999</v>
      </c>
      <c r="G167" s="28">
        <f ca="1"/>
        <v>2337.5016719999999</v>
      </c>
      <c r="H167" s="28">
        <f ca="1"/>
        <v>2337.5016719999999</v>
      </c>
      <c r="I167" s="28">
        <f ca="1"/>
        <v>2337.5016719999999</v>
      </c>
      <c r="J167" s="28">
        <f ca="1"/>
        <v>2337.5016719999999</v>
      </c>
      <c r="K167" s="28">
        <f ca="1"/>
        <v>2337.5016719999999</v>
      </c>
      <c r="L167" s="28">
        <f ca="1"/>
        <v>2337.5016719999999</v>
      </c>
      <c r="M167" s="28">
        <f ca="1"/>
        <v>2337.5016719999999</v>
      </c>
      <c r="N167" s="28">
        <f ca="1"/>
        <v>2337.5016719999999</v>
      </c>
      <c r="O167" s="28">
        <f ca="1"/>
        <v>2337.5016719999999</v>
      </c>
      <c r="P167" s="28">
        <f ca="1"/>
        <v>2337.5016719999999</v>
      </c>
      <c r="Q167" s="28">
        <f ca="1"/>
        <v>2337.5016719999999</v>
      </c>
      <c r="R167" s="28">
        <f ca="1"/>
        <v>2337.5016719999999</v>
      </c>
      <c r="S167" s="28">
        <f ca="1"/>
        <v>2337.5016719999999</v>
      </c>
      <c r="T167" s="28">
        <f ca="1"/>
        <v>2337.5016719999999</v>
      </c>
      <c r="U167" s="28">
        <f ca="1"/>
        <v>2337.5016719999999</v>
      </c>
      <c r="V167" s="28">
        <f ca="1"/>
        <v>2337.5016719999999</v>
      </c>
      <c r="W167" s="28">
        <f ca="1"/>
        <v>2337.5016719999999</v>
      </c>
      <c r="X167" s="28">
        <f ca="1"/>
        <v>2337.5016719999999</v>
      </c>
      <c r="Y167" s="28">
        <f ca="1"/>
        <v>2337.5016719999999</v>
      </c>
      <c r="Z167" s="28">
        <f ca="1"/>
        <v>2337.5016719999999</v>
      </c>
      <c r="AA167" s="28">
        <f ca="1"/>
        <v>2337.5016719999999</v>
      </c>
      <c r="AB167" s="28">
        <f ca="1"/>
        <v>2337.5016719999999</v>
      </c>
      <c r="AC167" s="28">
        <f ca="1"/>
        <v>2337.5016719999999</v>
      </c>
      <c r="AD167" s="28">
        <f ca="1"/>
        <v>2337.5016719999999</v>
      </c>
      <c r="AE167" s="28">
        <f ca="1"/>
        <v>2337.5016719999999</v>
      </c>
      <c r="AF167" s="28">
        <f ca="1"/>
        <v>2337.5016719999999</v>
      </c>
      <c r="AG167" s="28">
        <f ca="1"/>
        <v>2337.5016719999999</v>
      </c>
      <c r="AH167" s="28">
        <f ca="1"/>
        <v>2337.5016719999999</v>
      </c>
      <c r="AI167" s="28">
        <f ca="1"/>
        <v>2337.5016719999999</v>
      </c>
      <c r="AJ167" s="28">
        <f ca="1"/>
        <v>2337.5016719999999</v>
      </c>
      <c r="AK167" s="29">
        <f ca="1"/>
        <v>2337.5016719999999</v>
      </c>
      <c r="AL167" s="3"/>
    </row>
    <row r="168" spans="2:38">
      <c r="B168" s="3"/>
      <c r="C168" s="23" t="s">
        <v>47</v>
      </c>
      <c r="D168" s="16" t="str">
        <f>_yearDol &amp; "$"</f>
        <v>2013$</v>
      </c>
      <c r="E168" s="141">
        <f t="array" aca="1" ref="E168:AK168" ca="1">(tlccEFupolElec3)</f>
        <v>27447.903135980348</v>
      </c>
      <c r="F168" s="28">
        <f ca="1"/>
        <v>27568.557812113238</v>
      </c>
      <c r="G168" s="28">
        <f ca="1"/>
        <v>27675.550864523775</v>
      </c>
      <c r="H168" s="28">
        <f ca="1"/>
        <v>27792.022947866539</v>
      </c>
      <c r="I168" s="28">
        <f ca="1"/>
        <v>27894.569629739814</v>
      </c>
      <c r="J168" s="28">
        <f ca="1"/>
        <v>28006.322203758591</v>
      </c>
      <c r="K168" s="28">
        <f ca="1"/>
        <v>28103.862351816009</v>
      </c>
      <c r="L168" s="28">
        <f ca="1"/>
        <v>28210.289223337601</v>
      </c>
      <c r="M168" s="28">
        <f ca="1"/>
        <v>28326.187291495811</v>
      </c>
      <c r="N168" s="28">
        <f ca="1"/>
        <v>28428.151693246116</v>
      </c>
      <c r="O168" s="28">
        <f ca="1"/>
        <v>28539.309112282735</v>
      </c>
      <c r="P168" s="28">
        <f ca="1"/>
        <v>28660.366019728906</v>
      </c>
      <c r="Q168" s="28">
        <f ca="1"/>
        <v>28767.889129501877</v>
      </c>
      <c r="R168" s="28">
        <f ca="1"/>
        <v>28885.003806663652</v>
      </c>
      <c r="S168" s="28">
        <f ca="1"/>
        <v>28988.333724171116</v>
      </c>
      <c r="T168" s="28">
        <f ca="1"/>
        <v>29100.979078698958</v>
      </c>
      <c r="U168" s="28">
        <f ca="1"/>
        <v>29223.712631131792</v>
      </c>
      <c r="V168" s="28">
        <f ca="1"/>
        <v>29333.041119060566</v>
      </c>
      <c r="W168" s="28">
        <f ca="1"/>
        <v>29452.173135434201</v>
      </c>
      <c r="X168" s="28">
        <f ca="1"/>
        <v>29557.708155836146</v>
      </c>
      <c r="Y168" s="28">
        <f ca="1"/>
        <v>29672.74869093985</v>
      </c>
      <c r="Z168" s="28">
        <f ca="1"/>
        <v>29798.102887165845</v>
      </c>
      <c r="AA168" s="28">
        <f ca="1"/>
        <v>29910.241914651899</v>
      </c>
      <c r="AB168" s="28">
        <f ca="1"/>
        <v>30032.482970688554</v>
      </c>
      <c r="AC168" s="28">
        <f ca="1"/>
        <v>30141.332989777387</v>
      </c>
      <c r="AD168" s="28">
        <f ca="1"/>
        <v>30259.993310889298</v>
      </c>
      <c r="AE168" s="28">
        <f ca="1"/>
        <v>30389.172217779218</v>
      </c>
      <c r="AF168" s="28">
        <f ca="1"/>
        <v>30505.476561517982</v>
      </c>
      <c r="AG168" s="28">
        <f ca="1"/>
        <v>30632.232273267469</v>
      </c>
      <c r="AH168" s="28">
        <f ca="1"/>
        <v>30745.948201376963</v>
      </c>
      <c r="AI168" s="28">
        <f ca="1"/>
        <v>30869.939792593319</v>
      </c>
      <c r="AJ168" s="28">
        <f ca="1"/>
        <v>30980.717982063197</v>
      </c>
      <c r="AK168" s="29">
        <f ca="1"/>
        <v>31101.572779176502</v>
      </c>
      <c r="AL168" s="3"/>
    </row>
    <row r="169" spans="2:38">
      <c r="B169" s="3"/>
      <c r="C169" s="27" t="str">
        <f>INDEX(_fuel,1)</f>
        <v>Electricity</v>
      </c>
      <c r="D169" s="16" t="str">
        <f>_yearDol &amp; "$"</f>
        <v>2013$</v>
      </c>
      <c r="E169" s="141">
        <f ca="1">SUMPRODUCT(dFactor,tpSurvPRV,INDEX(tEIdxElec,1)*INDEX(elecPRV,stdCSL+1,4)*allOnes,OFFSET(tPrcElec,0,0,1,_maxLT))</f>
        <v>27447.903135980348</v>
      </c>
      <c r="F169" s="28">
        <f ca="1">SUMPRODUCT(dFactor,tpSurvPRV,INDEX(tEIdxElec,2)*INDEX(elecPRV,stdCSL+1,4)*allOnes,OFFSET(tPrcElec,0,1,1,_maxLT))</f>
        <v>27568.557812113238</v>
      </c>
      <c r="G169" s="28">
        <f ca="1">SUMPRODUCT(dFactor,tpSurvPRV,INDEX(tEIdxElec,3)*INDEX(elecPRV,stdCSL+1,4)*allOnes,OFFSET(tPrcElec,0,2,1,_maxLT))</f>
        <v>27675.550864523775</v>
      </c>
      <c r="H169" s="28">
        <f ca="1">SUMPRODUCT(dFactor,tpSurvPRV,INDEX(tEIdxElec,4)*INDEX(elecPRV,stdCSL+1,4)*allOnes,OFFSET(tPrcElec,0,3,1,_maxLT))</f>
        <v>27792.022947866539</v>
      </c>
      <c r="I169" s="28">
        <f ca="1">SUMPRODUCT(dFactor,tpSurvPRV,INDEX(tEIdxElec,5)*INDEX(elecPRV,stdCSL+1,4)*allOnes,OFFSET(tPrcElec,0,4,1,_maxLT))</f>
        <v>27894.569629739814</v>
      </c>
      <c r="J169" s="28">
        <f ca="1">SUMPRODUCT(dFactor,tpSurvPRV,INDEX(tEIdxElec,6)*INDEX(elecPRV,stdCSL+1,4)*allOnes,OFFSET(tPrcElec,0,5,1,_maxLT))</f>
        <v>28006.322203758591</v>
      </c>
      <c r="K169" s="28">
        <f ca="1">SUMPRODUCT(dFactor,tpSurvPRV,INDEX(tEIdxElec,7)*INDEX(elecPRV,stdCSL+1,4)*allOnes,OFFSET(tPrcElec,0,6,1,_maxLT))</f>
        <v>28103.862351816009</v>
      </c>
      <c r="L169" s="28">
        <f ca="1">SUMPRODUCT(dFactor,tpSurvPRV,INDEX(tEIdxElec,8)*INDEX(elecPRV,stdCSL+1,4)*allOnes,OFFSET(tPrcElec,0,7,1,_maxLT))</f>
        <v>28210.289223337601</v>
      </c>
      <c r="M169" s="28">
        <f ca="1">SUMPRODUCT(dFactor,tpSurvPRV,INDEX(tEIdxElec,9)*INDEX(elecPRV,stdCSL+1,4)*allOnes,OFFSET(tPrcElec,0,8,1,_maxLT))</f>
        <v>28326.187291495811</v>
      </c>
      <c r="N169" s="28">
        <f ca="1">SUMPRODUCT(dFactor,tpSurvPRV,INDEX(tEIdxElec,10)*INDEX(elecPRV,stdCSL+1,4)*allOnes,OFFSET(tPrcElec,0,9,1,_maxLT))</f>
        <v>28428.151693246116</v>
      </c>
      <c r="O169" s="28">
        <f ca="1">SUMPRODUCT(dFactor,tpSurvPRV,INDEX(tEIdxElec,11)*INDEX(elecPRV,stdCSL+1,4)*allOnes,OFFSET(tPrcElec,0,10,1,_maxLT))</f>
        <v>28539.309112282735</v>
      </c>
      <c r="P169" s="28">
        <f ca="1">SUMPRODUCT(dFactor,tpSurvPRV,INDEX(tEIdxElec,12)*INDEX(elecPRV,stdCSL+1,4)*allOnes,OFFSET(tPrcElec,0,11,1,_maxLT))</f>
        <v>28660.366019728906</v>
      </c>
      <c r="Q169" s="28">
        <f ca="1">SUMPRODUCT(dFactor,tpSurvPRV,INDEX(tEIdxElec,13)*INDEX(elecPRV,stdCSL+1,4)*allOnes,OFFSET(tPrcElec,0,12,1,_maxLT))</f>
        <v>28767.889129501877</v>
      </c>
      <c r="R169" s="28">
        <f ca="1">SUMPRODUCT(dFactor,tpSurvPRV,INDEX(tEIdxElec,14)*INDEX(elecPRV,stdCSL+1,4)*allOnes,OFFSET(tPrcElec,0,13,1,_maxLT))</f>
        <v>28885.003806663652</v>
      </c>
      <c r="S169" s="28">
        <f ca="1">SUMPRODUCT(dFactor,tpSurvPRV,INDEX(tEIdxElec,15)*INDEX(elecPRV,stdCSL+1,4)*allOnes,OFFSET(tPrcElec,0,14,1,_maxLT))</f>
        <v>28988.333724171116</v>
      </c>
      <c r="T169" s="28">
        <f ca="1">SUMPRODUCT(dFactor,tpSurvPRV,INDEX(tEIdxElec,16)*INDEX(elecPRV,stdCSL+1,4)*allOnes,OFFSET(tPrcElec,0,15,1,_maxLT))</f>
        <v>29100.979078698958</v>
      </c>
      <c r="U169" s="28">
        <f ca="1">SUMPRODUCT(dFactor,tpSurvPRV,INDEX(tEIdxElec,17)*INDEX(elecPRV,stdCSL+1,4)*allOnes,OFFSET(tPrcElec,0,16,1,_maxLT))</f>
        <v>29223.712631131792</v>
      </c>
      <c r="V169" s="28">
        <f ca="1">SUMPRODUCT(dFactor,tpSurvPRV,INDEX(tEIdxElec,18)*INDEX(elecPRV,stdCSL+1,4)*allOnes,OFFSET(tPrcElec,0,17,1,_maxLT))</f>
        <v>29333.041119060566</v>
      </c>
      <c r="W169" s="28">
        <f ca="1">SUMPRODUCT(dFactor,tpSurvPRV,INDEX(tEIdxElec,19)*INDEX(elecPRV,stdCSL+1,4)*allOnes,OFFSET(tPrcElec,0,18,1,_maxLT))</f>
        <v>29452.173135434201</v>
      </c>
      <c r="X169" s="28">
        <f ca="1">SUMPRODUCT(dFactor,tpSurvPRV,INDEX(tEIdxElec,20)*INDEX(elecPRV,stdCSL+1,4)*allOnes,OFFSET(tPrcElec,0,19,1,_maxLT))</f>
        <v>29557.708155836146</v>
      </c>
      <c r="Y169" s="28">
        <f ca="1">SUMPRODUCT(dFactor,tpSurvPRV,INDEX(tEIdxElec,21)*INDEX(elecPRV,stdCSL+1,4)*allOnes,OFFSET(tPrcElec,0,20,1,_maxLT))</f>
        <v>29672.74869093985</v>
      </c>
      <c r="Z169" s="28">
        <f ca="1">SUMPRODUCT(dFactor,tpSurvPRV,INDEX(tEIdxElec,22)*INDEX(elecPRV,stdCSL+1,4)*allOnes,OFFSET(tPrcElec,0,21,1,_maxLT))</f>
        <v>29798.102887165845</v>
      </c>
      <c r="AA169" s="28">
        <f ca="1">SUMPRODUCT(dFactor,tpSurvPRV,INDEX(tEIdxElec,23)*INDEX(elecPRV,stdCSL+1,4)*allOnes,OFFSET(tPrcElec,0,22,1,_maxLT))</f>
        <v>29910.241914651899</v>
      </c>
      <c r="AB169" s="28">
        <f ca="1">SUMPRODUCT(dFactor,tpSurvPRV,INDEX(tEIdxElec,24)*INDEX(elecPRV,stdCSL+1,4)*allOnes,OFFSET(tPrcElec,0,23,1,_maxLT))</f>
        <v>30032.482970688554</v>
      </c>
      <c r="AC169" s="28">
        <f ca="1">SUMPRODUCT(dFactor,tpSurvPRV,INDEX(tEIdxElec,25)*INDEX(elecPRV,stdCSL+1,4)*allOnes,OFFSET(tPrcElec,0,24,1,_maxLT))</f>
        <v>30141.332989777387</v>
      </c>
      <c r="AD169" s="28">
        <f ca="1">SUMPRODUCT(dFactor,tpSurvPRV,INDEX(tEIdxElec,26)*INDEX(elecPRV,stdCSL+1,4)*allOnes,OFFSET(tPrcElec,0,25,1,_maxLT))</f>
        <v>30259.993310889298</v>
      </c>
      <c r="AE169" s="28">
        <f ca="1">SUMPRODUCT(dFactor,tpSurvPRV,INDEX(tEIdxElec,27)*INDEX(elecPRV,stdCSL+1,4)*allOnes,OFFSET(tPrcElec,0,26,1,_maxLT))</f>
        <v>30389.172217779218</v>
      </c>
      <c r="AF169" s="28">
        <f ca="1">SUMPRODUCT(dFactor,tpSurvPRV,INDEX(tEIdxElec,28)*INDEX(elecPRV,stdCSL+1,4)*allOnes,OFFSET(tPrcElec,0,27,1,_maxLT))</f>
        <v>30505.476561517982</v>
      </c>
      <c r="AG169" s="28">
        <f ca="1">SUMPRODUCT(dFactor,tpSurvPRV,INDEX(tEIdxElec,29)*INDEX(elecPRV,stdCSL+1,4)*allOnes,OFFSET(tPrcElec,0,28,1,_maxLT))</f>
        <v>30632.232273267469</v>
      </c>
      <c r="AH169" s="28">
        <f ca="1">SUMPRODUCT(dFactor,tpSurvPRV,INDEX(tEIdxElec,30)*INDEX(elecPRV,stdCSL+1,4)*allOnes,OFFSET(tPrcElec,0,29,1,_maxLT))</f>
        <v>30745.948201376963</v>
      </c>
      <c r="AI169" s="28">
        <f ca="1">SUMPRODUCT(dFactor,tpSurvPRV,INDEX(tEIdxElec,31)*INDEX(elecPRV,stdCSL+1,4)*allOnes,OFFSET(tPrcElec,0,30,1,_maxLT))</f>
        <v>30869.939792593319</v>
      </c>
      <c r="AJ169" s="28">
        <f ca="1">SUMPRODUCT(dFactor,tpSurvPRV,INDEX(tEIdxElec,32)*INDEX(elecPRV,stdCSL+1,4)*allOnes,OFFSET(tPrcElec,0,31,1,_maxLT))</f>
        <v>30980.717982063197</v>
      </c>
      <c r="AK169" s="29">
        <f ca="1">SUMPRODUCT(dFactor,tpSurvPRV,INDEX(tEIdxElec,33)*INDEX(elecPRV,stdCSL+1,4)*allOnes,OFFSET(tPrcElec,0,32,1,_maxLT))</f>
        <v>31101.572779176502</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ts2bElec*SUMPRODUCT(tpSurvPRV,INDEX(tEIdxElec,1)*INDEX(elecPRV,stdCSL+1,4)*convFactor)</f>
        <v>6207.4144890747939</v>
      </c>
      <c r="F171" s="22">
        <f ca="1">ts2bElec*SUMPRODUCT(tpSurvPRV,INDEX(tEIdxElec,2)*INDEX(elecPRV,stdCSL+1,4)*convFactor)</f>
        <v>6164.6581687813914</v>
      </c>
      <c r="G171" s="22">
        <f ca="1">ts2bElec*SUMPRODUCT(tpSurvPRV,INDEX(tEIdxElec,3)*INDEX(elecPRV,stdCSL+1,4)*convFactor)</f>
        <v>6121.5868343299044</v>
      </c>
      <c r="H171" s="22">
        <f ca="1">ts2bElec*SUMPRODUCT(tpSurvPRV,INDEX(tEIdxElec,4)*INDEX(elecPRV,stdCSL+1,4)*convFactor)</f>
        <v>6083.7650024035183</v>
      </c>
      <c r="I171" s="22">
        <f ca="1">ts2bElec*SUMPRODUCT(tpSurvPRV,INDEX(tEIdxElec,5)*INDEX(elecPRV,stdCSL+1,4)*convFactor)</f>
        <v>6047.9019639521848</v>
      </c>
      <c r="J171" s="22">
        <f ca="1">ts2bElec*SUMPRODUCT(tpSurvPRV,INDEX(tEIdxElec,6)*INDEX(elecPRV,stdCSL+1,4)*convFactor)</f>
        <v>6016.6742903003187</v>
      </c>
      <c r="K171" s="22">
        <f ca="1">ts2bElec*SUMPRODUCT(tpSurvPRV,INDEX(tEIdxElec,7)*INDEX(elecPRV,stdCSL+1,4)*convFactor)</f>
        <v>5992.4633418388748</v>
      </c>
      <c r="L171" s="22">
        <f ca="1">ts2bElec*SUMPRODUCT(tpSurvPRV,INDEX(tEIdxElec,8)*INDEX(elecPRV,stdCSL+1,4)*convFactor)</f>
        <v>5972.3944439602383</v>
      </c>
      <c r="M171" s="22">
        <f ca="1">ts2bElec*SUMPRODUCT(tpSurvPRV,INDEX(tEIdxElec,9)*INDEX(elecPRV,stdCSL+1,4)*convFactor)</f>
        <v>5952.234418711786</v>
      </c>
      <c r="N171" s="22">
        <f ca="1">ts2bElec*SUMPRODUCT(tpSurvPRV,INDEX(tEIdxElec,10)*INDEX(elecPRV,stdCSL+1,4)*convFactor)</f>
        <v>5936.1077891200557</v>
      </c>
      <c r="O171" s="22">
        <f ca="1">ts2bElec*SUMPRODUCT(tpSurvPRV,INDEX(tEIdxElec,11)*INDEX(elecPRV,stdCSL+1,4)*convFactor)</f>
        <v>5925.0003131766534</v>
      </c>
      <c r="P171" s="22">
        <f ca="1">ts2bElec*SUMPRODUCT(tpSurvPRV,INDEX(tEIdxElec,12)*INDEX(elecPRV,stdCSL+1,4)*convFactor)</f>
        <v>5916.8708709588282</v>
      </c>
      <c r="Q171" s="22">
        <f ca="1">ts2bElec*SUMPRODUCT(tpSurvPRV,INDEX(tEIdxElec,13)*INDEX(elecPRV,stdCSL+1,4)*convFactor)</f>
        <v>5910.0280548311157</v>
      </c>
      <c r="R171" s="22">
        <f ca="1">ts2bElec*SUMPRODUCT(tpSurvPRV,INDEX(tEIdxElec,14)*INDEX(elecPRV,stdCSL+1,4)*convFactor)</f>
        <v>5904.9791773066499</v>
      </c>
      <c r="S171" s="22">
        <f ca="1">ts2bElec*SUMPRODUCT(tpSurvPRV,INDEX(tEIdxElec,15)*INDEX(elecPRV,stdCSL+1,4)*convFactor)</f>
        <v>5901.1298906659931</v>
      </c>
      <c r="T171" s="22">
        <f ca="1">ts2bElec*SUMPRODUCT(tpSurvPRV,INDEX(tEIdxElec,16)*INDEX(elecPRV,stdCSL+1,4)*convFactor)</f>
        <v>5900.6465330009205</v>
      </c>
      <c r="U171" s="22">
        <f ca="1">ts2bElec*SUMPRODUCT(tpSurvPRV,INDEX(tEIdxElec,17)*INDEX(elecPRV,stdCSL+1,4)*convFactor)</f>
        <v>5901.6331898812414</v>
      </c>
      <c r="V171" s="22">
        <f ca="1">ts2bElec*SUMPRODUCT(tpSurvPRV,INDEX(tEIdxElec,18)*INDEX(elecPRV,stdCSL+1,4)*convFactor)</f>
        <v>5903.0842216891897</v>
      </c>
      <c r="W171" s="22">
        <f ca="1">ts2bElec*SUMPRODUCT(tpSurvPRV,INDEX(tEIdxElec,19)*INDEX(elecPRV,stdCSL+1,4)*convFactor)</f>
        <v>5905.1593982126033</v>
      </c>
      <c r="X171" s="22">
        <f ca="1">ts2bElec*SUMPRODUCT(tpSurvPRV,INDEX(tEIdxElec,20)*INDEX(elecPRV,stdCSL+1,4)*convFactor)</f>
        <v>5907.120417735634</v>
      </c>
      <c r="Y171" s="22">
        <f ca="1">ts2bElec*SUMPRODUCT(tpSurvPRV,INDEX(tEIdxElec,21)*INDEX(elecPRV,stdCSL+1,4)*convFactor)</f>
        <v>5908.745227259159</v>
      </c>
      <c r="Z171" s="22">
        <f ca="1">ts2bElec*SUMPRODUCT(tpSurvPRV,INDEX(tEIdxElec,22)*INDEX(elecPRV,stdCSL+1,4)*convFactor)</f>
        <v>5909.834079367577</v>
      </c>
      <c r="AA171" s="22">
        <f ca="1">ts2bElec*SUMPRODUCT(tpSurvPRV,INDEX(tEIdxElec,23)*INDEX(elecPRV,stdCSL+1,4)*convFactor)</f>
        <v>5910.5517053882149</v>
      </c>
      <c r="AB171" s="22">
        <f ca="1">ts2bElec*SUMPRODUCT(tpSurvPRV,INDEX(tEIdxElec,24)*INDEX(elecPRV,stdCSL+1,4)*convFactor)</f>
        <v>5910.5517053882149</v>
      </c>
      <c r="AC171" s="22">
        <f ca="1">ts2bElec*SUMPRODUCT(tpSurvPRV,INDEX(tEIdxElec,25)*INDEX(elecPRV,stdCSL+1,4)*convFactor)</f>
        <v>5910.5517053882149</v>
      </c>
      <c r="AD171" s="22">
        <f ca="1">ts2bElec*SUMPRODUCT(tpSurvPRV,INDEX(tEIdxElec,26)*INDEX(elecPRV,stdCSL+1,4)*convFactor)</f>
        <v>5910.5517053882149</v>
      </c>
      <c r="AE171" s="22">
        <f ca="1">ts2bElec*SUMPRODUCT(tpSurvPRV,INDEX(tEIdxElec,27)*INDEX(elecPRV,stdCSL+1,4)*convFactor)</f>
        <v>5910.5517053882149</v>
      </c>
      <c r="AF171" s="22">
        <f ca="1">ts2bElec*SUMPRODUCT(tpSurvPRV,INDEX(tEIdxElec,28)*INDEX(elecPRV,stdCSL+1,4)*convFactor)</f>
        <v>5910.5517053882149</v>
      </c>
      <c r="AG171" s="22">
        <f ca="1">ts2bElec*SUMPRODUCT(tpSurvPRV,INDEX(tEIdxElec,29)*INDEX(elecPRV,stdCSL+1,4)*convFactor)</f>
        <v>5910.5517053882149</v>
      </c>
      <c r="AH171" s="22">
        <f ca="1">ts2bElec*SUMPRODUCT(tpSurvPRV,INDEX(tEIdxElec,30)*INDEX(elecPRV,stdCSL+1,4)*convFactor)</f>
        <v>5910.5517053882149</v>
      </c>
      <c r="AI171" s="22">
        <f ca="1">ts2bElec*SUMPRODUCT(tpSurvPRV,INDEX(tEIdxElec,31)*INDEX(elecPRV,stdCSL+1,4)*convFactor)</f>
        <v>5910.5517053882149</v>
      </c>
      <c r="AJ171" s="22">
        <f ca="1">ts2bElec*SUMPRODUCT(tpSurvPRV,INDEX(tEIdxElec,32)*INDEX(elecPRV,stdCSL+1,4)*convFactor)</f>
        <v>5910.5517053882149</v>
      </c>
      <c r="AK171" s="25">
        <f ca="1">ts2bElec*SUMPRODUCT(tpSurvPRV,INDEX(tEIdxElec,33)*INDEX(elecPRV,stdCSL+1,4)*convFactor)</f>
        <v>5910.5517053882149</v>
      </c>
      <c r="AL171" s="3"/>
    </row>
    <row r="172" spans="2:38">
      <c r="B172" s="3"/>
      <c r="C172" s="30" t="str">
        <f>"EL 4: " &amp; INDEX(_doName,7,5)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(1+INDEX(vadPRV,stdCSL+1,5))*INDEX(mspPRV,stdCSL+1,5)*tPIdxAll + INDEX(instPRV,stdCSL+1,5) + SUMPRODUCT(dFactor,tpSurvPRV,INDEX(mrPRV,stdCSL+1,5)*allOnes)</f>
        <v>1688.0056619999998</v>
      </c>
      <c r="F173" s="28">
        <f ca="1"/>
        <v>1688.0056619999998</v>
      </c>
      <c r="G173" s="28">
        <f ca="1"/>
        <v>1688.0056619999998</v>
      </c>
      <c r="H173" s="28">
        <f ca="1"/>
        <v>1688.0056619999998</v>
      </c>
      <c r="I173" s="28">
        <f ca="1"/>
        <v>1688.0056619999998</v>
      </c>
      <c r="J173" s="28">
        <f ca="1"/>
        <v>1688.0056619999998</v>
      </c>
      <c r="K173" s="28">
        <f ca="1"/>
        <v>1688.0056619999998</v>
      </c>
      <c r="L173" s="28">
        <f ca="1"/>
        <v>1688.0056619999998</v>
      </c>
      <c r="M173" s="28">
        <f ca="1"/>
        <v>1688.0056619999998</v>
      </c>
      <c r="N173" s="28">
        <f ca="1"/>
        <v>1688.0056619999998</v>
      </c>
      <c r="O173" s="28">
        <f ca="1"/>
        <v>1688.0056619999998</v>
      </c>
      <c r="P173" s="28">
        <f ca="1"/>
        <v>1688.0056619999998</v>
      </c>
      <c r="Q173" s="28">
        <f ca="1"/>
        <v>1688.0056619999998</v>
      </c>
      <c r="R173" s="28">
        <f ca="1"/>
        <v>1688.0056619999998</v>
      </c>
      <c r="S173" s="28">
        <f ca="1"/>
        <v>1688.0056619999998</v>
      </c>
      <c r="T173" s="28">
        <f ca="1"/>
        <v>1688.0056619999998</v>
      </c>
      <c r="U173" s="28">
        <f ca="1"/>
        <v>1688.0056619999998</v>
      </c>
      <c r="V173" s="28">
        <f ca="1"/>
        <v>1688.0056619999998</v>
      </c>
      <c r="W173" s="28">
        <f ca="1"/>
        <v>1688.0056619999998</v>
      </c>
      <c r="X173" s="28">
        <f ca="1"/>
        <v>1688.0056619999998</v>
      </c>
      <c r="Y173" s="28">
        <f ca="1"/>
        <v>1688.0056619999998</v>
      </c>
      <c r="Z173" s="28">
        <f ca="1"/>
        <v>1688.0056619999998</v>
      </c>
      <c r="AA173" s="28">
        <f ca="1"/>
        <v>1688.0056619999998</v>
      </c>
      <c r="AB173" s="28">
        <f ca="1"/>
        <v>1688.0056619999998</v>
      </c>
      <c r="AC173" s="28">
        <f ca="1"/>
        <v>1688.0056619999998</v>
      </c>
      <c r="AD173" s="28">
        <f ca="1"/>
        <v>1688.0056619999998</v>
      </c>
      <c r="AE173" s="28">
        <f ca="1"/>
        <v>1688.0056619999998</v>
      </c>
      <c r="AF173" s="28">
        <f ca="1"/>
        <v>1688.0056619999998</v>
      </c>
      <c r="AG173" s="28">
        <f ca="1"/>
        <v>1688.0056619999998</v>
      </c>
      <c r="AH173" s="28">
        <f ca="1"/>
        <v>1688.0056619999998</v>
      </c>
      <c r="AI173" s="28">
        <f ca="1"/>
        <v>1688.0056619999998</v>
      </c>
      <c r="AJ173" s="28">
        <f ca="1"/>
        <v>1688.0056619999998</v>
      </c>
      <c r="AK173" s="29">
        <f ca="1"/>
        <v>1688.0056619999998</v>
      </c>
      <c r="AL173" s="3"/>
    </row>
    <row r="174" spans="2:38">
      <c r="B174" s="3"/>
      <c r="C174" s="23" t="s">
        <v>47</v>
      </c>
      <c r="D174" s="16" t="str">
        <f>_yearDol &amp; "$"</f>
        <v>2013$</v>
      </c>
      <c r="E174" s="141">
        <f t="array" aca="1" ref="E174:AK174" ca="1">(tlccEFupolElec4)</f>
        <v>16520.999956184602</v>
      </c>
      <c r="F174" s="28">
        <f ca="1"/>
        <v>16593.622476354169</v>
      </c>
      <c r="G174" s="28">
        <f ca="1"/>
        <v>16658.022011919049</v>
      </c>
      <c r="H174" s="28">
        <f ca="1"/>
        <v>16728.127013174319</v>
      </c>
      <c r="I174" s="28">
        <f ca="1"/>
        <v>16789.850260970044</v>
      </c>
      <c r="J174" s="28">
        <f ca="1"/>
        <v>16857.114571155096</v>
      </c>
      <c r="K174" s="28">
        <f ca="1"/>
        <v>16915.824366719418</v>
      </c>
      <c r="L174" s="28">
        <f ca="1"/>
        <v>16979.883115798875</v>
      </c>
      <c r="M174" s="28">
        <f ca="1"/>
        <v>17049.642615075652</v>
      </c>
      <c r="N174" s="28">
        <f ca="1"/>
        <v>17111.015386194227</v>
      </c>
      <c r="O174" s="28">
        <f ca="1"/>
        <v>17177.921470274163</v>
      </c>
      <c r="P174" s="28">
        <f ca="1"/>
        <v>17250.786095040072</v>
      </c>
      <c r="Q174" s="28">
        <f ca="1"/>
        <v>17315.504674198834</v>
      </c>
      <c r="R174" s="28">
        <f ca="1"/>
        <v>17385.996455180149</v>
      </c>
      <c r="S174" s="28">
        <f ca="1"/>
        <v>17448.191135559053</v>
      </c>
      <c r="T174" s="28">
        <f ca="1"/>
        <v>17515.992813814752</v>
      </c>
      <c r="U174" s="28">
        <f ca="1"/>
        <v>17589.866617737753</v>
      </c>
      <c r="V174" s="28">
        <f ca="1"/>
        <v>17655.671861050236</v>
      </c>
      <c r="W174" s="28">
        <f ca="1"/>
        <v>17727.37788637168</v>
      </c>
      <c r="X174" s="28">
        <f ca="1"/>
        <v>17790.89982678364</v>
      </c>
      <c r="Y174" s="28">
        <f ca="1"/>
        <v>17860.143173570163</v>
      </c>
      <c r="Z174" s="28">
        <f ca="1"/>
        <v>17935.594353213921</v>
      </c>
      <c r="AA174" s="28">
        <f ca="1"/>
        <v>18003.091271248253</v>
      </c>
      <c r="AB174" s="28">
        <f ca="1"/>
        <v>18076.668639669453</v>
      </c>
      <c r="AC174" s="28">
        <f ca="1"/>
        <v>18142.185890720939</v>
      </c>
      <c r="AD174" s="28">
        <f ca="1"/>
        <v>18213.608000824541</v>
      </c>
      <c r="AE174" s="28">
        <f ca="1"/>
        <v>18291.361288734945</v>
      </c>
      <c r="AF174" s="28">
        <f ca="1"/>
        <v>18361.365326868305</v>
      </c>
      <c r="AG174" s="28">
        <f ca="1"/>
        <v>18437.660084172148</v>
      </c>
      <c r="AH174" s="28">
        <f ca="1"/>
        <v>18506.106144842335</v>
      </c>
      <c r="AI174" s="28">
        <f ca="1"/>
        <v>18580.737167216044</v>
      </c>
      <c r="AJ174" s="28">
        <f ca="1"/>
        <v>18647.414991540583</v>
      </c>
      <c r="AK174" s="29">
        <f ca="1"/>
        <v>18720.157965308819</v>
      </c>
      <c r="AL174" s="3"/>
    </row>
    <row r="175" spans="2:38">
      <c r="B175" s="3"/>
      <c r="C175" s="27" t="str">
        <f>INDEX(_fuel,1)</f>
        <v>Electricity</v>
      </c>
      <c r="D175" s="16" t="str">
        <f>_yearDol &amp; "$"</f>
        <v>2013$</v>
      </c>
      <c r="E175" s="141">
        <f ca="1">SUMPRODUCT(dFactor,tpSurvPRV,INDEX(tEIdxElec,1)*INDEX(elecPRV,stdCSL+1,5)*allOnes,OFFSET(tPrcElec,0,0,1,_maxLT))</f>
        <v>16520.999956184602</v>
      </c>
      <c r="F175" s="28">
        <f ca="1">SUMPRODUCT(dFactor,tpSurvPRV,INDEX(tEIdxElec,2)*INDEX(elecPRV,stdCSL+1,5)*allOnes,OFFSET(tPrcElec,0,1,1,_maxLT))</f>
        <v>16593.622476354169</v>
      </c>
      <c r="G175" s="28">
        <f ca="1">SUMPRODUCT(dFactor,tpSurvPRV,INDEX(tEIdxElec,3)*INDEX(elecPRV,stdCSL+1,5)*allOnes,OFFSET(tPrcElec,0,2,1,_maxLT))</f>
        <v>16658.022011919049</v>
      </c>
      <c r="H175" s="28">
        <f ca="1">SUMPRODUCT(dFactor,tpSurvPRV,INDEX(tEIdxElec,4)*INDEX(elecPRV,stdCSL+1,5)*allOnes,OFFSET(tPrcElec,0,3,1,_maxLT))</f>
        <v>16728.127013174319</v>
      </c>
      <c r="I175" s="28">
        <f ca="1">SUMPRODUCT(dFactor,tpSurvPRV,INDEX(tEIdxElec,5)*INDEX(elecPRV,stdCSL+1,5)*allOnes,OFFSET(tPrcElec,0,4,1,_maxLT))</f>
        <v>16789.850260970044</v>
      </c>
      <c r="J175" s="28">
        <f ca="1">SUMPRODUCT(dFactor,tpSurvPRV,INDEX(tEIdxElec,6)*INDEX(elecPRV,stdCSL+1,5)*allOnes,OFFSET(tPrcElec,0,5,1,_maxLT))</f>
        <v>16857.114571155096</v>
      </c>
      <c r="K175" s="28">
        <f ca="1">SUMPRODUCT(dFactor,tpSurvPRV,INDEX(tEIdxElec,7)*INDEX(elecPRV,stdCSL+1,5)*allOnes,OFFSET(tPrcElec,0,6,1,_maxLT))</f>
        <v>16915.824366719418</v>
      </c>
      <c r="L175" s="28">
        <f ca="1">SUMPRODUCT(dFactor,tpSurvPRV,INDEX(tEIdxElec,8)*INDEX(elecPRV,stdCSL+1,5)*allOnes,OFFSET(tPrcElec,0,7,1,_maxLT))</f>
        <v>16979.883115798875</v>
      </c>
      <c r="M175" s="28">
        <f ca="1">SUMPRODUCT(dFactor,tpSurvPRV,INDEX(tEIdxElec,9)*INDEX(elecPRV,stdCSL+1,5)*allOnes,OFFSET(tPrcElec,0,8,1,_maxLT))</f>
        <v>17049.642615075652</v>
      </c>
      <c r="N175" s="28">
        <f ca="1">SUMPRODUCT(dFactor,tpSurvPRV,INDEX(tEIdxElec,10)*INDEX(elecPRV,stdCSL+1,5)*allOnes,OFFSET(tPrcElec,0,9,1,_maxLT))</f>
        <v>17111.015386194227</v>
      </c>
      <c r="O175" s="28">
        <f ca="1">SUMPRODUCT(dFactor,tpSurvPRV,INDEX(tEIdxElec,11)*INDEX(elecPRV,stdCSL+1,5)*allOnes,OFFSET(tPrcElec,0,10,1,_maxLT))</f>
        <v>17177.921470274163</v>
      </c>
      <c r="P175" s="28">
        <f ca="1">SUMPRODUCT(dFactor,tpSurvPRV,INDEX(tEIdxElec,12)*INDEX(elecPRV,stdCSL+1,5)*allOnes,OFFSET(tPrcElec,0,11,1,_maxLT))</f>
        <v>17250.786095040072</v>
      </c>
      <c r="Q175" s="28">
        <f ca="1">SUMPRODUCT(dFactor,tpSurvPRV,INDEX(tEIdxElec,13)*INDEX(elecPRV,stdCSL+1,5)*allOnes,OFFSET(tPrcElec,0,12,1,_maxLT))</f>
        <v>17315.504674198834</v>
      </c>
      <c r="R175" s="28">
        <f ca="1">SUMPRODUCT(dFactor,tpSurvPRV,INDEX(tEIdxElec,14)*INDEX(elecPRV,stdCSL+1,5)*allOnes,OFFSET(tPrcElec,0,13,1,_maxLT))</f>
        <v>17385.996455180149</v>
      </c>
      <c r="S175" s="28">
        <f ca="1">SUMPRODUCT(dFactor,tpSurvPRV,INDEX(tEIdxElec,15)*INDEX(elecPRV,stdCSL+1,5)*allOnes,OFFSET(tPrcElec,0,14,1,_maxLT))</f>
        <v>17448.191135559053</v>
      </c>
      <c r="T175" s="28">
        <f ca="1">SUMPRODUCT(dFactor,tpSurvPRV,INDEX(tEIdxElec,16)*INDEX(elecPRV,stdCSL+1,5)*allOnes,OFFSET(tPrcElec,0,15,1,_maxLT))</f>
        <v>17515.992813814752</v>
      </c>
      <c r="U175" s="28">
        <f ca="1">SUMPRODUCT(dFactor,tpSurvPRV,INDEX(tEIdxElec,17)*INDEX(elecPRV,stdCSL+1,5)*allOnes,OFFSET(tPrcElec,0,16,1,_maxLT))</f>
        <v>17589.866617737753</v>
      </c>
      <c r="V175" s="28">
        <f ca="1">SUMPRODUCT(dFactor,tpSurvPRV,INDEX(tEIdxElec,18)*INDEX(elecPRV,stdCSL+1,5)*allOnes,OFFSET(tPrcElec,0,17,1,_maxLT))</f>
        <v>17655.671861050236</v>
      </c>
      <c r="W175" s="28">
        <f ca="1">SUMPRODUCT(dFactor,tpSurvPRV,INDEX(tEIdxElec,19)*INDEX(elecPRV,stdCSL+1,5)*allOnes,OFFSET(tPrcElec,0,18,1,_maxLT))</f>
        <v>17727.37788637168</v>
      </c>
      <c r="X175" s="28">
        <f ca="1">SUMPRODUCT(dFactor,tpSurvPRV,INDEX(tEIdxElec,20)*INDEX(elecPRV,stdCSL+1,5)*allOnes,OFFSET(tPrcElec,0,19,1,_maxLT))</f>
        <v>17790.89982678364</v>
      </c>
      <c r="Y175" s="28">
        <f ca="1">SUMPRODUCT(dFactor,tpSurvPRV,INDEX(tEIdxElec,21)*INDEX(elecPRV,stdCSL+1,5)*allOnes,OFFSET(tPrcElec,0,20,1,_maxLT))</f>
        <v>17860.143173570163</v>
      </c>
      <c r="Z175" s="28">
        <f ca="1">SUMPRODUCT(dFactor,tpSurvPRV,INDEX(tEIdxElec,22)*INDEX(elecPRV,stdCSL+1,5)*allOnes,OFFSET(tPrcElec,0,21,1,_maxLT))</f>
        <v>17935.594353213921</v>
      </c>
      <c r="AA175" s="28">
        <f ca="1">SUMPRODUCT(dFactor,tpSurvPRV,INDEX(tEIdxElec,23)*INDEX(elecPRV,stdCSL+1,5)*allOnes,OFFSET(tPrcElec,0,22,1,_maxLT))</f>
        <v>18003.091271248253</v>
      </c>
      <c r="AB175" s="28">
        <f ca="1">SUMPRODUCT(dFactor,tpSurvPRV,INDEX(tEIdxElec,24)*INDEX(elecPRV,stdCSL+1,5)*allOnes,OFFSET(tPrcElec,0,23,1,_maxLT))</f>
        <v>18076.668639669453</v>
      </c>
      <c r="AC175" s="28">
        <f ca="1">SUMPRODUCT(dFactor,tpSurvPRV,INDEX(tEIdxElec,25)*INDEX(elecPRV,stdCSL+1,5)*allOnes,OFFSET(tPrcElec,0,24,1,_maxLT))</f>
        <v>18142.185890720939</v>
      </c>
      <c r="AD175" s="28">
        <f ca="1">SUMPRODUCT(dFactor,tpSurvPRV,INDEX(tEIdxElec,26)*INDEX(elecPRV,stdCSL+1,5)*allOnes,OFFSET(tPrcElec,0,25,1,_maxLT))</f>
        <v>18213.608000824541</v>
      </c>
      <c r="AE175" s="28">
        <f ca="1">SUMPRODUCT(dFactor,tpSurvPRV,INDEX(tEIdxElec,27)*INDEX(elecPRV,stdCSL+1,5)*allOnes,OFFSET(tPrcElec,0,26,1,_maxLT))</f>
        <v>18291.361288734945</v>
      </c>
      <c r="AF175" s="28">
        <f ca="1">SUMPRODUCT(dFactor,tpSurvPRV,INDEX(tEIdxElec,28)*INDEX(elecPRV,stdCSL+1,5)*allOnes,OFFSET(tPrcElec,0,27,1,_maxLT))</f>
        <v>18361.365326868305</v>
      </c>
      <c r="AG175" s="28">
        <f ca="1">SUMPRODUCT(dFactor,tpSurvPRV,INDEX(tEIdxElec,29)*INDEX(elecPRV,stdCSL+1,5)*allOnes,OFFSET(tPrcElec,0,28,1,_maxLT))</f>
        <v>18437.660084172148</v>
      </c>
      <c r="AH175" s="28">
        <f ca="1">SUMPRODUCT(dFactor,tpSurvPRV,INDEX(tEIdxElec,30)*INDEX(elecPRV,stdCSL+1,5)*allOnes,OFFSET(tPrcElec,0,29,1,_maxLT))</f>
        <v>18506.106144842335</v>
      </c>
      <c r="AI175" s="28">
        <f ca="1">SUMPRODUCT(dFactor,tpSurvPRV,INDEX(tEIdxElec,31)*INDEX(elecPRV,stdCSL+1,5)*allOnes,OFFSET(tPrcElec,0,30,1,_maxLT))</f>
        <v>18580.737167216044</v>
      </c>
      <c r="AJ175" s="28">
        <f ca="1">SUMPRODUCT(dFactor,tpSurvPRV,INDEX(tEIdxElec,32)*INDEX(elecPRV,stdCSL+1,5)*allOnes,OFFSET(tPrcElec,0,31,1,_maxLT))</f>
        <v>18647.414991540583</v>
      </c>
      <c r="AK175" s="29">
        <f ca="1">SUMPRODUCT(dFactor,tpSurvPRV,INDEX(tEIdxElec,33)*INDEX(elecPRV,stdCSL+1,5)*allOnes,OFFSET(tPrcElec,0,32,1,_maxLT))</f>
        <v>18720.157965308819</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ts2bElec*SUMPRODUCT(tpSurvPRV,INDEX(tEIdxElec,1)*INDEX(elecPRV,stdCSL+1,5)*convFactor)</f>
        <v>3736.266992562802</v>
      </c>
      <c r="F177" s="22">
        <f ca="1">ts2bElec*SUMPRODUCT(tpSurvPRV,INDEX(tEIdxElec,2)*INDEX(elecPRV,stdCSL+1,5)*convFactor)</f>
        <v>3710.5317966101484</v>
      </c>
      <c r="G177" s="22">
        <f ca="1">ts2bElec*SUMPRODUCT(tpSurvPRV,INDEX(tEIdxElec,3)*INDEX(elecPRV,stdCSL+1,5)*convFactor)</f>
        <v>3684.606992407053</v>
      </c>
      <c r="H177" s="22">
        <f ca="1">ts2bElec*SUMPRODUCT(tpSurvPRV,INDEX(tEIdxElec,4)*INDEX(elecPRV,stdCSL+1,5)*convFactor)</f>
        <v>3661.8418842491351</v>
      </c>
      <c r="I177" s="22">
        <f ca="1">ts2bElec*SUMPRODUCT(tpSurvPRV,INDEX(tEIdxElec,5)*INDEX(elecPRV,stdCSL+1,5)*convFactor)</f>
        <v>3640.2557815239888</v>
      </c>
      <c r="J177" s="22">
        <f ca="1">ts2bElec*SUMPRODUCT(tpSurvPRV,INDEX(tEIdxElec,6)*INDEX(elecPRV,stdCSL+1,5)*convFactor)</f>
        <v>3621.4597229515603</v>
      </c>
      <c r="K177" s="22">
        <f ca="1">ts2bElec*SUMPRODUCT(tpSurvPRV,INDEX(tEIdxElec,7)*INDEX(elecPRV,stdCSL+1,5)*convFactor)</f>
        <v>3606.8870586394964</v>
      </c>
      <c r="L177" s="22">
        <f ca="1">ts2bElec*SUMPRODUCT(tpSurvPRV,INDEX(tEIdxElec,8)*INDEX(elecPRV,stdCSL+1,5)*convFactor)</f>
        <v>3594.8075107290047</v>
      </c>
      <c r="M177" s="22">
        <f ca="1">ts2bElec*SUMPRODUCT(tpSurvPRV,INDEX(tEIdxElec,9)*INDEX(elecPRV,stdCSL+1,5)*convFactor)</f>
        <v>3582.6731128991837</v>
      </c>
      <c r="N177" s="22">
        <f ca="1">ts2bElec*SUMPRODUCT(tpSurvPRV,INDEX(tEIdxElec,10)*INDEX(elecPRV,stdCSL+1,5)*convFactor)</f>
        <v>3572.9664316471235</v>
      </c>
      <c r="O177" s="22">
        <f ca="1">ts2bElec*SUMPRODUCT(tpSurvPRV,INDEX(tEIdxElec,11)*INDEX(elecPRV,stdCSL+1,5)*convFactor)</f>
        <v>3566.280798552852</v>
      </c>
      <c r="P177" s="22">
        <f ca="1">ts2bElec*SUMPRODUCT(tpSurvPRV,INDEX(tEIdxElec,12)*INDEX(elecPRV,stdCSL+1,5)*convFactor)</f>
        <v>3561.3876555736192</v>
      </c>
      <c r="Q177" s="22">
        <f ca="1">ts2bElec*SUMPRODUCT(tpSurvPRV,INDEX(tEIdxElec,13)*INDEX(elecPRV,stdCSL+1,5)*convFactor)</f>
        <v>3557.2689378564205</v>
      </c>
      <c r="R177" s="22">
        <f ca="1">ts2bElec*SUMPRODUCT(tpSurvPRV,INDEX(tEIdxElec,14)*INDEX(elecPRV,stdCSL+1,5)*convFactor)</f>
        <v>3554.2299987816486</v>
      </c>
      <c r="S177" s="22">
        <f ca="1">ts2bElec*SUMPRODUCT(tpSurvPRV,INDEX(tEIdxElec,15)*INDEX(elecPRV,stdCSL+1,5)*convFactor)</f>
        <v>3551.9130981387621</v>
      </c>
      <c r="T177" s="22">
        <f ca="1">ts2bElec*SUMPRODUCT(tpSurvPRV,INDEX(tEIdxElec,16)*INDEX(elecPRV,stdCSL+1,5)*convFactor)</f>
        <v>3551.622163274852</v>
      </c>
      <c r="U177" s="22">
        <f ca="1">ts2bElec*SUMPRODUCT(tpSurvPRV,INDEX(tEIdxElec,17)*INDEX(elecPRV,stdCSL+1,5)*convFactor)</f>
        <v>3552.2160358995038</v>
      </c>
      <c r="V177" s="22">
        <f ca="1">ts2bElec*SUMPRODUCT(tpSurvPRV,INDEX(tEIdxElec,18)*INDEX(elecPRV,stdCSL+1,5)*convFactor)</f>
        <v>3553.0894176043571</v>
      </c>
      <c r="W177" s="22">
        <f ca="1">ts2bElec*SUMPRODUCT(tpSurvPRV,INDEX(tEIdxElec,19)*INDEX(elecPRV,stdCSL+1,5)*convFactor)</f>
        <v>3554.3384744478808</v>
      </c>
      <c r="X177" s="22">
        <f ca="1">ts2bElec*SUMPRODUCT(tpSurvPRV,INDEX(tEIdxElec,20)*INDEX(elecPRV,stdCSL+1,5)*convFactor)</f>
        <v>3555.5188197476136</v>
      </c>
      <c r="Y177" s="22">
        <f ca="1">ts2bElec*SUMPRODUCT(tpSurvPRV,INDEX(tEIdxElec,21)*INDEX(elecPRV,stdCSL+1,5)*convFactor)</f>
        <v>3556.4967989372799</v>
      </c>
      <c r="Z177" s="22">
        <f ca="1">ts2bElec*SUMPRODUCT(tpSurvPRV,INDEX(tEIdxElec,22)*INDEX(elecPRV,stdCSL+1,5)*convFactor)</f>
        <v>3557.1521832683284</v>
      </c>
      <c r="AA177" s="22">
        <f ca="1">ts2bElec*SUMPRODUCT(tpSurvPRV,INDEX(tEIdxElec,23)*INDEX(elecPRV,stdCSL+1,5)*convFactor)</f>
        <v>3557.5841251692009</v>
      </c>
      <c r="AB177" s="22">
        <f ca="1">ts2bElec*SUMPRODUCT(tpSurvPRV,INDEX(tEIdxElec,24)*INDEX(elecPRV,stdCSL+1,5)*convFactor)</f>
        <v>3557.5841251692009</v>
      </c>
      <c r="AC177" s="22">
        <f ca="1">ts2bElec*SUMPRODUCT(tpSurvPRV,INDEX(tEIdxElec,25)*INDEX(elecPRV,stdCSL+1,5)*convFactor)</f>
        <v>3557.5841251692009</v>
      </c>
      <c r="AD177" s="22">
        <f ca="1">ts2bElec*SUMPRODUCT(tpSurvPRV,INDEX(tEIdxElec,26)*INDEX(elecPRV,stdCSL+1,5)*convFactor)</f>
        <v>3557.5841251692009</v>
      </c>
      <c r="AE177" s="22">
        <f ca="1">ts2bElec*SUMPRODUCT(tpSurvPRV,INDEX(tEIdxElec,27)*INDEX(elecPRV,stdCSL+1,5)*convFactor)</f>
        <v>3557.5841251692009</v>
      </c>
      <c r="AF177" s="22">
        <f ca="1">ts2bElec*SUMPRODUCT(tpSurvPRV,INDEX(tEIdxElec,28)*INDEX(elecPRV,stdCSL+1,5)*convFactor)</f>
        <v>3557.5841251692009</v>
      </c>
      <c r="AG177" s="22">
        <f ca="1">ts2bElec*SUMPRODUCT(tpSurvPRV,INDEX(tEIdxElec,29)*INDEX(elecPRV,stdCSL+1,5)*convFactor)</f>
        <v>3557.5841251692009</v>
      </c>
      <c r="AH177" s="22">
        <f ca="1">ts2bElec*SUMPRODUCT(tpSurvPRV,INDEX(tEIdxElec,30)*INDEX(elecPRV,stdCSL+1,5)*convFactor)</f>
        <v>3557.5841251692009</v>
      </c>
      <c r="AI177" s="22">
        <f ca="1">ts2bElec*SUMPRODUCT(tpSurvPRV,INDEX(tEIdxElec,31)*INDEX(elecPRV,stdCSL+1,5)*convFactor)</f>
        <v>3557.5841251692009</v>
      </c>
      <c r="AJ177" s="22">
        <f ca="1">ts2bElec*SUMPRODUCT(tpSurvPRV,INDEX(tEIdxElec,32)*INDEX(elecPRV,stdCSL+1,5)*convFactor)</f>
        <v>3557.5841251692009</v>
      </c>
      <c r="AK177" s="25">
        <f ca="1">ts2bElec*SUMPRODUCT(tpSurvPRV,INDEX(tEIdxElec,33)*INDEX(elecPRV,stdCSL+1,5)*convFactor)</f>
        <v>3557.5841251692009</v>
      </c>
      <c r="AL177" s="3"/>
    </row>
    <row r="178" spans="2:38">
      <c r="B178" s="3"/>
      <c r="C178" s="30" t="str">
        <f>"EL 5: " &amp; INDEX(_doName,7,6)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(1+INDEX(vadPRV,stdCSL+1,6))*INDEX(mspPRV,stdCSL+1,6)*tPIdxAll + INDEX(instPRV,stdCSL+1,6) + SUMPRODUCT(dFactor,tpSurvPRV,INDEX(mrPRV,stdCSL+1,6)*allOnes)</f>
        <v>1768.0390200000002</v>
      </c>
      <c r="F179" s="28">
        <f ca="1"/>
        <v>1768.0390200000002</v>
      </c>
      <c r="G179" s="28">
        <f ca="1"/>
        <v>1768.0390200000002</v>
      </c>
      <c r="H179" s="28">
        <f ca="1"/>
        <v>1768.0390200000002</v>
      </c>
      <c r="I179" s="28">
        <f ca="1"/>
        <v>1768.0390200000002</v>
      </c>
      <c r="J179" s="28">
        <f ca="1"/>
        <v>1768.0390200000002</v>
      </c>
      <c r="K179" s="28">
        <f ca="1"/>
        <v>1768.0390200000002</v>
      </c>
      <c r="L179" s="28">
        <f ca="1"/>
        <v>1768.0390200000002</v>
      </c>
      <c r="M179" s="28">
        <f ca="1"/>
        <v>1768.0390200000002</v>
      </c>
      <c r="N179" s="28">
        <f ca="1"/>
        <v>1768.0390200000002</v>
      </c>
      <c r="O179" s="28">
        <f ca="1"/>
        <v>1768.0390200000002</v>
      </c>
      <c r="P179" s="28">
        <f ca="1"/>
        <v>1768.0390200000002</v>
      </c>
      <c r="Q179" s="28">
        <f ca="1"/>
        <v>1768.0390200000002</v>
      </c>
      <c r="R179" s="28">
        <f ca="1"/>
        <v>1768.0390200000002</v>
      </c>
      <c r="S179" s="28">
        <f ca="1"/>
        <v>1768.0390200000002</v>
      </c>
      <c r="T179" s="28">
        <f ca="1"/>
        <v>1768.0390200000002</v>
      </c>
      <c r="U179" s="28">
        <f ca="1"/>
        <v>1768.0390200000002</v>
      </c>
      <c r="V179" s="28">
        <f ca="1"/>
        <v>1768.0390200000002</v>
      </c>
      <c r="W179" s="28">
        <f ca="1"/>
        <v>1768.0390200000002</v>
      </c>
      <c r="X179" s="28">
        <f ca="1"/>
        <v>1768.0390200000002</v>
      </c>
      <c r="Y179" s="28">
        <f ca="1"/>
        <v>1768.0390200000002</v>
      </c>
      <c r="Z179" s="28">
        <f ca="1"/>
        <v>1768.0390200000002</v>
      </c>
      <c r="AA179" s="28">
        <f ca="1"/>
        <v>1768.0390200000002</v>
      </c>
      <c r="AB179" s="28">
        <f ca="1"/>
        <v>1768.0390200000002</v>
      </c>
      <c r="AC179" s="28">
        <f ca="1"/>
        <v>1768.0390200000002</v>
      </c>
      <c r="AD179" s="28">
        <f ca="1"/>
        <v>1768.0390200000002</v>
      </c>
      <c r="AE179" s="28">
        <f ca="1"/>
        <v>1768.0390200000002</v>
      </c>
      <c r="AF179" s="28">
        <f ca="1"/>
        <v>1768.0390200000002</v>
      </c>
      <c r="AG179" s="28">
        <f ca="1"/>
        <v>1768.0390200000002</v>
      </c>
      <c r="AH179" s="28">
        <f ca="1"/>
        <v>1768.0390200000002</v>
      </c>
      <c r="AI179" s="28">
        <f ca="1"/>
        <v>1768.0390200000002</v>
      </c>
      <c r="AJ179" s="28">
        <f ca="1"/>
        <v>1768.0390200000002</v>
      </c>
      <c r="AK179" s="29">
        <f ca="1"/>
        <v>1768.0390200000002</v>
      </c>
      <c r="AL179" s="3"/>
    </row>
    <row r="180" spans="2:38">
      <c r="B180" s="3"/>
      <c r="C180" s="23" t="s">
        <v>47</v>
      </c>
      <c r="D180" s="16" t="str">
        <f>_yearDol &amp; "$"</f>
        <v>2013$</v>
      </c>
      <c r="E180" s="141">
        <f t="array" aca="1" ref="E180:AK180" ca="1">(tlccEFupolElec5)</f>
        <v>14748.506352257924</v>
      </c>
      <c r="F180" s="28">
        <f ca="1"/>
        <v>14813.337397768386</v>
      </c>
      <c r="G180" s="28">
        <f ca="1"/>
        <v>14870.827680552713</v>
      </c>
      <c r="H180" s="28">
        <f ca="1"/>
        <v>14933.411304974998</v>
      </c>
      <c r="I180" s="28">
        <f ca="1"/>
        <v>14988.512431699253</v>
      </c>
      <c r="J180" s="28">
        <f ca="1"/>
        <v>15048.560135147925</v>
      </c>
      <c r="K180" s="28">
        <f ca="1"/>
        <v>15100.971114817243</v>
      </c>
      <c r="L180" s="28">
        <f ca="1"/>
        <v>15158.157173180649</v>
      </c>
      <c r="M180" s="28">
        <f ca="1"/>
        <v>15220.432363601471</v>
      </c>
      <c r="N180" s="28">
        <f ca="1"/>
        <v>15275.220615347636</v>
      </c>
      <c r="O180" s="28">
        <f ca="1"/>
        <v>15334.948525805512</v>
      </c>
      <c r="P180" s="28">
        <f ca="1"/>
        <v>15399.995701162026</v>
      </c>
      <c r="Q180" s="28">
        <f ca="1"/>
        <v>15457.770798212059</v>
      </c>
      <c r="R180" s="28">
        <f ca="1"/>
        <v>15520.699705804956</v>
      </c>
      <c r="S180" s="28">
        <f ca="1"/>
        <v>15576.221686379835</v>
      </c>
      <c r="T180" s="28">
        <f ca="1"/>
        <v>15636.749105125669</v>
      </c>
      <c r="U180" s="28">
        <f ca="1"/>
        <v>15702.697187524644</v>
      </c>
      <c r="V180" s="28">
        <f ca="1"/>
        <v>15761.44236345709</v>
      </c>
      <c r="W180" s="28">
        <f ca="1"/>
        <v>15825.455242384105</v>
      </c>
      <c r="X180" s="28">
        <f ca="1"/>
        <v>15882.162084836626</v>
      </c>
      <c r="Y180" s="28">
        <f ca="1"/>
        <v>15943.976499378181</v>
      </c>
      <c r="Z180" s="28">
        <f ca="1"/>
        <v>16011.332725103772</v>
      </c>
      <c r="AA180" s="28">
        <f ca="1"/>
        <v>16071.588080531857</v>
      </c>
      <c r="AB180" s="28">
        <f ca="1"/>
        <v>16137.271531195887</v>
      </c>
      <c r="AC180" s="28">
        <f ca="1"/>
        <v>16195.759612781634</v>
      </c>
      <c r="AD180" s="28">
        <f ca="1"/>
        <v>16259.519036990112</v>
      </c>
      <c r="AE180" s="28">
        <f ca="1"/>
        <v>16328.930383984636</v>
      </c>
      <c r="AF180" s="28">
        <f ca="1"/>
        <v>16391.423877346544</v>
      </c>
      <c r="AG180" s="28">
        <f ca="1"/>
        <v>16459.533175556346</v>
      </c>
      <c r="AH180" s="28">
        <f ca="1"/>
        <v>16520.635842662345</v>
      </c>
      <c r="AI180" s="28">
        <f ca="1"/>
        <v>16587.259903583192</v>
      </c>
      <c r="AJ180" s="28">
        <f ca="1"/>
        <v>16646.784043660271</v>
      </c>
      <c r="AK180" s="29">
        <f ca="1"/>
        <v>16711.722619627119</v>
      </c>
      <c r="AL180" s="3"/>
    </row>
    <row r="181" spans="2:38">
      <c r="B181" s="3"/>
      <c r="C181" s="27" t="str">
        <f>INDEX(_fuel,1)</f>
        <v>Electricity</v>
      </c>
      <c r="D181" s="16" t="str">
        <f>_yearDol &amp; "$"</f>
        <v>2013$</v>
      </c>
      <c r="E181" s="141">
        <f ca="1">SUMPRODUCT(dFactor,tpSurvPRV,INDEX(tEIdxElec,1)*INDEX(elecPRV,stdCSL+1,6)*allOnes,OFFSET(tPrcElec,0,0,1,_maxLT))</f>
        <v>14748.506352257924</v>
      </c>
      <c r="F181" s="28">
        <f ca="1">SUMPRODUCT(dFactor,tpSurvPRV,INDEX(tEIdxElec,2)*INDEX(elecPRV,stdCSL+1,6)*allOnes,OFFSET(tPrcElec,0,1,1,_maxLT))</f>
        <v>14813.337397768386</v>
      </c>
      <c r="G181" s="28">
        <f ca="1">SUMPRODUCT(dFactor,tpSurvPRV,INDEX(tEIdxElec,3)*INDEX(elecPRV,stdCSL+1,6)*allOnes,OFFSET(tPrcElec,0,2,1,_maxLT))</f>
        <v>14870.827680552713</v>
      </c>
      <c r="H181" s="28">
        <f ca="1">SUMPRODUCT(dFactor,tpSurvPRV,INDEX(tEIdxElec,4)*INDEX(elecPRV,stdCSL+1,6)*allOnes,OFFSET(tPrcElec,0,3,1,_maxLT))</f>
        <v>14933.411304974998</v>
      </c>
      <c r="I181" s="28">
        <f ca="1">SUMPRODUCT(dFactor,tpSurvPRV,INDEX(tEIdxElec,5)*INDEX(elecPRV,stdCSL+1,6)*allOnes,OFFSET(tPrcElec,0,4,1,_maxLT))</f>
        <v>14988.512431699253</v>
      </c>
      <c r="J181" s="28">
        <f ca="1">SUMPRODUCT(dFactor,tpSurvPRV,INDEX(tEIdxElec,6)*INDEX(elecPRV,stdCSL+1,6)*allOnes,OFFSET(tPrcElec,0,5,1,_maxLT))</f>
        <v>15048.560135147925</v>
      </c>
      <c r="K181" s="28">
        <f ca="1">SUMPRODUCT(dFactor,tpSurvPRV,INDEX(tEIdxElec,7)*INDEX(elecPRV,stdCSL+1,6)*allOnes,OFFSET(tPrcElec,0,6,1,_maxLT))</f>
        <v>15100.971114817243</v>
      </c>
      <c r="L181" s="28">
        <f ca="1">SUMPRODUCT(dFactor,tpSurvPRV,INDEX(tEIdxElec,8)*INDEX(elecPRV,stdCSL+1,6)*allOnes,OFFSET(tPrcElec,0,7,1,_maxLT))</f>
        <v>15158.157173180649</v>
      </c>
      <c r="M181" s="28">
        <f ca="1">SUMPRODUCT(dFactor,tpSurvPRV,INDEX(tEIdxElec,9)*INDEX(elecPRV,stdCSL+1,6)*allOnes,OFFSET(tPrcElec,0,8,1,_maxLT))</f>
        <v>15220.432363601471</v>
      </c>
      <c r="N181" s="28">
        <f ca="1">SUMPRODUCT(dFactor,tpSurvPRV,INDEX(tEIdxElec,10)*INDEX(elecPRV,stdCSL+1,6)*allOnes,OFFSET(tPrcElec,0,9,1,_maxLT))</f>
        <v>15275.220615347636</v>
      </c>
      <c r="O181" s="28">
        <f ca="1">SUMPRODUCT(dFactor,tpSurvPRV,INDEX(tEIdxElec,11)*INDEX(elecPRV,stdCSL+1,6)*allOnes,OFFSET(tPrcElec,0,10,1,_maxLT))</f>
        <v>15334.948525805512</v>
      </c>
      <c r="P181" s="28">
        <f ca="1">SUMPRODUCT(dFactor,tpSurvPRV,INDEX(tEIdxElec,12)*INDEX(elecPRV,stdCSL+1,6)*allOnes,OFFSET(tPrcElec,0,11,1,_maxLT))</f>
        <v>15399.995701162026</v>
      </c>
      <c r="Q181" s="28">
        <f ca="1">SUMPRODUCT(dFactor,tpSurvPRV,INDEX(tEIdxElec,13)*INDEX(elecPRV,stdCSL+1,6)*allOnes,OFFSET(tPrcElec,0,12,1,_maxLT))</f>
        <v>15457.770798212059</v>
      </c>
      <c r="R181" s="28">
        <f ca="1">SUMPRODUCT(dFactor,tpSurvPRV,INDEX(tEIdxElec,14)*INDEX(elecPRV,stdCSL+1,6)*allOnes,OFFSET(tPrcElec,0,13,1,_maxLT))</f>
        <v>15520.699705804956</v>
      </c>
      <c r="S181" s="28">
        <f ca="1">SUMPRODUCT(dFactor,tpSurvPRV,INDEX(tEIdxElec,15)*INDEX(elecPRV,stdCSL+1,6)*allOnes,OFFSET(tPrcElec,0,14,1,_maxLT))</f>
        <v>15576.221686379835</v>
      </c>
      <c r="T181" s="28">
        <f ca="1">SUMPRODUCT(dFactor,tpSurvPRV,INDEX(tEIdxElec,16)*INDEX(elecPRV,stdCSL+1,6)*allOnes,OFFSET(tPrcElec,0,15,1,_maxLT))</f>
        <v>15636.749105125669</v>
      </c>
      <c r="U181" s="28">
        <f ca="1">SUMPRODUCT(dFactor,tpSurvPRV,INDEX(tEIdxElec,17)*INDEX(elecPRV,stdCSL+1,6)*allOnes,OFFSET(tPrcElec,0,16,1,_maxLT))</f>
        <v>15702.697187524644</v>
      </c>
      <c r="V181" s="28">
        <f ca="1">SUMPRODUCT(dFactor,tpSurvPRV,INDEX(tEIdxElec,18)*INDEX(elecPRV,stdCSL+1,6)*allOnes,OFFSET(tPrcElec,0,17,1,_maxLT))</f>
        <v>15761.44236345709</v>
      </c>
      <c r="W181" s="28">
        <f ca="1">SUMPRODUCT(dFactor,tpSurvPRV,INDEX(tEIdxElec,19)*INDEX(elecPRV,stdCSL+1,6)*allOnes,OFFSET(tPrcElec,0,18,1,_maxLT))</f>
        <v>15825.455242384105</v>
      </c>
      <c r="X181" s="28">
        <f ca="1">SUMPRODUCT(dFactor,tpSurvPRV,INDEX(tEIdxElec,20)*INDEX(elecPRV,stdCSL+1,6)*allOnes,OFFSET(tPrcElec,0,19,1,_maxLT))</f>
        <v>15882.162084836626</v>
      </c>
      <c r="Y181" s="28">
        <f ca="1">SUMPRODUCT(dFactor,tpSurvPRV,INDEX(tEIdxElec,21)*INDEX(elecPRV,stdCSL+1,6)*allOnes,OFFSET(tPrcElec,0,20,1,_maxLT))</f>
        <v>15943.976499378181</v>
      </c>
      <c r="Z181" s="28">
        <f ca="1">SUMPRODUCT(dFactor,tpSurvPRV,INDEX(tEIdxElec,22)*INDEX(elecPRV,stdCSL+1,6)*allOnes,OFFSET(tPrcElec,0,21,1,_maxLT))</f>
        <v>16011.332725103772</v>
      </c>
      <c r="AA181" s="28">
        <f ca="1">SUMPRODUCT(dFactor,tpSurvPRV,INDEX(tEIdxElec,23)*INDEX(elecPRV,stdCSL+1,6)*allOnes,OFFSET(tPrcElec,0,22,1,_maxLT))</f>
        <v>16071.588080531857</v>
      </c>
      <c r="AB181" s="28">
        <f ca="1">SUMPRODUCT(dFactor,tpSurvPRV,INDEX(tEIdxElec,24)*INDEX(elecPRV,stdCSL+1,6)*allOnes,OFFSET(tPrcElec,0,23,1,_maxLT))</f>
        <v>16137.271531195887</v>
      </c>
      <c r="AC181" s="28">
        <f ca="1">SUMPRODUCT(dFactor,tpSurvPRV,INDEX(tEIdxElec,25)*INDEX(elecPRV,stdCSL+1,6)*allOnes,OFFSET(tPrcElec,0,24,1,_maxLT))</f>
        <v>16195.759612781634</v>
      </c>
      <c r="AD181" s="28">
        <f ca="1">SUMPRODUCT(dFactor,tpSurvPRV,INDEX(tEIdxElec,26)*INDEX(elecPRV,stdCSL+1,6)*allOnes,OFFSET(tPrcElec,0,25,1,_maxLT))</f>
        <v>16259.519036990112</v>
      </c>
      <c r="AE181" s="28">
        <f ca="1">SUMPRODUCT(dFactor,tpSurvPRV,INDEX(tEIdxElec,27)*INDEX(elecPRV,stdCSL+1,6)*allOnes,OFFSET(tPrcElec,0,26,1,_maxLT))</f>
        <v>16328.930383984636</v>
      </c>
      <c r="AF181" s="28">
        <f ca="1">SUMPRODUCT(dFactor,tpSurvPRV,INDEX(tEIdxElec,28)*INDEX(elecPRV,stdCSL+1,6)*allOnes,OFFSET(tPrcElec,0,27,1,_maxLT))</f>
        <v>16391.423877346544</v>
      </c>
      <c r="AG181" s="28">
        <f ca="1">SUMPRODUCT(dFactor,tpSurvPRV,INDEX(tEIdxElec,29)*INDEX(elecPRV,stdCSL+1,6)*allOnes,OFFSET(tPrcElec,0,28,1,_maxLT))</f>
        <v>16459.533175556346</v>
      </c>
      <c r="AH181" s="28">
        <f ca="1">SUMPRODUCT(dFactor,tpSurvPRV,INDEX(tEIdxElec,30)*INDEX(elecPRV,stdCSL+1,6)*allOnes,OFFSET(tPrcElec,0,29,1,_maxLT))</f>
        <v>16520.635842662345</v>
      </c>
      <c r="AI181" s="28">
        <f ca="1">SUMPRODUCT(dFactor,tpSurvPRV,INDEX(tEIdxElec,31)*INDEX(elecPRV,stdCSL+1,6)*allOnes,OFFSET(tPrcElec,0,30,1,_maxLT))</f>
        <v>16587.259903583192</v>
      </c>
      <c r="AJ181" s="28">
        <f ca="1">SUMPRODUCT(dFactor,tpSurvPRV,INDEX(tEIdxElec,32)*INDEX(elecPRV,stdCSL+1,6)*allOnes,OFFSET(tPrcElec,0,31,1,_maxLT))</f>
        <v>16646.784043660271</v>
      </c>
      <c r="AK181" s="29">
        <f ca="1">SUMPRODUCT(dFactor,tpSurvPRV,INDEX(tEIdxElec,33)*INDEX(elecPRV,stdCSL+1,6)*allOnes,OFFSET(tPrcElec,0,32,1,_maxLT))</f>
        <v>16711.722619627119</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ts2bElec*SUMPRODUCT(tpSurvPRV,INDEX(tEIdxElec,1)*INDEX(elecPRV,stdCSL+1,6)*convFactor)</f>
        <v>3335.4129665084765</v>
      </c>
      <c r="F183" s="22">
        <f ca="1">ts2bElec*SUMPRODUCT(tpSurvPRV,INDEX(tEIdxElec,2)*INDEX(elecPRV,stdCSL+1,6)*convFactor)</f>
        <v>3312.4388304397803</v>
      </c>
      <c r="G183" s="22">
        <f ca="1">ts2bElec*SUMPRODUCT(tpSurvPRV,INDEX(tEIdxElec,3)*INDEX(elecPRV,stdCSL+1,6)*convFactor)</f>
        <v>3289.2954286793274</v>
      </c>
      <c r="H183" s="22">
        <f ca="1">ts2bElec*SUMPRODUCT(tpSurvPRV,INDEX(tEIdxElec,4)*INDEX(elecPRV,stdCSL+1,6)*convFactor)</f>
        <v>3268.9727276825761</v>
      </c>
      <c r="I183" s="22">
        <f ca="1">ts2bElec*SUMPRODUCT(tpSurvPRV,INDEX(tEIdxElec,5)*INDEX(elecPRV,stdCSL+1,6)*convFactor)</f>
        <v>3249.7025398000847</v>
      </c>
      <c r="J183" s="22">
        <f ca="1">ts2bElec*SUMPRODUCT(tpSurvPRV,INDEX(tEIdxElec,6)*INDEX(elecPRV,stdCSL+1,6)*convFactor)</f>
        <v>3232.9230597451196</v>
      </c>
      <c r="K183" s="22">
        <f ca="1">ts2bElec*SUMPRODUCT(tpSurvPRV,INDEX(tEIdxElec,7)*INDEX(elecPRV,stdCSL+1,6)*convFactor)</f>
        <v>3219.9138573514515</v>
      </c>
      <c r="L183" s="22">
        <f ca="1">ts2bElec*SUMPRODUCT(tpSurvPRV,INDEX(tEIdxElec,8)*INDEX(elecPRV,stdCSL+1,6)*convFactor)</f>
        <v>3209.1302916131312</v>
      </c>
      <c r="M183" s="22">
        <f ca="1">ts2bElec*SUMPRODUCT(tpSurvPRV,INDEX(tEIdxElec,9)*INDEX(elecPRV,stdCSL+1,6)*convFactor)</f>
        <v>3198.2977606556492</v>
      </c>
      <c r="N183" s="22">
        <f ca="1">ts2bElec*SUMPRODUCT(tpSurvPRV,INDEX(tEIdxElec,10)*INDEX(elecPRV,stdCSL+1,6)*convFactor)</f>
        <v>3189.6324831007173</v>
      </c>
      <c r="O183" s="22">
        <f ca="1">ts2bElec*SUMPRODUCT(tpSurvPRV,INDEX(tEIdxElec,11)*INDEX(elecPRV,stdCSL+1,6)*convFactor)</f>
        <v>3183.6641335806376</v>
      </c>
      <c r="P183" s="22">
        <f ca="1">ts2bElec*SUMPRODUCT(tpSurvPRV,INDEX(tEIdxElec,12)*INDEX(elecPRV,stdCSL+1,6)*convFactor)</f>
        <v>3179.2959627372798</v>
      </c>
      <c r="Q183" s="22">
        <f ca="1">ts2bElec*SUMPRODUCT(tpSurvPRV,INDEX(tEIdxElec,13)*INDEX(elecPRV,stdCSL+1,6)*convFactor)</f>
        <v>3175.6191311546659</v>
      </c>
      <c r="R183" s="22">
        <f ca="1">ts2bElec*SUMPRODUCT(tpSurvPRV,INDEX(tEIdxElec,14)*INDEX(elecPRV,stdCSL+1,6)*convFactor)</f>
        <v>3172.9062316711443</v>
      </c>
      <c r="S183" s="22">
        <f ca="1">ts2bElec*SUMPRODUCT(tpSurvPRV,INDEX(tEIdxElec,15)*INDEX(elecPRV,stdCSL+1,6)*convFactor)</f>
        <v>3170.837905060177</v>
      </c>
      <c r="T183" s="22">
        <f ca="1">ts2bElec*SUMPRODUCT(tpSurvPRV,INDEX(tEIdxElec,16)*INDEX(elecPRV,stdCSL+1,6)*convFactor)</f>
        <v>3170.578183814499</v>
      </c>
      <c r="U183" s="22">
        <f ca="1">ts2bElec*SUMPRODUCT(tpSurvPRV,INDEX(tEIdxElec,17)*INDEX(elecPRV,stdCSL+1,6)*convFactor)</f>
        <v>3171.1083414442028</v>
      </c>
      <c r="V183" s="22">
        <f ca="1">ts2bElec*SUMPRODUCT(tpSurvPRV,INDEX(tEIdxElec,18)*INDEX(elecPRV,stdCSL+1,6)*convFactor)</f>
        <v>3171.8880203774474</v>
      </c>
      <c r="W183" s="22">
        <f ca="1">ts2bElec*SUMPRODUCT(tpSurvPRV,INDEX(tEIdxElec,19)*INDEX(elecPRV,stdCSL+1,6)*convFactor)</f>
        <v>3173.0030692752075</v>
      </c>
      <c r="X183" s="22">
        <f ca="1">ts2bElec*SUMPRODUCT(tpSurvPRV,INDEX(tEIdxElec,20)*INDEX(elecPRV,stdCSL+1,6)*convFactor)</f>
        <v>3174.0567785057106</v>
      </c>
      <c r="Y183" s="22">
        <f ca="1">ts2bElec*SUMPRODUCT(tpSurvPRV,INDEX(tEIdxElec,21)*INDEX(elecPRV,stdCSL+1,6)*convFactor)</f>
        <v>3174.9298329412422</v>
      </c>
      <c r="Z183" s="22">
        <f ca="1">ts2bElec*SUMPRODUCT(tpSurvPRV,INDEX(tEIdxElec,22)*INDEX(elecPRV,stdCSL+1,6)*convFactor)</f>
        <v>3175.5149028519786</v>
      </c>
      <c r="AA183" s="22">
        <f ca="1">ts2bElec*SUMPRODUCT(tpSurvPRV,INDEX(tEIdxElec,23)*INDEX(elecPRV,stdCSL+1,6)*convFactor)</f>
        <v>3175.9005028692732</v>
      </c>
      <c r="AB183" s="22">
        <f ca="1">ts2bElec*SUMPRODUCT(tpSurvPRV,INDEX(tEIdxElec,24)*INDEX(elecPRV,stdCSL+1,6)*convFactor)</f>
        <v>3175.9005028692732</v>
      </c>
      <c r="AC183" s="22">
        <f ca="1">ts2bElec*SUMPRODUCT(tpSurvPRV,INDEX(tEIdxElec,25)*INDEX(elecPRV,stdCSL+1,6)*convFactor)</f>
        <v>3175.9005028692732</v>
      </c>
      <c r="AD183" s="22">
        <f ca="1">ts2bElec*SUMPRODUCT(tpSurvPRV,INDEX(tEIdxElec,26)*INDEX(elecPRV,stdCSL+1,6)*convFactor)</f>
        <v>3175.9005028692732</v>
      </c>
      <c r="AE183" s="22">
        <f ca="1">ts2bElec*SUMPRODUCT(tpSurvPRV,INDEX(tEIdxElec,27)*INDEX(elecPRV,stdCSL+1,6)*convFactor)</f>
        <v>3175.9005028692732</v>
      </c>
      <c r="AF183" s="22">
        <f ca="1">ts2bElec*SUMPRODUCT(tpSurvPRV,INDEX(tEIdxElec,28)*INDEX(elecPRV,stdCSL+1,6)*convFactor)</f>
        <v>3175.9005028692732</v>
      </c>
      <c r="AG183" s="22">
        <f ca="1">ts2bElec*SUMPRODUCT(tpSurvPRV,INDEX(tEIdxElec,29)*INDEX(elecPRV,stdCSL+1,6)*convFactor)</f>
        <v>3175.9005028692732</v>
      </c>
      <c r="AH183" s="22">
        <f ca="1">ts2bElec*SUMPRODUCT(tpSurvPRV,INDEX(tEIdxElec,30)*INDEX(elecPRV,stdCSL+1,6)*convFactor)</f>
        <v>3175.9005028692732</v>
      </c>
      <c r="AI183" s="22">
        <f ca="1">ts2bElec*SUMPRODUCT(tpSurvPRV,INDEX(tEIdxElec,31)*INDEX(elecPRV,stdCSL+1,6)*convFactor)</f>
        <v>3175.9005028692732</v>
      </c>
      <c r="AJ183" s="22">
        <f ca="1">ts2bElec*SUMPRODUCT(tpSurvPRV,INDEX(tEIdxElec,32)*INDEX(elecPRV,stdCSL+1,6)*convFactor)</f>
        <v>3175.9005028692732</v>
      </c>
      <c r="AK183" s="25">
        <f ca="1">ts2bElec*SUMPRODUCT(tpSurvPRV,INDEX(tEIdxElec,33)*INDEX(elecPRV,stdCSL+1,6)*convFactor)</f>
        <v>3175.9005028692732</v>
      </c>
      <c r="AL183" s="3"/>
    </row>
    <row r="184" spans="2:38">
      <c r="B184" s="3"/>
      <c r="C184" s="30" t="str">
        <f>"EL 6: " &amp; INDEX(_doName,7,7)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(1+INDEX(vadPRV,stdCSL+1,7))*INDEX(mspPRV,stdCSL+1,7)*tPIdxAll + INDEX(instPRV,stdCSL+1,7) + SUMPRODUCT(dFactor,tpSurvPRV,INDEX(mrPRV,stdCSL+1,7)*allOnes)</f>
        <v>1427.6778320000001</v>
      </c>
      <c r="F185" s="28">
        <f ca="1"/>
        <v>1427.6778320000001</v>
      </c>
      <c r="G185" s="28">
        <f ca="1"/>
        <v>1427.6778320000001</v>
      </c>
      <c r="H185" s="28">
        <f ca="1"/>
        <v>1427.6778320000001</v>
      </c>
      <c r="I185" s="28">
        <f ca="1"/>
        <v>1427.6778320000001</v>
      </c>
      <c r="J185" s="28">
        <f ca="1"/>
        <v>1427.6778320000001</v>
      </c>
      <c r="K185" s="28">
        <f ca="1"/>
        <v>1427.6778320000001</v>
      </c>
      <c r="L185" s="28">
        <f ca="1"/>
        <v>1427.6778320000001</v>
      </c>
      <c r="M185" s="28">
        <f ca="1"/>
        <v>1427.6778320000001</v>
      </c>
      <c r="N185" s="28">
        <f ca="1"/>
        <v>1427.6778320000001</v>
      </c>
      <c r="O185" s="28">
        <f ca="1"/>
        <v>1427.6778320000001</v>
      </c>
      <c r="P185" s="28">
        <f ca="1"/>
        <v>1427.6778320000001</v>
      </c>
      <c r="Q185" s="28">
        <f ca="1"/>
        <v>1427.6778320000001</v>
      </c>
      <c r="R185" s="28">
        <f ca="1"/>
        <v>1427.6778320000001</v>
      </c>
      <c r="S185" s="28">
        <f ca="1"/>
        <v>1427.6778320000001</v>
      </c>
      <c r="T185" s="28">
        <f ca="1"/>
        <v>1427.6778320000001</v>
      </c>
      <c r="U185" s="28">
        <f ca="1"/>
        <v>1427.6778320000001</v>
      </c>
      <c r="V185" s="28">
        <f ca="1"/>
        <v>1427.6778320000001</v>
      </c>
      <c r="W185" s="28">
        <f ca="1"/>
        <v>1427.6778320000001</v>
      </c>
      <c r="X185" s="28">
        <f ca="1"/>
        <v>1427.6778320000001</v>
      </c>
      <c r="Y185" s="28">
        <f ca="1"/>
        <v>1427.6778320000001</v>
      </c>
      <c r="Z185" s="28">
        <f ca="1"/>
        <v>1427.6778320000001</v>
      </c>
      <c r="AA185" s="28">
        <f ca="1"/>
        <v>1427.6778320000001</v>
      </c>
      <c r="AB185" s="28">
        <f ca="1"/>
        <v>1427.6778320000001</v>
      </c>
      <c r="AC185" s="28">
        <f ca="1"/>
        <v>1427.6778320000001</v>
      </c>
      <c r="AD185" s="28">
        <f ca="1"/>
        <v>1427.6778320000001</v>
      </c>
      <c r="AE185" s="28">
        <f ca="1"/>
        <v>1427.6778320000001</v>
      </c>
      <c r="AF185" s="28">
        <f ca="1"/>
        <v>1427.6778320000001</v>
      </c>
      <c r="AG185" s="28">
        <f ca="1"/>
        <v>1427.6778320000001</v>
      </c>
      <c r="AH185" s="28">
        <f ca="1"/>
        <v>1427.6778320000001</v>
      </c>
      <c r="AI185" s="28">
        <f ca="1"/>
        <v>1427.6778320000001</v>
      </c>
      <c r="AJ185" s="28">
        <f ca="1"/>
        <v>1427.6778320000001</v>
      </c>
      <c r="AK185" s="29">
        <f ca="1"/>
        <v>1427.6778320000001</v>
      </c>
      <c r="AL185" s="3"/>
    </row>
    <row r="186" spans="2:38">
      <c r="B186" s="3"/>
      <c r="C186" s="23" t="s">
        <v>47</v>
      </c>
      <c r="D186" s="16" t="str">
        <f>_yearDol &amp; "$"</f>
        <v>2013$</v>
      </c>
      <c r="E186" s="141">
        <f t="array" aca="1" ref="E186:AK186" ca="1">(tlccEFupolElec6)</f>
        <v>10579.762692192096</v>
      </c>
      <c r="F186" s="28">
        <f ca="1"/>
        <v>10626.268898326145</v>
      </c>
      <c r="G186" s="28">
        <f ca="1"/>
        <v>10667.509247310507</v>
      </c>
      <c r="H186" s="28">
        <f ca="1"/>
        <v>10712.403277864567</v>
      </c>
      <c r="I186" s="28">
        <f ca="1"/>
        <v>10751.929778439713</v>
      </c>
      <c r="J186" s="28">
        <f ca="1"/>
        <v>10795.0046795534</v>
      </c>
      <c r="K186" s="28">
        <f ca="1"/>
        <v>10832.601417427932</v>
      </c>
      <c r="L186" s="28">
        <f ca="1"/>
        <v>10873.623532639893</v>
      </c>
      <c r="M186" s="28">
        <f ca="1"/>
        <v>10918.296309701314</v>
      </c>
      <c r="N186" s="28">
        <f ca="1"/>
        <v>10957.598371072821</v>
      </c>
      <c r="O186" s="28">
        <f ca="1"/>
        <v>11000.443870383193</v>
      </c>
      <c r="P186" s="28">
        <f ca="1"/>
        <v>11047.10511611429</v>
      </c>
      <c r="Q186" s="28">
        <f ca="1"/>
        <v>11088.549775099311</v>
      </c>
      <c r="R186" s="28">
        <f ca="1"/>
        <v>11133.691492701775</v>
      </c>
      <c r="S186" s="28">
        <f ca="1"/>
        <v>11173.519890551228</v>
      </c>
      <c r="T186" s="28">
        <f ca="1"/>
        <v>11216.938912885222</v>
      </c>
      <c r="U186" s="28">
        <f ca="1"/>
        <v>11264.246419497873</v>
      </c>
      <c r="V186" s="28">
        <f ca="1"/>
        <v>11306.386959416428</v>
      </c>
      <c r="W186" s="28">
        <f ca="1"/>
        <v>11352.306258097691</v>
      </c>
      <c r="X186" s="28">
        <f ca="1"/>
        <v>11392.984610321433</v>
      </c>
      <c r="Y186" s="28">
        <f ca="1"/>
        <v>11437.326852253371</v>
      </c>
      <c r="Z186" s="28">
        <f ca="1"/>
        <v>11485.644483001746</v>
      </c>
      <c r="AA186" s="28">
        <f ca="1"/>
        <v>11528.868342159876</v>
      </c>
      <c r="AB186" s="28">
        <f ca="1"/>
        <v>11575.986016603114</v>
      </c>
      <c r="AC186" s="28">
        <f ca="1"/>
        <v>11617.942131257669</v>
      </c>
      <c r="AD186" s="28">
        <f ca="1"/>
        <v>11663.679615542858</v>
      </c>
      <c r="AE186" s="28">
        <f ca="1"/>
        <v>11713.471476617327</v>
      </c>
      <c r="AF186" s="28">
        <f ca="1"/>
        <v>11758.300852133973</v>
      </c>
      <c r="AG186" s="28">
        <f ca="1"/>
        <v>11807.1586954288</v>
      </c>
      <c r="AH186" s="28">
        <f ca="1"/>
        <v>11850.990369118424</v>
      </c>
      <c r="AI186" s="28">
        <f ca="1"/>
        <v>11898.782785333164</v>
      </c>
      <c r="AJ186" s="28">
        <f ca="1"/>
        <v>11941.482111043255</v>
      </c>
      <c r="AK186" s="29">
        <f ca="1"/>
        <v>11988.065453579011</v>
      </c>
      <c r="AL186" s="3"/>
    </row>
    <row r="187" spans="2:38">
      <c r="B187" s="3"/>
      <c r="C187" s="27" t="str">
        <f>INDEX(_fuel,1)</f>
        <v>Electricity</v>
      </c>
      <c r="D187" s="16" t="str">
        <f>_yearDol &amp; "$"</f>
        <v>2013$</v>
      </c>
      <c r="E187" s="141">
        <f ca="1">SUMPRODUCT(dFactor,tpSurvPRV,INDEX(tEIdxElec,1)*INDEX(elecPRV,stdCSL+1,7)*allOnes,OFFSET(tPrcElec,0,0,1,_maxLT))</f>
        <v>10579.762692192096</v>
      </c>
      <c r="F187" s="28">
        <f ca="1">SUMPRODUCT(dFactor,tpSurvPRV,INDEX(tEIdxElec,2)*INDEX(elecPRV,stdCSL+1,7)*allOnes,OFFSET(tPrcElec,0,1,1,_maxLT))</f>
        <v>10626.268898326145</v>
      </c>
      <c r="G187" s="28">
        <f ca="1">SUMPRODUCT(dFactor,tpSurvPRV,INDEX(tEIdxElec,3)*INDEX(elecPRV,stdCSL+1,7)*allOnes,OFFSET(tPrcElec,0,2,1,_maxLT))</f>
        <v>10667.509247310507</v>
      </c>
      <c r="H187" s="28">
        <f ca="1">SUMPRODUCT(dFactor,tpSurvPRV,INDEX(tEIdxElec,4)*INDEX(elecPRV,stdCSL+1,7)*allOnes,OFFSET(tPrcElec,0,3,1,_maxLT))</f>
        <v>10712.403277864567</v>
      </c>
      <c r="I187" s="28">
        <f ca="1">SUMPRODUCT(dFactor,tpSurvPRV,INDEX(tEIdxElec,5)*INDEX(elecPRV,stdCSL+1,7)*allOnes,OFFSET(tPrcElec,0,4,1,_maxLT))</f>
        <v>10751.929778439713</v>
      </c>
      <c r="J187" s="28">
        <f ca="1">SUMPRODUCT(dFactor,tpSurvPRV,INDEX(tEIdxElec,6)*INDEX(elecPRV,stdCSL+1,7)*allOnes,OFFSET(tPrcElec,0,5,1,_maxLT))</f>
        <v>10795.0046795534</v>
      </c>
      <c r="K187" s="28">
        <f ca="1">SUMPRODUCT(dFactor,tpSurvPRV,INDEX(tEIdxElec,7)*INDEX(elecPRV,stdCSL+1,7)*allOnes,OFFSET(tPrcElec,0,6,1,_maxLT))</f>
        <v>10832.601417427932</v>
      </c>
      <c r="L187" s="28">
        <f ca="1">SUMPRODUCT(dFactor,tpSurvPRV,INDEX(tEIdxElec,8)*INDEX(elecPRV,stdCSL+1,7)*allOnes,OFFSET(tPrcElec,0,7,1,_maxLT))</f>
        <v>10873.623532639893</v>
      </c>
      <c r="M187" s="28">
        <f ca="1">SUMPRODUCT(dFactor,tpSurvPRV,INDEX(tEIdxElec,9)*INDEX(elecPRV,stdCSL+1,7)*allOnes,OFFSET(tPrcElec,0,8,1,_maxLT))</f>
        <v>10918.296309701314</v>
      </c>
      <c r="N187" s="28">
        <f ca="1">SUMPRODUCT(dFactor,tpSurvPRV,INDEX(tEIdxElec,10)*INDEX(elecPRV,stdCSL+1,7)*allOnes,OFFSET(tPrcElec,0,9,1,_maxLT))</f>
        <v>10957.598371072821</v>
      </c>
      <c r="O187" s="28">
        <f ca="1">SUMPRODUCT(dFactor,tpSurvPRV,INDEX(tEIdxElec,11)*INDEX(elecPRV,stdCSL+1,7)*allOnes,OFFSET(tPrcElec,0,10,1,_maxLT))</f>
        <v>11000.443870383193</v>
      </c>
      <c r="P187" s="28">
        <f ca="1">SUMPRODUCT(dFactor,tpSurvPRV,INDEX(tEIdxElec,12)*INDEX(elecPRV,stdCSL+1,7)*allOnes,OFFSET(tPrcElec,0,11,1,_maxLT))</f>
        <v>11047.10511611429</v>
      </c>
      <c r="Q187" s="28">
        <f ca="1">SUMPRODUCT(dFactor,tpSurvPRV,INDEX(tEIdxElec,13)*INDEX(elecPRV,stdCSL+1,7)*allOnes,OFFSET(tPrcElec,0,12,1,_maxLT))</f>
        <v>11088.549775099311</v>
      </c>
      <c r="R187" s="28">
        <f ca="1">SUMPRODUCT(dFactor,tpSurvPRV,INDEX(tEIdxElec,14)*INDEX(elecPRV,stdCSL+1,7)*allOnes,OFFSET(tPrcElec,0,13,1,_maxLT))</f>
        <v>11133.691492701775</v>
      </c>
      <c r="S187" s="28">
        <f ca="1">SUMPRODUCT(dFactor,tpSurvPRV,INDEX(tEIdxElec,15)*INDEX(elecPRV,stdCSL+1,7)*allOnes,OFFSET(tPrcElec,0,14,1,_maxLT))</f>
        <v>11173.519890551228</v>
      </c>
      <c r="T187" s="28">
        <f ca="1">SUMPRODUCT(dFactor,tpSurvPRV,INDEX(tEIdxElec,16)*INDEX(elecPRV,stdCSL+1,7)*allOnes,OFFSET(tPrcElec,0,15,1,_maxLT))</f>
        <v>11216.938912885222</v>
      </c>
      <c r="U187" s="28">
        <f ca="1">SUMPRODUCT(dFactor,tpSurvPRV,INDEX(tEIdxElec,17)*INDEX(elecPRV,stdCSL+1,7)*allOnes,OFFSET(tPrcElec,0,16,1,_maxLT))</f>
        <v>11264.246419497873</v>
      </c>
      <c r="V187" s="28">
        <f ca="1">SUMPRODUCT(dFactor,tpSurvPRV,INDEX(tEIdxElec,18)*INDEX(elecPRV,stdCSL+1,7)*allOnes,OFFSET(tPrcElec,0,17,1,_maxLT))</f>
        <v>11306.386959416428</v>
      </c>
      <c r="W187" s="28">
        <f ca="1">SUMPRODUCT(dFactor,tpSurvPRV,INDEX(tEIdxElec,19)*INDEX(elecPRV,stdCSL+1,7)*allOnes,OFFSET(tPrcElec,0,18,1,_maxLT))</f>
        <v>11352.306258097691</v>
      </c>
      <c r="X187" s="28">
        <f ca="1">SUMPRODUCT(dFactor,tpSurvPRV,INDEX(tEIdxElec,20)*INDEX(elecPRV,stdCSL+1,7)*allOnes,OFFSET(tPrcElec,0,19,1,_maxLT))</f>
        <v>11392.984610321433</v>
      </c>
      <c r="Y187" s="28">
        <f ca="1">SUMPRODUCT(dFactor,tpSurvPRV,INDEX(tEIdxElec,21)*INDEX(elecPRV,stdCSL+1,7)*allOnes,OFFSET(tPrcElec,0,20,1,_maxLT))</f>
        <v>11437.326852253371</v>
      </c>
      <c r="Z187" s="28">
        <f ca="1">SUMPRODUCT(dFactor,tpSurvPRV,INDEX(tEIdxElec,22)*INDEX(elecPRV,stdCSL+1,7)*allOnes,OFFSET(tPrcElec,0,21,1,_maxLT))</f>
        <v>11485.644483001746</v>
      </c>
      <c r="AA187" s="28">
        <f ca="1">SUMPRODUCT(dFactor,tpSurvPRV,INDEX(tEIdxElec,23)*INDEX(elecPRV,stdCSL+1,7)*allOnes,OFFSET(tPrcElec,0,22,1,_maxLT))</f>
        <v>11528.868342159876</v>
      </c>
      <c r="AB187" s="28">
        <f ca="1">SUMPRODUCT(dFactor,tpSurvPRV,INDEX(tEIdxElec,24)*INDEX(elecPRV,stdCSL+1,7)*allOnes,OFFSET(tPrcElec,0,23,1,_maxLT))</f>
        <v>11575.986016603114</v>
      </c>
      <c r="AC187" s="28">
        <f ca="1">SUMPRODUCT(dFactor,tpSurvPRV,INDEX(tEIdxElec,25)*INDEX(elecPRV,stdCSL+1,7)*allOnes,OFFSET(tPrcElec,0,24,1,_maxLT))</f>
        <v>11617.942131257669</v>
      </c>
      <c r="AD187" s="28">
        <f ca="1">SUMPRODUCT(dFactor,tpSurvPRV,INDEX(tEIdxElec,26)*INDEX(elecPRV,stdCSL+1,7)*allOnes,OFFSET(tPrcElec,0,25,1,_maxLT))</f>
        <v>11663.679615542858</v>
      </c>
      <c r="AE187" s="28">
        <f ca="1">SUMPRODUCT(dFactor,tpSurvPRV,INDEX(tEIdxElec,27)*INDEX(elecPRV,stdCSL+1,7)*allOnes,OFFSET(tPrcElec,0,26,1,_maxLT))</f>
        <v>11713.471476617327</v>
      </c>
      <c r="AF187" s="28">
        <f ca="1">SUMPRODUCT(dFactor,tpSurvPRV,INDEX(tEIdxElec,28)*INDEX(elecPRV,stdCSL+1,7)*allOnes,OFFSET(tPrcElec,0,27,1,_maxLT))</f>
        <v>11758.300852133973</v>
      </c>
      <c r="AG187" s="28">
        <f ca="1">SUMPRODUCT(dFactor,tpSurvPRV,INDEX(tEIdxElec,29)*INDEX(elecPRV,stdCSL+1,7)*allOnes,OFFSET(tPrcElec,0,28,1,_maxLT))</f>
        <v>11807.1586954288</v>
      </c>
      <c r="AH187" s="28">
        <f ca="1">SUMPRODUCT(dFactor,tpSurvPRV,INDEX(tEIdxElec,30)*INDEX(elecPRV,stdCSL+1,7)*allOnes,OFFSET(tPrcElec,0,29,1,_maxLT))</f>
        <v>11850.990369118424</v>
      </c>
      <c r="AI187" s="28">
        <f ca="1">SUMPRODUCT(dFactor,tpSurvPRV,INDEX(tEIdxElec,31)*INDEX(elecPRV,stdCSL+1,7)*allOnes,OFFSET(tPrcElec,0,30,1,_maxLT))</f>
        <v>11898.782785333164</v>
      </c>
      <c r="AJ187" s="28">
        <f ca="1">SUMPRODUCT(dFactor,tpSurvPRV,INDEX(tEIdxElec,32)*INDEX(elecPRV,stdCSL+1,7)*allOnes,OFFSET(tPrcElec,0,31,1,_maxLT))</f>
        <v>11941.482111043255</v>
      </c>
      <c r="AK187" s="29">
        <f ca="1">SUMPRODUCT(dFactor,tpSurvPRV,INDEX(tEIdxElec,33)*INDEX(elecPRV,stdCSL+1,7)*allOnes,OFFSET(tPrcElec,0,32,1,_maxLT))</f>
        <v>11988.065453579011</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ts2bElec*SUMPRODUCT(tpSurvPRV,INDEX(tEIdxElec,1)*INDEX(elecPRV,stdCSL+1,7)*convFactor)</f>
        <v>2392.6407748210881</v>
      </c>
      <c r="F189" s="24">
        <f ca="1">ts2bElec*SUMPRODUCT(tpSurvPRV,INDEX(tEIdxElec,2)*INDEX(elecPRV,stdCSL+1,7)*convFactor)</f>
        <v>2376.1604003438638</v>
      </c>
      <c r="G189" s="24">
        <f ca="1">ts2bElec*SUMPRODUCT(tpSurvPRV,INDEX(tEIdxElec,3)*INDEX(elecPRV,stdCSL+1,7)*convFactor)</f>
        <v>2359.5586040217459</v>
      </c>
      <c r="H189" s="24">
        <f ca="1">ts2bElec*SUMPRODUCT(tpSurvPRV,INDEX(tEIdxElec,4)*INDEX(elecPRV,stdCSL+1,7)*convFactor)</f>
        <v>2344.9802224097602</v>
      </c>
      <c r="I189" s="24">
        <f ca="1">ts2bElec*SUMPRODUCT(tpSurvPRV,INDEX(tEIdxElec,5)*INDEX(elecPRV,stdCSL+1,7)*convFactor)</f>
        <v>2331.1568554896585</v>
      </c>
      <c r="J189" s="24">
        <f ca="1">ts2bElec*SUMPRODUCT(tpSurvPRV,INDEX(tEIdxElec,6)*INDEX(elecPRV,stdCSL+1,7)*convFactor)</f>
        <v>2319.1201845997471</v>
      </c>
      <c r="K189" s="24">
        <f ca="1">ts2bElec*SUMPRODUCT(tpSurvPRV,INDEX(tEIdxElec,7)*INDEX(elecPRV,stdCSL+1,7)*convFactor)</f>
        <v>2309.7881023635923</v>
      </c>
      <c r="L189" s="24">
        <f ca="1">ts2bElec*SUMPRODUCT(tpSurvPRV,INDEX(tEIdxElec,8)*INDEX(elecPRV,stdCSL+1,7)*convFactor)</f>
        <v>2302.0525687602444</v>
      </c>
      <c r="M189" s="24">
        <f ca="1">ts2bElec*SUMPRODUCT(tpSurvPRV,INDEX(tEIdxElec,9)*INDEX(elecPRV,stdCSL+1,7)*convFactor)</f>
        <v>2294.2819102170192</v>
      </c>
      <c r="N189" s="24">
        <f ca="1">ts2bElec*SUMPRODUCT(tpSurvPRV,INDEX(tEIdxElec,10)*INDEX(elecPRV,stdCSL+1,7)*convFactor)</f>
        <v>2288.0659193903198</v>
      </c>
      <c r="O189" s="24">
        <f ca="1">ts2bElec*SUMPRODUCT(tpSurvPRV,INDEX(tEIdxElec,11)*INDEX(elecPRV,stdCSL+1,7)*convFactor)</f>
        <v>2283.7845555641561</v>
      </c>
      <c r="P189" s="24">
        <f ca="1">ts2bElec*SUMPRODUCT(tpSurvPRV,INDEX(tEIdxElec,12)*INDEX(elecPRV,stdCSL+1,7)*convFactor)</f>
        <v>2280.6510714120741</v>
      </c>
      <c r="Q189" s="24">
        <f ca="1">ts2bElec*SUMPRODUCT(tpSurvPRV,INDEX(tEIdxElec,13)*INDEX(elecPRV,stdCSL+1,7)*convFactor)</f>
        <v>2278.0135158065023</v>
      </c>
      <c r="R189" s="24">
        <f ca="1">ts2bElec*SUMPRODUCT(tpSurvPRV,INDEX(tEIdxElec,14)*INDEX(elecPRV,stdCSL+1,7)*convFactor)</f>
        <v>2276.0674317720986</v>
      </c>
      <c r="S189" s="24">
        <f ca="1">ts2bElec*SUMPRODUCT(tpSurvPRV,INDEX(tEIdxElec,15)*INDEX(elecPRV,stdCSL+1,7)*convFactor)</f>
        <v>2274.5837286640458</v>
      </c>
      <c r="T189" s="24">
        <f ca="1">ts2bElec*SUMPRODUCT(tpSurvPRV,INDEX(tEIdxElec,16)*INDEX(elecPRV,stdCSL+1,7)*convFactor)</f>
        <v>2274.3974190080194</v>
      </c>
      <c r="U189" s="24">
        <f ca="1">ts2bElec*SUMPRODUCT(tpSurvPRV,INDEX(tEIdxElec,17)*INDEX(elecPRV,stdCSL+1,7)*convFactor)</f>
        <v>2274.7777247676504</v>
      </c>
      <c r="V189" s="24">
        <f ca="1">ts2bElec*SUMPRODUCT(tpSurvPRV,INDEX(tEIdxElec,18)*INDEX(elecPRV,stdCSL+1,7)*convFactor)</f>
        <v>2275.3370233089954</v>
      </c>
      <c r="W189" s="24">
        <f ca="1">ts2bElec*SUMPRODUCT(tpSurvPRV,INDEX(tEIdxElec,19)*INDEX(elecPRV,stdCSL+1,7)*convFactor)</f>
        <v>2276.1368977130014</v>
      </c>
      <c r="X189" s="24">
        <f ca="1">ts2bElec*SUMPRODUCT(tpSurvPRV,INDEX(tEIdxElec,20)*INDEX(elecPRV,stdCSL+1,7)*convFactor)</f>
        <v>2276.8927704325183</v>
      </c>
      <c r="Y189" s="24">
        <f ca="1">ts2bElec*SUMPRODUCT(tpSurvPRV,INDEX(tEIdxElec,21)*INDEX(elecPRV,stdCSL+1,7)*convFactor)</f>
        <v>2277.5190513944463</v>
      </c>
      <c r="Z189" s="24">
        <f ca="1">ts2bElec*SUMPRODUCT(tpSurvPRV,INDEX(tEIdxElec,22)*INDEX(elecPRV,stdCSL+1,7)*convFactor)</f>
        <v>2277.9387481871986</v>
      </c>
      <c r="AA189" s="24">
        <f ca="1">ts2bElec*SUMPRODUCT(tpSurvPRV,INDEX(tEIdxElec,23)*INDEX(elecPRV,stdCSL+1,7)*convFactor)</f>
        <v>2278.2153563114143</v>
      </c>
      <c r="AB189" s="24">
        <f ca="1">ts2bElec*SUMPRODUCT(tpSurvPRV,INDEX(tEIdxElec,24)*INDEX(elecPRV,stdCSL+1,7)*convFactor)</f>
        <v>2278.2153563114143</v>
      </c>
      <c r="AC189" s="24">
        <f ca="1">ts2bElec*SUMPRODUCT(tpSurvPRV,INDEX(tEIdxElec,25)*INDEX(elecPRV,stdCSL+1,7)*convFactor)</f>
        <v>2278.2153563114143</v>
      </c>
      <c r="AD189" s="24">
        <f ca="1">ts2bElec*SUMPRODUCT(tpSurvPRV,INDEX(tEIdxElec,26)*INDEX(elecPRV,stdCSL+1,7)*convFactor)</f>
        <v>2278.2153563114143</v>
      </c>
      <c r="AE189" s="24">
        <f ca="1">ts2bElec*SUMPRODUCT(tpSurvPRV,INDEX(tEIdxElec,27)*INDEX(elecPRV,stdCSL+1,7)*convFactor)</f>
        <v>2278.2153563114143</v>
      </c>
      <c r="AF189" s="24">
        <f ca="1">ts2bElec*SUMPRODUCT(tpSurvPRV,INDEX(tEIdxElec,28)*INDEX(elecPRV,stdCSL+1,7)*convFactor)</f>
        <v>2278.2153563114143</v>
      </c>
      <c r="AG189" s="24">
        <f ca="1">ts2bElec*SUMPRODUCT(tpSurvPRV,INDEX(tEIdxElec,29)*INDEX(elecPRV,stdCSL+1,7)*convFactor)</f>
        <v>2278.2153563114143</v>
      </c>
      <c r="AH189" s="24">
        <f ca="1">ts2bElec*SUMPRODUCT(tpSurvPRV,INDEX(tEIdxElec,30)*INDEX(elecPRV,stdCSL+1,7)*convFactor)</f>
        <v>2278.2153563114143</v>
      </c>
      <c r="AI189" s="24">
        <f ca="1">ts2bElec*SUMPRODUCT(tpSurvPRV,INDEX(tEIdxElec,31)*INDEX(elecPRV,stdCSL+1,7)*convFactor)</f>
        <v>2278.2153563114143</v>
      </c>
      <c r="AJ189" s="24">
        <f ca="1">ts2bElec*SUMPRODUCT(tpSurvPRV,INDEX(tEIdxElec,32)*INDEX(elecPRV,stdCSL+1,7)*convFactor)</f>
        <v>2278.2153563114143</v>
      </c>
      <c r="AK189" s="26">
        <f ca="1">ts2bElec*SUMPRODUCT(tpSurvPRV,INDEX(tEIdxElec,33)*INDEX(elecPRV,stdCSL+1,7)*convFactor)</f>
        <v>2278.2153563114143</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1157" priority="1" stopIfTrue="1">
      <formula>LEN(TRIM(E106))=0</formula>
    </cfRule>
    <cfRule type="notContainsBlanks" dxfId="1156" priority="2" stopIfTrue="1">
      <formula>LEN(TRIM(E106))&gt;0</formula>
    </cfRule>
  </conditionalFormatting>
  <conditionalFormatting sqref="E107:AK107">
    <cfRule type="containsBlanks" dxfId="1155" priority="3" stopIfTrue="1">
      <formula>LEN(TRIM(E107))=0</formula>
    </cfRule>
    <cfRule type="notContainsBlanks" dxfId="1154" priority="4" stopIfTrue="1">
      <formula>LEN(TRIM(E107))&gt;0</formula>
    </cfRule>
  </conditionalFormatting>
  <conditionalFormatting sqref="E108:AK108">
    <cfRule type="containsBlanks" dxfId="1153" priority="5" stopIfTrue="1">
      <formula>LEN(TRIM(E108))=0</formula>
    </cfRule>
    <cfRule type="notContainsBlanks" dxfId="1152" priority="6" stopIfTrue="1">
      <formula>LEN(TRIM(E108))&gt;0</formula>
    </cfRule>
  </conditionalFormatting>
  <conditionalFormatting sqref="E110:AK110">
    <cfRule type="containsBlanks" dxfId="1151" priority="7" stopIfTrue="1">
      <formula>LEN(TRIM(E110))=0</formula>
    </cfRule>
    <cfRule type="notContainsBlanks" dxfId="1150" priority="8" stopIfTrue="1">
      <formula>LEN(TRIM(E110))&gt;0</formula>
    </cfRule>
  </conditionalFormatting>
  <conditionalFormatting sqref="E112:AK112">
    <cfRule type="containsBlanks" dxfId="1149" priority="9" stopIfTrue="1">
      <formula>LEN(TRIM(E112))=0</formula>
    </cfRule>
    <cfRule type="notContainsBlanks" dxfId="1148" priority="10" stopIfTrue="1">
      <formula>LEN(TRIM(E112))&gt;0</formula>
    </cfRule>
  </conditionalFormatting>
  <conditionalFormatting sqref="E113:AK113">
    <cfRule type="containsBlanks" dxfId="1147" priority="11" stopIfTrue="1">
      <formula>LEN(TRIM(E113))=0</formula>
    </cfRule>
    <cfRule type="notContainsBlanks" dxfId="1146" priority="12" stopIfTrue="1">
      <formula>LEN(TRIM(E113))&gt;0</formula>
    </cfRule>
  </conditionalFormatting>
  <conditionalFormatting sqref="E114:AK114">
    <cfRule type="containsBlanks" dxfId="1145" priority="13" stopIfTrue="1">
      <formula>LEN(TRIM(E114))=0</formula>
    </cfRule>
    <cfRule type="notContainsBlanks" dxfId="1144" priority="14" stopIfTrue="1">
      <formula>LEN(TRIM(E114))&gt;0</formula>
    </cfRule>
  </conditionalFormatting>
  <conditionalFormatting sqref="E116:AK116">
    <cfRule type="containsBlanks" dxfId="1143" priority="15" stopIfTrue="1">
      <formula>LEN(TRIM(E116))=0</formula>
    </cfRule>
    <cfRule type="notContainsBlanks" dxfId="1142" priority="16" stopIfTrue="1">
      <formula>LEN(TRIM(E116))&gt;0</formula>
    </cfRule>
  </conditionalFormatting>
  <conditionalFormatting sqref="E118:AK118">
    <cfRule type="containsBlanks" dxfId="1141" priority="17" stopIfTrue="1">
      <formula>LEN(TRIM(E118))=0</formula>
    </cfRule>
    <cfRule type="notContainsBlanks" dxfId="1140" priority="18" stopIfTrue="1">
      <formula>LEN(TRIM(E118))&gt;0</formula>
    </cfRule>
  </conditionalFormatting>
  <conditionalFormatting sqref="E119:AK119">
    <cfRule type="containsBlanks" dxfId="1139" priority="19" stopIfTrue="1">
      <formula>LEN(TRIM(E119))=0</formula>
    </cfRule>
    <cfRule type="notContainsBlanks" dxfId="1138" priority="20" stopIfTrue="1">
      <formula>LEN(TRIM(E119))&gt;0</formula>
    </cfRule>
  </conditionalFormatting>
  <conditionalFormatting sqref="E120:AK120">
    <cfRule type="containsBlanks" dxfId="1137" priority="21" stopIfTrue="1">
      <formula>LEN(TRIM(E120))=0</formula>
    </cfRule>
    <cfRule type="notContainsBlanks" dxfId="1136" priority="22" stopIfTrue="1">
      <formula>LEN(TRIM(E120))&gt;0</formula>
    </cfRule>
  </conditionalFormatting>
  <conditionalFormatting sqref="E122:AK122">
    <cfRule type="containsBlanks" dxfId="1135" priority="23" stopIfTrue="1">
      <formula>LEN(TRIM(E122))=0</formula>
    </cfRule>
    <cfRule type="notContainsBlanks" dxfId="1134" priority="24" stopIfTrue="1">
      <formula>LEN(TRIM(E122))&gt;0</formula>
    </cfRule>
  </conditionalFormatting>
  <conditionalFormatting sqref="E124:AK124">
    <cfRule type="containsBlanks" dxfId="1133" priority="25" stopIfTrue="1">
      <formula>LEN(TRIM(E124))=0</formula>
    </cfRule>
    <cfRule type="notContainsBlanks" dxfId="1132" priority="26" stopIfTrue="1">
      <formula>LEN(TRIM(E124))&gt;0</formula>
    </cfRule>
  </conditionalFormatting>
  <conditionalFormatting sqref="E125:AK125">
    <cfRule type="containsBlanks" dxfId="1131" priority="27" stopIfTrue="1">
      <formula>LEN(TRIM(E125))=0</formula>
    </cfRule>
    <cfRule type="notContainsBlanks" dxfId="1130" priority="28" stopIfTrue="1">
      <formula>LEN(TRIM(E125))&gt;0</formula>
    </cfRule>
  </conditionalFormatting>
  <conditionalFormatting sqref="E126:AK126">
    <cfRule type="containsBlanks" dxfId="1129" priority="29" stopIfTrue="1">
      <formula>LEN(TRIM(E126))=0</formula>
    </cfRule>
    <cfRule type="notContainsBlanks" dxfId="1128" priority="30" stopIfTrue="1">
      <formula>LEN(TRIM(E126))&gt;0</formula>
    </cfRule>
  </conditionalFormatting>
  <conditionalFormatting sqref="E128:AK128">
    <cfRule type="containsBlanks" dxfId="1127" priority="31" stopIfTrue="1">
      <formula>LEN(TRIM(E128))=0</formula>
    </cfRule>
    <cfRule type="notContainsBlanks" dxfId="1126" priority="32" stopIfTrue="1">
      <formula>LEN(TRIM(E128))&gt;0</formula>
    </cfRule>
  </conditionalFormatting>
  <conditionalFormatting sqref="E130:AK130">
    <cfRule type="containsBlanks" dxfId="1125" priority="33" stopIfTrue="1">
      <formula>LEN(TRIM(E130))=0</formula>
    </cfRule>
    <cfRule type="notContainsBlanks" dxfId="1124" priority="34" stopIfTrue="1">
      <formula>LEN(TRIM(E130))&gt;0</formula>
    </cfRule>
  </conditionalFormatting>
  <conditionalFormatting sqref="E131:AK131">
    <cfRule type="containsBlanks" dxfId="1123" priority="35" stopIfTrue="1">
      <formula>LEN(TRIM(E131))=0</formula>
    </cfRule>
    <cfRule type="notContainsBlanks" dxfId="1122" priority="36" stopIfTrue="1">
      <formula>LEN(TRIM(E131))&gt;0</formula>
    </cfRule>
  </conditionalFormatting>
  <conditionalFormatting sqref="E132:AK132">
    <cfRule type="containsBlanks" dxfId="1121" priority="37" stopIfTrue="1">
      <formula>LEN(TRIM(E132))=0</formula>
    </cfRule>
    <cfRule type="notContainsBlanks" dxfId="1120" priority="38" stopIfTrue="1">
      <formula>LEN(TRIM(E132))&gt;0</formula>
    </cfRule>
  </conditionalFormatting>
  <conditionalFormatting sqref="E134:AK134">
    <cfRule type="containsBlanks" dxfId="1119" priority="39" stopIfTrue="1">
      <formula>LEN(TRIM(E134))=0</formula>
    </cfRule>
    <cfRule type="notContainsBlanks" dxfId="1118" priority="40" stopIfTrue="1">
      <formula>LEN(TRIM(E134))&gt;0</formula>
    </cfRule>
  </conditionalFormatting>
  <conditionalFormatting sqref="E136:AK136">
    <cfRule type="containsBlanks" dxfId="1117" priority="41" stopIfTrue="1">
      <formula>LEN(TRIM(E136))=0</formula>
    </cfRule>
  </conditionalFormatting>
  <conditionalFormatting sqref="E136:AK136">
    <cfRule type="notContainsBlanks" dxfId="1116" priority="42" stopIfTrue="1">
      <formula>LEN(TRIM(E136))&gt;0</formula>
    </cfRule>
  </conditionalFormatting>
  <conditionalFormatting sqref="E137:AK137">
    <cfRule type="containsBlanks" dxfId="1115" priority="43" stopIfTrue="1">
      <formula>LEN(TRIM(E137))=0</formula>
    </cfRule>
  </conditionalFormatting>
  <conditionalFormatting sqref="E137:AK137">
    <cfRule type="notContainsBlanks" dxfId="1114" priority="44" stopIfTrue="1">
      <formula>LEN(TRIM(E137))&gt;0</formula>
    </cfRule>
  </conditionalFormatting>
  <conditionalFormatting sqref="E138:AK138">
    <cfRule type="containsBlanks" dxfId="1113" priority="45" stopIfTrue="1">
      <formula>LEN(TRIM(E138))=0</formula>
    </cfRule>
  </conditionalFormatting>
  <conditionalFormatting sqref="E138:AK138">
    <cfRule type="notContainsBlanks" dxfId="1112" priority="46" stopIfTrue="1">
      <formula>LEN(TRIM(E138))&gt;0</formula>
    </cfRule>
  </conditionalFormatting>
  <conditionalFormatting sqref="E140:AK140">
    <cfRule type="containsBlanks" dxfId="1111" priority="47" stopIfTrue="1">
      <formula>LEN(TRIM(E140))=0</formula>
    </cfRule>
  </conditionalFormatting>
  <conditionalFormatting sqref="E140:AK140">
    <cfRule type="notContainsBlanks" dxfId="1110" priority="48" stopIfTrue="1">
      <formula>LEN(TRIM(E140))&gt;0</formula>
    </cfRule>
  </conditionalFormatting>
  <conditionalFormatting sqref="E142:AK142">
    <cfRule type="containsBlanks" dxfId="1109" priority="49" stopIfTrue="1">
      <formula>LEN(TRIM(E142))=0</formula>
    </cfRule>
  </conditionalFormatting>
  <conditionalFormatting sqref="E142:AK142">
    <cfRule type="notContainsBlanks" dxfId="1108" priority="50" stopIfTrue="1">
      <formula>LEN(TRIM(E142))&gt;0</formula>
    </cfRule>
  </conditionalFormatting>
  <conditionalFormatting sqref="E143:AK143">
    <cfRule type="containsBlanks" dxfId="1107" priority="51" stopIfTrue="1">
      <formula>LEN(TRIM(E143))=0</formula>
    </cfRule>
  </conditionalFormatting>
  <conditionalFormatting sqref="E143:AK143">
    <cfRule type="notContainsBlanks" dxfId="1106" priority="52" stopIfTrue="1">
      <formula>LEN(TRIM(E143))&gt;0</formula>
    </cfRule>
  </conditionalFormatting>
  <conditionalFormatting sqref="E144:AK144">
    <cfRule type="containsBlanks" dxfId="1105" priority="53" stopIfTrue="1">
      <formula>LEN(TRIM(E144))=0</formula>
    </cfRule>
  </conditionalFormatting>
  <conditionalFormatting sqref="E144:AK144">
    <cfRule type="notContainsBlanks" dxfId="1104" priority="54" stopIfTrue="1">
      <formula>LEN(TRIM(E144))&gt;0</formula>
    </cfRule>
  </conditionalFormatting>
  <conditionalFormatting sqref="E146:AK146">
    <cfRule type="containsBlanks" dxfId="1103" priority="55" stopIfTrue="1">
      <formula>LEN(TRIM(E146))=0</formula>
    </cfRule>
  </conditionalFormatting>
  <conditionalFormatting sqref="E146:AK146">
    <cfRule type="notContainsBlanks" dxfId="1102" priority="56" stopIfTrue="1">
      <formula>LEN(TRIM(E146))&gt;0</formula>
    </cfRule>
  </conditionalFormatting>
  <conditionalFormatting sqref="E149:AK149">
    <cfRule type="containsBlanks" dxfId="1101" priority="57" stopIfTrue="1">
      <formula>LEN(TRIM(E149))=0</formula>
    </cfRule>
  </conditionalFormatting>
  <conditionalFormatting sqref="E149:AK149">
    <cfRule type="notContainsBlanks" dxfId="1100" priority="58" stopIfTrue="1">
      <formula>LEN(TRIM(E149))&gt;0</formula>
    </cfRule>
  </conditionalFormatting>
  <conditionalFormatting sqref="E150:AK150">
    <cfRule type="containsBlanks" dxfId="1099" priority="59" stopIfTrue="1">
      <formula>LEN(TRIM(E150))=0</formula>
    </cfRule>
  </conditionalFormatting>
  <conditionalFormatting sqref="E150:AK150">
    <cfRule type="notContainsBlanks" dxfId="1098" priority="60" stopIfTrue="1">
      <formula>LEN(TRIM(E150))&gt;0</formula>
    </cfRule>
  </conditionalFormatting>
  <conditionalFormatting sqref="E151:AK151">
    <cfRule type="containsBlanks" dxfId="1097" priority="61" stopIfTrue="1">
      <formula>LEN(TRIM(E151))=0</formula>
    </cfRule>
  </conditionalFormatting>
  <conditionalFormatting sqref="E151:AK151">
    <cfRule type="notContainsBlanks" dxfId="1096" priority="62" stopIfTrue="1">
      <formula>LEN(TRIM(E151))&gt;0</formula>
    </cfRule>
  </conditionalFormatting>
  <conditionalFormatting sqref="E153:AK153">
    <cfRule type="containsBlanks" dxfId="1095" priority="63" stopIfTrue="1">
      <formula>LEN(TRIM(E153))=0</formula>
    </cfRule>
  </conditionalFormatting>
  <conditionalFormatting sqref="E153:AK153">
    <cfRule type="notContainsBlanks" dxfId="1094" priority="64" stopIfTrue="1">
      <formula>LEN(TRIM(E153))&gt;0</formula>
    </cfRule>
  </conditionalFormatting>
  <conditionalFormatting sqref="E155:AK155">
    <cfRule type="containsBlanks" dxfId="1093" priority="65" stopIfTrue="1">
      <formula>LEN(TRIM(E155))=0</formula>
    </cfRule>
  </conditionalFormatting>
  <conditionalFormatting sqref="E155:AK155">
    <cfRule type="notContainsBlanks" dxfId="1092" priority="66" stopIfTrue="1">
      <formula>LEN(TRIM(E155))&gt;0</formula>
    </cfRule>
  </conditionalFormatting>
  <conditionalFormatting sqref="E156:AK156">
    <cfRule type="containsBlanks" dxfId="1091" priority="67" stopIfTrue="1">
      <formula>LEN(TRIM(E156))=0</formula>
    </cfRule>
  </conditionalFormatting>
  <conditionalFormatting sqref="E156:AK156">
    <cfRule type="notContainsBlanks" dxfId="1090" priority="68" stopIfTrue="1">
      <formula>LEN(TRIM(E156))&gt;0</formula>
    </cfRule>
  </conditionalFormatting>
  <conditionalFormatting sqref="E157:AK157">
    <cfRule type="containsBlanks" dxfId="1089" priority="69" stopIfTrue="1">
      <formula>LEN(TRIM(E157))=0</formula>
    </cfRule>
  </conditionalFormatting>
  <conditionalFormatting sqref="E157:AK157">
    <cfRule type="notContainsBlanks" dxfId="1088" priority="70" stopIfTrue="1">
      <formula>LEN(TRIM(E157))&gt;0</formula>
    </cfRule>
  </conditionalFormatting>
  <conditionalFormatting sqref="E159:AK159">
    <cfRule type="containsBlanks" dxfId="1087" priority="71" stopIfTrue="1">
      <formula>LEN(TRIM(E159))=0</formula>
    </cfRule>
  </conditionalFormatting>
  <conditionalFormatting sqref="E159:AK159">
    <cfRule type="notContainsBlanks" dxfId="1086" priority="72" stopIfTrue="1">
      <formula>LEN(TRIM(E159))&gt;0</formula>
    </cfRule>
  </conditionalFormatting>
  <conditionalFormatting sqref="E161:AK161">
    <cfRule type="containsBlanks" dxfId="1085" priority="73" stopIfTrue="1">
      <formula>LEN(TRIM(E161))=0</formula>
    </cfRule>
  </conditionalFormatting>
  <conditionalFormatting sqref="E161:AK161">
    <cfRule type="notContainsBlanks" dxfId="1084" priority="74" stopIfTrue="1">
      <formula>LEN(TRIM(E161))&gt;0</formula>
    </cfRule>
  </conditionalFormatting>
  <conditionalFormatting sqref="E162:AK162">
    <cfRule type="containsBlanks" dxfId="1083" priority="75" stopIfTrue="1">
      <formula>LEN(TRIM(E162))=0</formula>
    </cfRule>
  </conditionalFormatting>
  <conditionalFormatting sqref="E162:AK162">
    <cfRule type="notContainsBlanks" dxfId="1082" priority="76" stopIfTrue="1">
      <formula>LEN(TRIM(E162))&gt;0</formula>
    </cfRule>
  </conditionalFormatting>
  <conditionalFormatting sqref="E163:AK163">
    <cfRule type="containsBlanks" dxfId="1081" priority="77" stopIfTrue="1">
      <formula>LEN(TRIM(E163))=0</formula>
    </cfRule>
  </conditionalFormatting>
  <conditionalFormatting sqref="E163:AK163">
    <cfRule type="notContainsBlanks" dxfId="1080" priority="78" stopIfTrue="1">
      <formula>LEN(TRIM(E163))&gt;0</formula>
    </cfRule>
  </conditionalFormatting>
  <conditionalFormatting sqref="E165:AK165">
    <cfRule type="containsBlanks" dxfId="1079" priority="79" stopIfTrue="1">
      <formula>LEN(TRIM(E165))=0</formula>
    </cfRule>
  </conditionalFormatting>
  <conditionalFormatting sqref="E165:AK165">
    <cfRule type="notContainsBlanks" dxfId="1078" priority="80" stopIfTrue="1">
      <formula>LEN(TRIM(E165))&gt;0</formula>
    </cfRule>
  </conditionalFormatting>
  <conditionalFormatting sqref="E167:AK167">
    <cfRule type="containsBlanks" dxfId="1077" priority="81" stopIfTrue="1">
      <formula>LEN(TRIM(E167))=0</formula>
    </cfRule>
  </conditionalFormatting>
  <conditionalFormatting sqref="E167:AK167">
    <cfRule type="notContainsBlanks" dxfId="1076" priority="82" stopIfTrue="1">
      <formula>LEN(TRIM(E167))&gt;0</formula>
    </cfRule>
  </conditionalFormatting>
  <conditionalFormatting sqref="E168:AK168">
    <cfRule type="containsBlanks" dxfId="1075" priority="83" stopIfTrue="1">
      <formula>LEN(TRIM(E168))=0</formula>
    </cfRule>
  </conditionalFormatting>
  <conditionalFormatting sqref="E168:AK168">
    <cfRule type="notContainsBlanks" dxfId="1074" priority="84" stopIfTrue="1">
      <formula>LEN(TRIM(E168))&gt;0</formula>
    </cfRule>
  </conditionalFormatting>
  <conditionalFormatting sqref="E169:AK169">
    <cfRule type="containsBlanks" dxfId="1073" priority="85" stopIfTrue="1">
      <formula>LEN(TRIM(E169))=0</formula>
    </cfRule>
  </conditionalFormatting>
  <conditionalFormatting sqref="E169:AK169">
    <cfRule type="notContainsBlanks" dxfId="1072" priority="86" stopIfTrue="1">
      <formula>LEN(TRIM(E169))&gt;0</formula>
    </cfRule>
  </conditionalFormatting>
  <conditionalFormatting sqref="E171:AK171">
    <cfRule type="containsBlanks" dxfId="1071" priority="87" stopIfTrue="1">
      <formula>LEN(TRIM(E171))=0</formula>
    </cfRule>
  </conditionalFormatting>
  <conditionalFormatting sqref="E171:AK171">
    <cfRule type="notContainsBlanks" dxfId="1070" priority="88" stopIfTrue="1">
      <formula>LEN(TRIM(E171))&gt;0</formula>
    </cfRule>
  </conditionalFormatting>
  <conditionalFormatting sqref="E173:AK173">
    <cfRule type="containsBlanks" dxfId="1069" priority="89" stopIfTrue="1">
      <formula>LEN(TRIM(E173))=0</formula>
    </cfRule>
  </conditionalFormatting>
  <conditionalFormatting sqref="E173:AK173">
    <cfRule type="notContainsBlanks" dxfId="1068" priority="90" stopIfTrue="1">
      <formula>LEN(TRIM(E173))&gt;0</formula>
    </cfRule>
  </conditionalFormatting>
  <conditionalFormatting sqref="E174:AK174">
    <cfRule type="containsBlanks" dxfId="1067" priority="91" stopIfTrue="1">
      <formula>LEN(TRIM(E174))=0</formula>
    </cfRule>
  </conditionalFormatting>
  <conditionalFormatting sqref="E174:AK174">
    <cfRule type="notContainsBlanks" dxfId="1066" priority="92" stopIfTrue="1">
      <formula>LEN(TRIM(E174))&gt;0</formula>
    </cfRule>
  </conditionalFormatting>
  <conditionalFormatting sqref="E175:AK175">
    <cfRule type="containsBlanks" dxfId="1065" priority="93" stopIfTrue="1">
      <formula>LEN(TRIM(E175))=0</formula>
    </cfRule>
  </conditionalFormatting>
  <conditionalFormatting sqref="E175:AK175">
    <cfRule type="notContainsBlanks" dxfId="1064" priority="94" stopIfTrue="1">
      <formula>LEN(TRIM(E175))&gt;0</formula>
    </cfRule>
  </conditionalFormatting>
  <conditionalFormatting sqref="E177:AK177">
    <cfRule type="containsBlanks" dxfId="1063" priority="95" stopIfTrue="1">
      <formula>LEN(TRIM(E177))=0</formula>
    </cfRule>
  </conditionalFormatting>
  <conditionalFormatting sqref="E177:AK177">
    <cfRule type="notContainsBlanks" dxfId="1062" priority="96" stopIfTrue="1">
      <formula>LEN(TRIM(E177))&gt;0</formula>
    </cfRule>
  </conditionalFormatting>
  <conditionalFormatting sqref="E179:AK179">
    <cfRule type="containsBlanks" dxfId="1061" priority="97" stopIfTrue="1">
      <formula>LEN(TRIM(E179))=0</formula>
    </cfRule>
  </conditionalFormatting>
  <conditionalFormatting sqref="E179:AK179">
    <cfRule type="notContainsBlanks" dxfId="1060" priority="98" stopIfTrue="1">
      <formula>LEN(TRIM(E179))&gt;0</formula>
    </cfRule>
  </conditionalFormatting>
  <conditionalFormatting sqref="E180:AK180">
    <cfRule type="containsBlanks" dxfId="1059" priority="99" stopIfTrue="1">
      <formula>LEN(TRIM(E180))=0</formula>
    </cfRule>
  </conditionalFormatting>
  <conditionalFormatting sqref="E180:AK180">
    <cfRule type="notContainsBlanks" dxfId="1058" priority="100" stopIfTrue="1">
      <formula>LEN(TRIM(E180))&gt;0</formula>
    </cfRule>
  </conditionalFormatting>
  <conditionalFormatting sqref="E181:AK181">
    <cfRule type="containsBlanks" dxfId="1057" priority="101" stopIfTrue="1">
      <formula>LEN(TRIM(E181))=0</formula>
    </cfRule>
  </conditionalFormatting>
  <conditionalFormatting sqref="E181:AK181">
    <cfRule type="notContainsBlanks" dxfId="1056" priority="102" stopIfTrue="1">
      <formula>LEN(TRIM(E181))&gt;0</formula>
    </cfRule>
  </conditionalFormatting>
  <conditionalFormatting sqref="E183:AK183">
    <cfRule type="containsBlanks" dxfId="1055" priority="103" stopIfTrue="1">
      <formula>LEN(TRIM(E183))=0</formula>
    </cfRule>
  </conditionalFormatting>
  <conditionalFormatting sqref="E183:AK183">
    <cfRule type="notContainsBlanks" dxfId="1054" priority="104" stopIfTrue="1">
      <formula>LEN(TRIM(E183))&gt;0</formula>
    </cfRule>
  </conditionalFormatting>
  <conditionalFormatting sqref="E185:AK185">
    <cfRule type="containsBlanks" dxfId="1053" priority="105" stopIfTrue="1">
      <formula>LEN(TRIM(E185))=0</formula>
    </cfRule>
  </conditionalFormatting>
  <conditionalFormatting sqref="E185:AK185">
    <cfRule type="notContainsBlanks" dxfId="1052" priority="106" stopIfTrue="1">
      <formula>LEN(TRIM(E185))&gt;0</formula>
    </cfRule>
  </conditionalFormatting>
  <conditionalFormatting sqref="E186:AK186">
    <cfRule type="containsBlanks" dxfId="1051" priority="107" stopIfTrue="1">
      <formula>LEN(TRIM(E186))=0</formula>
    </cfRule>
  </conditionalFormatting>
  <conditionalFormatting sqref="E186:AK186">
    <cfRule type="notContainsBlanks" dxfId="1050" priority="108" stopIfTrue="1">
      <formula>LEN(TRIM(E186))&gt;0</formula>
    </cfRule>
  </conditionalFormatting>
  <conditionalFormatting sqref="E187:AK187">
    <cfRule type="containsBlanks" dxfId="1049" priority="109" stopIfTrue="1">
      <formula>LEN(TRIM(E187))=0</formula>
    </cfRule>
  </conditionalFormatting>
  <conditionalFormatting sqref="E187:AK187">
    <cfRule type="notContainsBlanks" dxfId="1048" priority="110" stopIfTrue="1">
      <formula>LEN(TRIM(E187))&gt;0</formula>
    </cfRule>
  </conditionalFormatting>
  <conditionalFormatting sqref="E189:AK189">
    <cfRule type="containsBlanks" dxfId="1047" priority="111" stopIfTrue="1">
      <formula>LEN(TRIM(E189))=0</formula>
    </cfRule>
  </conditionalFormatting>
  <conditionalFormatting sqref="E189:AK189">
    <cfRule type="notContainsBlanks" dxfId="1046" priority="112" stopIfTrue="1">
      <formula>LEN(TRIM(E189))&gt;0</formula>
    </cfRule>
  </conditionalFormatting>
  <conditionalFormatting sqref="E95:AK95">
    <cfRule type="containsBlanks" dxfId="1045" priority="113" stopIfTrue="1">
      <formula>LEN(TRIM(E95))=0</formula>
    </cfRule>
    <cfRule type="notContainsBlanks" dxfId="1044" priority="114" stopIfTrue="1">
      <formula>LEN(TRIM(E95))&gt;0</formula>
    </cfRule>
  </conditionalFormatting>
  <conditionalFormatting sqref="E96:AK96">
    <cfRule type="containsBlanks" dxfId="1043" priority="115" stopIfTrue="1">
      <formula>LEN(TRIM(E96))=0</formula>
    </cfRule>
    <cfRule type="notContainsBlanks" dxfId="1042" priority="116" stopIfTrue="1">
      <formula>LEN(TRIM(E96))&gt;0</formula>
    </cfRule>
  </conditionalFormatting>
  <conditionalFormatting sqref="E97:AK97">
    <cfRule type="containsBlanks" dxfId="1041" priority="117" stopIfTrue="1">
      <formula>LEN(TRIM(E97))=0</formula>
    </cfRule>
    <cfRule type="notContainsBlanks" dxfId="1040" priority="118" stopIfTrue="1">
      <formula>LEN(TRIM(E97))&gt;0</formula>
    </cfRule>
  </conditionalFormatting>
  <conditionalFormatting sqref="E98:AK98">
    <cfRule type="containsBlanks" dxfId="1039" priority="119" stopIfTrue="1">
      <formula>LEN(TRIM(E98))=0</formula>
    </cfRule>
    <cfRule type="notContainsBlanks" dxfId="1038" priority="120" stopIfTrue="1">
      <formula>LEN(TRIM(E98))&gt;0</formula>
    </cfRule>
  </conditionalFormatting>
  <conditionalFormatting sqref="E99:AK99">
    <cfRule type="containsBlanks" dxfId="1037" priority="121" stopIfTrue="1">
      <formula>LEN(TRIM(E99))=0</formula>
    </cfRule>
    <cfRule type="notContainsBlanks" dxfId="1036" priority="122" stopIfTrue="1">
      <formula>LEN(TRIM(E99))&gt;0</formula>
    </cfRule>
  </conditionalFormatting>
  <conditionalFormatting sqref="E100:AK100">
    <cfRule type="containsBlanks" dxfId="1035" priority="123" stopIfTrue="1">
      <formula>LEN(TRIM(E100))=0</formula>
    </cfRule>
    <cfRule type="notContainsBlanks" dxfId="1034" priority="124" stopIfTrue="1">
      <formula>LEN(TRIM(E100))&gt;0</formula>
    </cfRule>
  </conditionalFormatting>
  <conditionalFormatting sqref="E101:AK101">
    <cfRule type="containsBlanks" dxfId="1033" priority="125" stopIfTrue="1">
      <formula>LEN(TRIM(E101))=0</formula>
    </cfRule>
    <cfRule type="notContainsBlanks" dxfId="1032" priority="126" stopIfTrue="1">
      <formula>LEN(TRIM(E101))&gt;0</formula>
    </cfRule>
  </conditionalFormatting>
  <conditionalFormatting sqref="E86:AK86">
    <cfRule type="containsBlanks" dxfId="1031" priority="127" stopIfTrue="1">
      <formula>LEN(TRIM(E86))=0</formula>
    </cfRule>
    <cfRule type="notContainsBlanks" dxfId="1030" priority="128" stopIfTrue="1">
      <formula>LEN(TRIM(E86))&gt;0</formula>
    </cfRule>
  </conditionalFormatting>
  <conditionalFormatting sqref="E87:AK87">
    <cfRule type="containsBlanks" dxfId="1029" priority="129" stopIfTrue="1">
      <formula>LEN(TRIM(E87))=0</formula>
    </cfRule>
    <cfRule type="notContainsBlanks" dxfId="1028" priority="130" stopIfTrue="1">
      <formula>LEN(TRIM(E87))&gt;0</formula>
    </cfRule>
  </conditionalFormatting>
  <conditionalFormatting sqref="E88:AK88">
    <cfRule type="containsBlanks" dxfId="1027" priority="131" stopIfTrue="1">
      <formula>LEN(TRIM(E88))=0</formula>
    </cfRule>
    <cfRule type="notContainsBlanks" dxfId="1026" priority="132" stopIfTrue="1">
      <formula>LEN(TRIM(E88))&gt;0</formula>
    </cfRule>
  </conditionalFormatting>
  <conditionalFormatting sqref="E89:AK89">
    <cfRule type="containsBlanks" dxfId="1025" priority="133" stopIfTrue="1">
      <formula>LEN(TRIM(E89))=0</formula>
    </cfRule>
    <cfRule type="notContainsBlanks" dxfId="1024" priority="134" stopIfTrue="1">
      <formula>LEN(TRIM(E89))&gt;0</formula>
    </cfRule>
  </conditionalFormatting>
  <conditionalFormatting sqref="E90:AK90">
    <cfRule type="containsBlanks" dxfId="1023" priority="135" stopIfTrue="1">
      <formula>LEN(TRIM(E90))=0</formula>
    </cfRule>
    <cfRule type="notContainsBlanks" dxfId="1022" priority="136" stopIfTrue="1">
      <formula>LEN(TRIM(E90))&gt;0</formula>
    </cfRule>
  </conditionalFormatting>
  <conditionalFormatting sqref="E91:AK91">
    <cfRule type="containsBlanks" dxfId="1021" priority="137" stopIfTrue="1">
      <formula>LEN(TRIM(E91))=0</formula>
    </cfRule>
    <cfRule type="notContainsBlanks" dxfId="1020" priority="138" stopIfTrue="1">
      <formula>LEN(TRIM(E91))&gt;0</formula>
    </cfRule>
  </conditionalFormatting>
  <conditionalFormatting sqref="E92:AK92">
    <cfRule type="containsBlanks" dxfId="1019" priority="139" stopIfTrue="1">
      <formula>LEN(TRIM(E92))=0</formula>
    </cfRule>
    <cfRule type="notContainsBlanks" dxfId="1018" priority="140" stopIfTrue="1">
      <formula>LEN(TRIM(E92))&gt;0</formula>
    </cfRule>
  </conditionalFormatting>
  <conditionalFormatting sqref="E77:AK77">
    <cfRule type="containsBlanks" dxfId="1017" priority="141" stopIfTrue="1">
      <formula>LEN(TRIM(E77))=0</formula>
    </cfRule>
    <cfRule type="notContainsBlanks" dxfId="1016" priority="142" stopIfTrue="1">
      <formula>LEN(TRIM(E77))&gt;0</formula>
    </cfRule>
  </conditionalFormatting>
  <conditionalFormatting sqref="E78:AK78">
    <cfRule type="containsBlanks" dxfId="1015" priority="143" stopIfTrue="1">
      <formula>LEN(TRIM(E78))=0</formula>
    </cfRule>
    <cfRule type="notContainsBlanks" dxfId="1014" priority="144" stopIfTrue="1">
      <formula>LEN(TRIM(E78))&gt;0</formula>
    </cfRule>
  </conditionalFormatting>
  <conditionalFormatting sqref="E79:AK79">
    <cfRule type="containsBlanks" dxfId="1013" priority="145" stopIfTrue="1">
      <formula>LEN(TRIM(E79))=0</formula>
    </cfRule>
    <cfRule type="notContainsBlanks" dxfId="1012" priority="146" stopIfTrue="1">
      <formula>LEN(TRIM(E79))&gt;0</formula>
    </cfRule>
  </conditionalFormatting>
  <conditionalFormatting sqref="E80:AK80">
    <cfRule type="containsBlanks" dxfId="1011" priority="147" stopIfTrue="1">
      <formula>LEN(TRIM(E80))=0</formula>
    </cfRule>
    <cfRule type="notContainsBlanks" dxfId="1010" priority="148" stopIfTrue="1">
      <formula>LEN(TRIM(E80))&gt;0</formula>
    </cfRule>
  </conditionalFormatting>
  <conditionalFormatting sqref="E81:AK81">
    <cfRule type="containsBlanks" dxfId="1009" priority="149" stopIfTrue="1">
      <formula>LEN(TRIM(E81))=0</formula>
    </cfRule>
    <cfRule type="notContainsBlanks" dxfId="1008" priority="150" stopIfTrue="1">
      <formula>LEN(TRIM(E81))&gt;0</formula>
    </cfRule>
  </conditionalFormatting>
  <conditionalFormatting sqref="E82:AK82">
    <cfRule type="containsBlanks" dxfId="1007" priority="151" stopIfTrue="1">
      <formula>LEN(TRIM(E82))=0</formula>
    </cfRule>
    <cfRule type="notContainsBlanks" dxfId="1006" priority="152" stopIfTrue="1">
      <formula>LEN(TRIM(E82))&gt;0</formula>
    </cfRule>
  </conditionalFormatting>
  <conditionalFormatting sqref="E83:AK83">
    <cfRule type="containsBlanks" dxfId="1005" priority="153" stopIfTrue="1">
      <formula>LEN(TRIM(E83))=0</formula>
    </cfRule>
    <cfRule type="notContainsBlanks" dxfId="1004" priority="154" stopIfTrue="1">
      <formula>LEN(TRIM(E83))&gt;0</formula>
    </cfRule>
  </conditionalFormatting>
  <conditionalFormatting sqref="E68:AK68">
    <cfRule type="containsBlanks" dxfId="1003" priority="155" stopIfTrue="1">
      <formula>LEN(TRIM(E68))=0</formula>
    </cfRule>
    <cfRule type="notContainsBlanks" dxfId="1002" priority="156" stopIfTrue="1">
      <formula>LEN(TRIM(E68))&gt;0</formula>
    </cfRule>
  </conditionalFormatting>
  <conditionalFormatting sqref="E69:AK69">
    <cfRule type="containsBlanks" dxfId="1001" priority="157" stopIfTrue="1">
      <formula>LEN(TRIM(E69))=0</formula>
    </cfRule>
    <cfRule type="notContainsBlanks" dxfId="1000" priority="158" stopIfTrue="1">
      <formula>LEN(TRIM(E69))&gt;0</formula>
    </cfRule>
  </conditionalFormatting>
  <conditionalFormatting sqref="E70:AK70">
    <cfRule type="containsBlanks" dxfId="999" priority="159" stopIfTrue="1">
      <formula>LEN(TRIM(E70))=0</formula>
    </cfRule>
    <cfRule type="notContainsBlanks" dxfId="998" priority="160" stopIfTrue="1">
      <formula>LEN(TRIM(E70))&gt;0</formula>
    </cfRule>
  </conditionalFormatting>
  <conditionalFormatting sqref="E71:AK71">
    <cfRule type="containsBlanks" dxfId="997" priority="161" stopIfTrue="1">
      <formula>LEN(TRIM(E71))=0</formula>
    </cfRule>
    <cfRule type="notContainsBlanks" dxfId="996" priority="162" stopIfTrue="1">
      <formula>LEN(TRIM(E71))&gt;0</formula>
    </cfRule>
  </conditionalFormatting>
  <conditionalFormatting sqref="E72:AK72">
    <cfRule type="containsBlanks" dxfId="995" priority="163" stopIfTrue="1">
      <formula>LEN(TRIM(E72))=0</formula>
    </cfRule>
    <cfRule type="notContainsBlanks" dxfId="994" priority="164" stopIfTrue="1">
      <formula>LEN(TRIM(E72))&gt;0</formula>
    </cfRule>
  </conditionalFormatting>
  <conditionalFormatting sqref="E73:AK73">
    <cfRule type="containsBlanks" dxfId="993" priority="165" stopIfTrue="1">
      <formula>LEN(TRIM(E73))=0</formula>
    </cfRule>
    <cfRule type="notContainsBlanks" dxfId="992" priority="166" stopIfTrue="1">
      <formula>LEN(TRIM(E73))&gt;0</formula>
    </cfRule>
  </conditionalFormatting>
  <conditionalFormatting sqref="E74:AK74">
    <cfRule type="containsBlanks" dxfId="991" priority="167" stopIfTrue="1">
      <formula>LEN(TRIM(E74))=0</formula>
    </cfRule>
    <cfRule type="notContainsBlanks" dxfId="990" priority="168" stopIfTrue="1">
      <formula>LEN(TRIM(E74))&gt;0</formula>
    </cfRule>
  </conditionalFormatting>
  <conditionalFormatting sqref="E59:AK59">
    <cfRule type="containsBlanks" dxfId="989" priority="169" stopIfTrue="1">
      <formula>LEN(TRIM(E59))=0</formula>
    </cfRule>
    <cfRule type="notContainsBlanks" dxfId="988" priority="170" stopIfTrue="1">
      <formula>LEN(TRIM(E59))&gt;0</formula>
    </cfRule>
  </conditionalFormatting>
  <conditionalFormatting sqref="E60:AK60">
    <cfRule type="containsBlanks" dxfId="987" priority="171" stopIfTrue="1">
      <formula>LEN(TRIM(E60))=0</formula>
    </cfRule>
    <cfRule type="notContainsBlanks" dxfId="986" priority="172" stopIfTrue="1">
      <formula>LEN(TRIM(E60))&gt;0</formula>
    </cfRule>
  </conditionalFormatting>
  <conditionalFormatting sqref="E61:AK61">
    <cfRule type="containsBlanks" dxfId="985" priority="173" stopIfTrue="1">
      <formula>LEN(TRIM(E61))=0</formula>
    </cfRule>
    <cfRule type="notContainsBlanks" dxfId="984" priority="174" stopIfTrue="1">
      <formula>LEN(TRIM(E61))&gt;0</formula>
    </cfRule>
  </conditionalFormatting>
  <conditionalFormatting sqref="E62:AK62">
    <cfRule type="containsBlanks" dxfId="983" priority="175" stopIfTrue="1">
      <formula>LEN(TRIM(E62))=0</formula>
    </cfRule>
    <cfRule type="notContainsBlanks" dxfId="982" priority="176" stopIfTrue="1">
      <formula>LEN(TRIM(E62))&gt;0</formula>
    </cfRule>
  </conditionalFormatting>
  <conditionalFormatting sqref="E63:AK63">
    <cfRule type="containsBlanks" dxfId="981" priority="177" stopIfTrue="1">
      <formula>LEN(TRIM(E63))=0</formula>
    </cfRule>
    <cfRule type="notContainsBlanks" dxfId="980" priority="178" stopIfTrue="1">
      <formula>LEN(TRIM(E63))&gt;0</formula>
    </cfRule>
  </conditionalFormatting>
  <conditionalFormatting sqref="E64:AK64">
    <cfRule type="containsBlanks" dxfId="979" priority="179" stopIfTrue="1">
      <formula>LEN(TRIM(E64))=0</formula>
    </cfRule>
    <cfRule type="notContainsBlanks" dxfId="978" priority="180" stopIfTrue="1">
      <formula>LEN(TRIM(E64))&gt;0</formula>
    </cfRule>
  </conditionalFormatting>
  <conditionalFormatting sqref="E65:AK65">
    <cfRule type="containsBlanks" dxfId="977" priority="181" stopIfTrue="1">
      <formula>LEN(TRIM(E65))=0</formula>
    </cfRule>
    <cfRule type="notContainsBlanks" dxfId="976" priority="182" stopIfTrue="1">
      <formula>LEN(TRIM(E65))&gt;0</formula>
    </cfRule>
  </conditionalFormatting>
  <conditionalFormatting sqref="E50:AK50">
    <cfRule type="containsBlanks" dxfId="975" priority="183" stopIfTrue="1">
      <formula>LEN(TRIM(E50))=0</formula>
    </cfRule>
    <cfRule type="notContainsBlanks" dxfId="974" priority="184" stopIfTrue="1">
      <formula>LEN(TRIM(E50))&gt;0</formula>
    </cfRule>
  </conditionalFormatting>
  <conditionalFormatting sqref="E51:AK51">
    <cfRule type="containsBlanks" dxfId="973" priority="185" stopIfTrue="1">
      <formula>LEN(TRIM(E51))=0</formula>
    </cfRule>
    <cfRule type="notContainsBlanks" dxfId="972" priority="186" stopIfTrue="1">
      <formula>LEN(TRIM(E51))&gt;0</formula>
    </cfRule>
  </conditionalFormatting>
  <conditionalFormatting sqref="E52:AK52">
    <cfRule type="containsBlanks" dxfId="971" priority="187" stopIfTrue="1">
      <formula>LEN(TRIM(E52))=0</formula>
    </cfRule>
    <cfRule type="notContainsBlanks" dxfId="970" priority="188" stopIfTrue="1">
      <formula>LEN(TRIM(E52))&gt;0</formula>
    </cfRule>
  </conditionalFormatting>
  <conditionalFormatting sqref="E53:AK53">
    <cfRule type="containsBlanks" dxfId="969" priority="189" stopIfTrue="1">
      <formula>LEN(TRIM(E53))=0</formula>
    </cfRule>
    <cfRule type="notContainsBlanks" dxfId="968" priority="190" stopIfTrue="1">
      <formula>LEN(TRIM(E53))&gt;0</formula>
    </cfRule>
  </conditionalFormatting>
  <conditionalFormatting sqref="E54:AK54">
    <cfRule type="containsBlanks" dxfId="967" priority="191" stopIfTrue="1">
      <formula>LEN(TRIM(E54))=0</formula>
    </cfRule>
    <cfRule type="notContainsBlanks" dxfId="966" priority="192" stopIfTrue="1">
      <formula>LEN(TRIM(E54))&gt;0</formula>
    </cfRule>
  </conditionalFormatting>
  <conditionalFormatting sqref="E55:AK55">
    <cfRule type="containsBlanks" dxfId="965" priority="193" stopIfTrue="1">
      <formula>LEN(TRIM(E55))=0</formula>
    </cfRule>
    <cfRule type="notContainsBlanks" dxfId="964" priority="194" stopIfTrue="1">
      <formula>LEN(TRIM(E55))&gt;0</formula>
    </cfRule>
  </conditionalFormatting>
  <conditionalFormatting sqref="E56:AK56">
    <cfRule type="containsBlanks" dxfId="963" priority="195" stopIfTrue="1">
      <formula>LEN(TRIM(E56))=0</formula>
    </cfRule>
    <cfRule type="notContainsBlanks" dxfId="962" priority="196" stopIfTrue="1">
      <formula>LEN(TRIM(E56))&gt;0</formula>
    </cfRule>
  </conditionalFormatting>
  <conditionalFormatting sqref="E41:E47">
    <cfRule type="containsBlanks" dxfId="961" priority="211" stopIfTrue="1">
      <formula>LEN(TRIM(E41))=0</formula>
    </cfRule>
    <cfRule type="expression" dxfId="960" priority="212" stopIfTrue="1">
      <formula>SUM($E$41:$E$47)&lt;&gt;1</formula>
    </cfRule>
    <cfRule type="notContainsBlanks" dxfId="959" priority="213" stopIfTrue="1">
      <formula>LEN(TRIM(E41))&gt;0</formula>
    </cfRule>
  </conditionalFormatting>
  <conditionalFormatting sqref="F41:F47">
    <cfRule type="containsBlanks" dxfId="958" priority="214" stopIfTrue="1">
      <formula>LEN(TRIM(F41))=0</formula>
    </cfRule>
    <cfRule type="expression" dxfId="957" priority="215" stopIfTrue="1">
      <formula>SUM($F$41:$F$47)&lt;&gt;1</formula>
    </cfRule>
    <cfRule type="notContainsBlanks" dxfId="956" priority="216" stopIfTrue="1">
      <formula>LEN(TRIM(F41))&gt;0</formula>
    </cfRule>
  </conditionalFormatting>
  <conditionalFormatting sqref="G41:G47">
    <cfRule type="containsBlanks" dxfId="955" priority="217" stopIfTrue="1">
      <formula>LEN(TRIM(G41))=0</formula>
    </cfRule>
    <cfRule type="expression" dxfId="954" priority="218" stopIfTrue="1">
      <formula>SUM($G$41:$G$47)&lt;&gt;1</formula>
    </cfRule>
    <cfRule type="notContainsBlanks" dxfId="953" priority="219" stopIfTrue="1">
      <formula>LEN(TRIM(G41))&gt;0</formula>
    </cfRule>
  </conditionalFormatting>
  <conditionalFormatting sqref="H41:H47">
    <cfRule type="containsBlanks" dxfId="952" priority="220" stopIfTrue="1">
      <formula>LEN(TRIM(H41))=0</formula>
    </cfRule>
    <cfRule type="expression" dxfId="951" priority="221" stopIfTrue="1">
      <formula>SUM($H$41:$H$47)&lt;&gt;1</formula>
    </cfRule>
    <cfRule type="notContainsBlanks" dxfId="950" priority="222" stopIfTrue="1">
      <formula>LEN(TRIM(H41))&gt;0</formula>
    </cfRule>
  </conditionalFormatting>
  <conditionalFormatting sqref="I41:I47">
    <cfRule type="containsBlanks" dxfId="949" priority="223" stopIfTrue="1">
      <formula>LEN(TRIM(I41))=0</formula>
    </cfRule>
    <cfRule type="expression" dxfId="948" priority="224" stopIfTrue="1">
      <formula>SUM($I$41:$I$47)&lt;&gt;1</formula>
    </cfRule>
    <cfRule type="notContainsBlanks" dxfId="947" priority="225" stopIfTrue="1">
      <formula>LEN(TRIM(I41))&gt;0</formula>
    </cfRule>
  </conditionalFormatting>
  <conditionalFormatting sqref="J41:J47">
    <cfRule type="containsBlanks" dxfId="946" priority="226" stopIfTrue="1">
      <formula>LEN(TRIM(J41))=0</formula>
    </cfRule>
    <cfRule type="expression" dxfId="945" priority="227" stopIfTrue="1">
      <formula>SUM($J$41:$J$47)&lt;&gt;1</formula>
    </cfRule>
    <cfRule type="notContainsBlanks" dxfId="944" priority="228" stopIfTrue="1">
      <formula>LEN(TRIM(J41))&gt;0</formula>
    </cfRule>
  </conditionalFormatting>
  <conditionalFormatting sqref="K41:K47">
    <cfRule type="containsBlanks" dxfId="943" priority="229" stopIfTrue="1">
      <formula>LEN(TRIM(K41))=0</formula>
    </cfRule>
    <cfRule type="expression" dxfId="942" priority="230" stopIfTrue="1">
      <formula>SUM($K$41:$K$47)&lt;&gt;1</formula>
    </cfRule>
    <cfRule type="notContainsBlanks" dxfId="941" priority="231" stopIfTrue="1">
      <formula>LEN(TRIM(K41))&gt;0</formula>
    </cfRule>
  </conditionalFormatting>
  <conditionalFormatting sqref="L41:L47">
    <cfRule type="containsBlanks" dxfId="940" priority="232" stopIfTrue="1">
      <formula>LEN(TRIM(L41))=0</formula>
    </cfRule>
    <cfRule type="expression" dxfId="939" priority="233" stopIfTrue="1">
      <formula>SUM($L$41:$L$47)&lt;&gt;1</formula>
    </cfRule>
    <cfRule type="notContainsBlanks" dxfId="938" priority="234" stopIfTrue="1">
      <formula>LEN(TRIM(L41))&gt;0</formula>
    </cfRule>
  </conditionalFormatting>
  <conditionalFormatting sqref="M41:M47">
    <cfRule type="containsBlanks" dxfId="937" priority="235" stopIfTrue="1">
      <formula>LEN(TRIM(M41))=0</formula>
    </cfRule>
    <cfRule type="expression" dxfId="936" priority="236" stopIfTrue="1">
      <formula>SUM($M$41:$M$47)&lt;&gt;1</formula>
    </cfRule>
    <cfRule type="notContainsBlanks" dxfId="935" priority="237" stopIfTrue="1">
      <formula>LEN(TRIM(M41))&gt;0</formula>
    </cfRule>
  </conditionalFormatting>
  <conditionalFormatting sqref="N41:N47">
    <cfRule type="containsBlanks" dxfId="934" priority="238" stopIfTrue="1">
      <formula>LEN(TRIM(N41))=0</formula>
    </cfRule>
    <cfRule type="expression" dxfId="933" priority="239" stopIfTrue="1">
      <formula>SUM($N$41:$N$47)&lt;&gt;1</formula>
    </cfRule>
    <cfRule type="notContainsBlanks" dxfId="932" priority="240" stopIfTrue="1">
      <formula>LEN(TRIM(N41))&gt;0</formula>
    </cfRule>
  </conditionalFormatting>
  <conditionalFormatting sqref="O41:O47">
    <cfRule type="containsBlanks" dxfId="931" priority="241" stopIfTrue="1">
      <formula>LEN(TRIM(O41))=0</formula>
    </cfRule>
    <cfRule type="expression" dxfId="930" priority="242" stopIfTrue="1">
      <formula>SUM($O$41:$O$47)&lt;&gt;1</formula>
    </cfRule>
    <cfRule type="notContainsBlanks" dxfId="929" priority="243" stopIfTrue="1">
      <formula>LEN(TRIM(O41))&gt;0</formula>
    </cfRule>
  </conditionalFormatting>
  <conditionalFormatting sqref="P41:P47">
    <cfRule type="containsBlanks" dxfId="928" priority="244" stopIfTrue="1">
      <formula>LEN(TRIM(P41))=0</formula>
    </cfRule>
    <cfRule type="expression" dxfId="927" priority="245" stopIfTrue="1">
      <formula>SUM($P$41:$P$47)&lt;&gt;1</formula>
    </cfRule>
    <cfRule type="notContainsBlanks" dxfId="926" priority="246" stopIfTrue="1">
      <formula>LEN(TRIM(P41))&gt;0</formula>
    </cfRule>
  </conditionalFormatting>
  <conditionalFormatting sqref="Q41:Q47">
    <cfRule type="containsBlanks" dxfId="925" priority="247" stopIfTrue="1">
      <formula>LEN(TRIM(Q41))=0</formula>
    </cfRule>
    <cfRule type="expression" dxfId="924" priority="248" stopIfTrue="1">
      <formula>SUM($Q$41:$Q$47)&lt;&gt;1</formula>
    </cfRule>
    <cfRule type="notContainsBlanks" dxfId="923" priority="249" stopIfTrue="1">
      <formula>LEN(TRIM(Q41))&gt;0</formula>
    </cfRule>
  </conditionalFormatting>
  <conditionalFormatting sqref="R41:R47">
    <cfRule type="containsBlanks" dxfId="922" priority="250" stopIfTrue="1">
      <formula>LEN(TRIM(R41))=0</formula>
    </cfRule>
  </conditionalFormatting>
  <conditionalFormatting sqref="R41:R47">
    <cfRule type="expression" dxfId="921" priority="251" stopIfTrue="1">
      <formula>SUM($R$41:$R$47)&lt;&gt;1</formula>
    </cfRule>
  </conditionalFormatting>
  <conditionalFormatting sqref="R41:R47">
    <cfRule type="notContainsBlanks" dxfId="920" priority="252" stopIfTrue="1">
      <formula>LEN(TRIM(R41))&gt;0</formula>
    </cfRule>
  </conditionalFormatting>
  <conditionalFormatting sqref="S41:S47">
    <cfRule type="containsBlanks" dxfId="919" priority="253" stopIfTrue="1">
      <formula>LEN(TRIM(S41))=0</formula>
    </cfRule>
  </conditionalFormatting>
  <conditionalFormatting sqref="S41:S47">
    <cfRule type="expression" dxfId="918" priority="254" stopIfTrue="1">
      <formula>SUM($S$41:$S$47)&lt;&gt;1</formula>
    </cfRule>
  </conditionalFormatting>
  <conditionalFormatting sqref="S41:S47">
    <cfRule type="notContainsBlanks" dxfId="917" priority="255" stopIfTrue="1">
      <formula>LEN(TRIM(S41))&gt;0</formula>
    </cfRule>
  </conditionalFormatting>
  <conditionalFormatting sqref="T41:T47">
    <cfRule type="containsBlanks" dxfId="916" priority="256" stopIfTrue="1">
      <formula>LEN(TRIM(T41))=0</formula>
    </cfRule>
  </conditionalFormatting>
  <conditionalFormatting sqref="T41:T47">
    <cfRule type="expression" dxfId="915" priority="257" stopIfTrue="1">
      <formula>SUM($T$41:$T$47)&lt;&gt;1</formula>
    </cfRule>
  </conditionalFormatting>
  <conditionalFormatting sqref="T41:T47">
    <cfRule type="notContainsBlanks" dxfId="914" priority="258" stopIfTrue="1">
      <formula>LEN(TRIM(T41))&gt;0</formula>
    </cfRule>
  </conditionalFormatting>
  <conditionalFormatting sqref="U41:U47">
    <cfRule type="containsBlanks" dxfId="913" priority="259" stopIfTrue="1">
      <formula>LEN(TRIM(U41))=0</formula>
    </cfRule>
  </conditionalFormatting>
  <conditionalFormatting sqref="U41:U47">
    <cfRule type="expression" dxfId="912" priority="260" stopIfTrue="1">
      <formula>SUM($U$41:$U$47)&lt;&gt;1</formula>
    </cfRule>
  </conditionalFormatting>
  <conditionalFormatting sqref="U41:U47">
    <cfRule type="notContainsBlanks" dxfId="911" priority="261" stopIfTrue="1">
      <formula>LEN(TRIM(U41))&gt;0</formula>
    </cfRule>
  </conditionalFormatting>
  <conditionalFormatting sqref="V41:V47">
    <cfRule type="containsBlanks" dxfId="910" priority="262" stopIfTrue="1">
      <formula>LEN(TRIM(V41))=0</formula>
    </cfRule>
  </conditionalFormatting>
  <conditionalFormatting sqref="V41:V47">
    <cfRule type="expression" dxfId="909" priority="263" stopIfTrue="1">
      <formula>SUM($V$41:$V$47)&lt;&gt;1</formula>
    </cfRule>
  </conditionalFormatting>
  <conditionalFormatting sqref="V41:V47">
    <cfRule type="notContainsBlanks" dxfId="908" priority="264" stopIfTrue="1">
      <formula>LEN(TRIM(V41))&gt;0</formula>
    </cfRule>
  </conditionalFormatting>
  <conditionalFormatting sqref="W41:W47">
    <cfRule type="containsBlanks" dxfId="907" priority="265" stopIfTrue="1">
      <formula>LEN(TRIM(W41))=0</formula>
    </cfRule>
  </conditionalFormatting>
  <conditionalFormatting sqref="W41:W47">
    <cfRule type="expression" dxfId="906" priority="266" stopIfTrue="1">
      <formula>SUM($W$41:$W$47)&lt;&gt;1</formula>
    </cfRule>
  </conditionalFormatting>
  <conditionalFormatting sqref="W41:W47">
    <cfRule type="notContainsBlanks" dxfId="905" priority="267" stopIfTrue="1">
      <formula>LEN(TRIM(W41))&gt;0</formula>
    </cfRule>
  </conditionalFormatting>
  <conditionalFormatting sqref="X41:X47">
    <cfRule type="containsBlanks" dxfId="904" priority="268" stopIfTrue="1">
      <formula>LEN(TRIM(X41))=0</formula>
    </cfRule>
  </conditionalFormatting>
  <conditionalFormatting sqref="X41:X47">
    <cfRule type="expression" dxfId="903" priority="269" stopIfTrue="1">
      <formula>SUM($X$41:$X$47)&lt;&gt;1</formula>
    </cfRule>
  </conditionalFormatting>
  <conditionalFormatting sqref="X41:X47">
    <cfRule type="notContainsBlanks" dxfId="902" priority="270" stopIfTrue="1">
      <formula>LEN(TRIM(X41))&gt;0</formula>
    </cfRule>
  </conditionalFormatting>
  <conditionalFormatting sqref="Y41:Y47">
    <cfRule type="containsBlanks" dxfId="901" priority="271" stopIfTrue="1">
      <formula>LEN(TRIM(Y41))=0</formula>
    </cfRule>
  </conditionalFormatting>
  <conditionalFormatting sqref="Y41:Y47">
    <cfRule type="expression" dxfId="900" priority="272" stopIfTrue="1">
      <formula>SUM($Y$41:$Y$47)&lt;&gt;1</formula>
    </cfRule>
  </conditionalFormatting>
  <conditionalFormatting sqref="Y41:Y47">
    <cfRule type="notContainsBlanks" dxfId="899" priority="273" stopIfTrue="1">
      <formula>LEN(TRIM(Y41))&gt;0</formula>
    </cfRule>
  </conditionalFormatting>
  <conditionalFormatting sqref="Z41:Z47">
    <cfRule type="containsBlanks" dxfId="898" priority="274" stopIfTrue="1">
      <formula>LEN(TRIM(Z41))=0</formula>
    </cfRule>
  </conditionalFormatting>
  <conditionalFormatting sqref="Z41:Z47">
    <cfRule type="expression" dxfId="897" priority="275" stopIfTrue="1">
      <formula>SUM($Z$41:$Z$47)&lt;&gt;1</formula>
    </cfRule>
  </conditionalFormatting>
  <conditionalFormatting sqref="Z41:Z47">
    <cfRule type="notContainsBlanks" dxfId="896" priority="276" stopIfTrue="1">
      <formula>LEN(TRIM(Z41))&gt;0</formula>
    </cfRule>
  </conditionalFormatting>
  <conditionalFormatting sqref="AA41:AA47">
    <cfRule type="containsBlanks" dxfId="895" priority="277" stopIfTrue="1">
      <formula>LEN(TRIM(AA41))=0</formula>
    </cfRule>
  </conditionalFormatting>
  <conditionalFormatting sqref="AA41:AA47">
    <cfRule type="expression" dxfId="894" priority="278" stopIfTrue="1">
      <formula>SUM($AA$41:$AA$47)&lt;&gt;1</formula>
    </cfRule>
  </conditionalFormatting>
  <conditionalFormatting sqref="AA41:AA47">
    <cfRule type="notContainsBlanks" dxfId="893" priority="279" stopIfTrue="1">
      <formula>LEN(TRIM(AA41))&gt;0</formula>
    </cfRule>
  </conditionalFormatting>
  <conditionalFormatting sqref="AB41:AB47">
    <cfRule type="containsBlanks" dxfId="892" priority="280" stopIfTrue="1">
      <formula>LEN(TRIM(AB41))=0</formula>
    </cfRule>
  </conditionalFormatting>
  <conditionalFormatting sqref="AB41:AB47">
    <cfRule type="expression" dxfId="891" priority="281" stopIfTrue="1">
      <formula>SUM($AB$41:$AB$47)&lt;&gt;1</formula>
    </cfRule>
  </conditionalFormatting>
  <conditionalFormatting sqref="AB41:AB47">
    <cfRule type="notContainsBlanks" dxfId="890" priority="282" stopIfTrue="1">
      <formula>LEN(TRIM(AB41))&gt;0</formula>
    </cfRule>
  </conditionalFormatting>
  <conditionalFormatting sqref="AC41:AC47">
    <cfRule type="containsBlanks" dxfId="889" priority="283" stopIfTrue="1">
      <formula>LEN(TRIM(AC41))=0</formula>
    </cfRule>
  </conditionalFormatting>
  <conditionalFormatting sqref="AC41:AC47">
    <cfRule type="expression" dxfId="888" priority="284" stopIfTrue="1">
      <formula>SUM($AC$41:$AC$47)&lt;&gt;1</formula>
    </cfRule>
  </conditionalFormatting>
  <conditionalFormatting sqref="AC41:AC47">
    <cfRule type="notContainsBlanks" dxfId="887" priority="285" stopIfTrue="1">
      <formula>LEN(TRIM(AC41))&gt;0</formula>
    </cfRule>
  </conditionalFormatting>
  <conditionalFormatting sqref="AD41:AD47">
    <cfRule type="containsBlanks" dxfId="886" priority="286" stopIfTrue="1">
      <formula>LEN(TRIM(AD41))=0</formula>
    </cfRule>
  </conditionalFormatting>
  <conditionalFormatting sqref="AD41:AD47">
    <cfRule type="expression" dxfId="885" priority="287" stopIfTrue="1">
      <formula>SUM($AD$41:$AD$47)&lt;&gt;1</formula>
    </cfRule>
  </conditionalFormatting>
  <conditionalFormatting sqref="AD41:AD47">
    <cfRule type="notContainsBlanks" dxfId="884" priority="288" stopIfTrue="1">
      <formula>LEN(TRIM(AD41))&gt;0</formula>
    </cfRule>
  </conditionalFormatting>
  <conditionalFormatting sqref="AE41:AE47">
    <cfRule type="containsBlanks" dxfId="883" priority="289" stopIfTrue="1">
      <formula>LEN(TRIM(AE41))=0</formula>
    </cfRule>
  </conditionalFormatting>
  <conditionalFormatting sqref="AE41:AE47">
    <cfRule type="expression" dxfId="882" priority="290" stopIfTrue="1">
      <formula>SUM($AE$41:$AE$47)&lt;&gt;1</formula>
    </cfRule>
  </conditionalFormatting>
  <conditionalFormatting sqref="AE41:AE47">
    <cfRule type="notContainsBlanks" dxfId="881" priority="291" stopIfTrue="1">
      <formula>LEN(TRIM(AE41))&gt;0</formula>
    </cfRule>
  </conditionalFormatting>
  <conditionalFormatting sqref="AF41:AF47">
    <cfRule type="containsBlanks" dxfId="880" priority="292" stopIfTrue="1">
      <formula>LEN(TRIM(AF41))=0</formula>
    </cfRule>
  </conditionalFormatting>
  <conditionalFormatting sqref="AF41:AF47">
    <cfRule type="expression" dxfId="879" priority="293" stopIfTrue="1">
      <formula>SUM($AF$41:$AF$47)&lt;&gt;1</formula>
    </cfRule>
  </conditionalFormatting>
  <conditionalFormatting sqref="AF41:AF47">
    <cfRule type="notContainsBlanks" dxfId="878" priority="294" stopIfTrue="1">
      <formula>LEN(TRIM(AF41))&gt;0</formula>
    </cfRule>
  </conditionalFormatting>
  <conditionalFormatting sqref="AG41:AG47">
    <cfRule type="containsBlanks" dxfId="877" priority="295" stopIfTrue="1">
      <formula>LEN(TRIM(AG41))=0</formula>
    </cfRule>
  </conditionalFormatting>
  <conditionalFormatting sqref="AG41:AG47">
    <cfRule type="expression" dxfId="876" priority="296" stopIfTrue="1">
      <formula>SUM($AG$41:$AG$47)&lt;&gt;1</formula>
    </cfRule>
  </conditionalFormatting>
  <conditionalFormatting sqref="AG41:AG47">
    <cfRule type="notContainsBlanks" dxfId="875" priority="297" stopIfTrue="1">
      <formula>LEN(TRIM(AG41))&gt;0</formula>
    </cfRule>
  </conditionalFormatting>
  <conditionalFormatting sqref="AH41:AH47">
    <cfRule type="containsBlanks" dxfId="874" priority="298" stopIfTrue="1">
      <formula>LEN(TRIM(AH41))=0</formula>
    </cfRule>
  </conditionalFormatting>
  <conditionalFormatting sqref="AH41:AH47">
    <cfRule type="expression" dxfId="873" priority="299" stopIfTrue="1">
      <formula>SUM($AH$41:$AH$47)&lt;&gt;1</formula>
    </cfRule>
  </conditionalFormatting>
  <conditionalFormatting sqref="AH41:AH47">
    <cfRule type="notContainsBlanks" dxfId="872" priority="300" stopIfTrue="1">
      <formula>LEN(TRIM(AH41))&gt;0</formula>
    </cfRule>
  </conditionalFormatting>
  <conditionalFormatting sqref="AI41:AI47">
    <cfRule type="containsBlanks" dxfId="871" priority="301" stopIfTrue="1">
      <formula>LEN(TRIM(AI41))=0</formula>
    </cfRule>
  </conditionalFormatting>
  <conditionalFormatting sqref="AI41:AI47">
    <cfRule type="expression" dxfId="870" priority="302" stopIfTrue="1">
      <formula>SUM($AI$41:$AI$47)&lt;&gt;1</formula>
    </cfRule>
  </conditionalFormatting>
  <conditionalFormatting sqref="AI41:AI47">
    <cfRule type="notContainsBlanks" dxfId="869" priority="303" stopIfTrue="1">
      <formula>LEN(TRIM(AI41))&gt;0</formula>
    </cfRule>
  </conditionalFormatting>
  <conditionalFormatting sqref="AJ41:AJ47">
    <cfRule type="containsBlanks" dxfId="868" priority="304" stopIfTrue="1">
      <formula>LEN(TRIM(AJ41))=0</formula>
    </cfRule>
  </conditionalFormatting>
  <conditionalFormatting sqref="AJ41:AJ47">
    <cfRule type="expression" dxfId="867" priority="305" stopIfTrue="1">
      <formula>SUM($AJ$41:$AJ$47)&lt;&gt;1</formula>
    </cfRule>
  </conditionalFormatting>
  <conditionalFormatting sqref="AJ41:AJ47">
    <cfRule type="notContainsBlanks" dxfId="866" priority="306" stopIfTrue="1">
      <formula>LEN(TRIM(AJ41))&gt;0</formula>
    </cfRule>
  </conditionalFormatting>
  <conditionalFormatting sqref="AK41:AK47">
    <cfRule type="containsBlanks" dxfId="865" priority="307" stopIfTrue="1">
      <formula>LEN(TRIM(AK41))=0</formula>
    </cfRule>
  </conditionalFormatting>
  <conditionalFormatting sqref="AK41:AK47">
    <cfRule type="expression" dxfId="864" priority="308" stopIfTrue="1">
      <formula>SUM($AK$41:$AK$47)&lt;&gt;1</formula>
    </cfRule>
  </conditionalFormatting>
  <conditionalFormatting sqref="AK41:AK47">
    <cfRule type="notContainsBlanks" dxfId="863" priority="309" stopIfTrue="1">
      <formula>LEN(TRIM(AK41))&gt;0</formula>
    </cfRule>
  </conditionalFormatting>
  <conditionalFormatting sqref="E32:E38">
    <cfRule type="containsBlanks" dxfId="862" priority="324" stopIfTrue="1">
      <formula>LEN(TRIM(E32))=0</formula>
    </cfRule>
    <cfRule type="expression" dxfId="861" priority="325" stopIfTrue="1">
      <formula>SUM($E$32:$E$38)&lt;&gt;1</formula>
    </cfRule>
    <cfRule type="notContainsBlanks" dxfId="860" priority="326" stopIfTrue="1">
      <formula>LEN(TRIM(E32))&gt;0</formula>
    </cfRule>
  </conditionalFormatting>
  <conditionalFormatting sqref="F32:F38">
    <cfRule type="containsBlanks" dxfId="859" priority="327" stopIfTrue="1">
      <formula>LEN(TRIM(F32))=0</formula>
    </cfRule>
    <cfRule type="expression" dxfId="858" priority="328" stopIfTrue="1">
      <formula>SUM($F$32:$F$38)&lt;&gt;1</formula>
    </cfRule>
    <cfRule type="notContainsBlanks" dxfId="857" priority="329" stopIfTrue="1">
      <formula>LEN(TRIM(F32))&gt;0</formula>
    </cfRule>
  </conditionalFormatting>
  <conditionalFormatting sqref="G32:G38">
    <cfRule type="containsBlanks" dxfId="856" priority="330" stopIfTrue="1">
      <formula>LEN(TRIM(G32))=0</formula>
    </cfRule>
    <cfRule type="expression" dxfId="855" priority="331" stopIfTrue="1">
      <formula>SUM($G$32:$G$38)&lt;&gt;1</formula>
    </cfRule>
    <cfRule type="notContainsBlanks" dxfId="854" priority="332" stopIfTrue="1">
      <formula>LEN(TRIM(G32))&gt;0</formula>
    </cfRule>
  </conditionalFormatting>
  <conditionalFormatting sqref="H32:H38">
    <cfRule type="containsBlanks" dxfId="853" priority="333" stopIfTrue="1">
      <formula>LEN(TRIM(H32))=0</formula>
    </cfRule>
    <cfRule type="expression" dxfId="852" priority="334" stopIfTrue="1">
      <formula>SUM($H$32:$H$38)&lt;&gt;1</formula>
    </cfRule>
    <cfRule type="notContainsBlanks" dxfId="851" priority="335" stopIfTrue="1">
      <formula>LEN(TRIM(H32))&gt;0</formula>
    </cfRule>
  </conditionalFormatting>
  <conditionalFormatting sqref="I32:I38">
    <cfRule type="containsBlanks" dxfId="850" priority="336" stopIfTrue="1">
      <formula>LEN(TRIM(I32))=0</formula>
    </cfRule>
    <cfRule type="expression" dxfId="849" priority="337" stopIfTrue="1">
      <formula>SUM($I$32:$I$38)&lt;&gt;1</formula>
    </cfRule>
    <cfRule type="notContainsBlanks" dxfId="848" priority="338" stopIfTrue="1">
      <formula>LEN(TRIM(I32))&gt;0</formula>
    </cfRule>
  </conditionalFormatting>
  <conditionalFormatting sqref="J32:J38">
    <cfRule type="containsBlanks" dxfId="847" priority="339" stopIfTrue="1">
      <formula>LEN(TRIM(J32))=0</formula>
    </cfRule>
    <cfRule type="expression" dxfId="846" priority="340" stopIfTrue="1">
      <formula>SUM($J$32:$J$38)&lt;&gt;1</formula>
    </cfRule>
    <cfRule type="notContainsBlanks" dxfId="845" priority="341" stopIfTrue="1">
      <formula>LEN(TRIM(J32))&gt;0</formula>
    </cfRule>
  </conditionalFormatting>
  <conditionalFormatting sqref="K32:K38">
    <cfRule type="containsBlanks" dxfId="844" priority="342" stopIfTrue="1">
      <formula>LEN(TRIM(K32))=0</formula>
    </cfRule>
  </conditionalFormatting>
  <conditionalFormatting sqref="K32:K38">
    <cfRule type="expression" dxfId="843" priority="343" stopIfTrue="1">
      <formula>SUM($K$32:$K$38)&lt;&gt;1</formula>
    </cfRule>
  </conditionalFormatting>
  <conditionalFormatting sqref="K32:K38">
    <cfRule type="notContainsBlanks" dxfId="842" priority="344" stopIfTrue="1">
      <formula>LEN(TRIM(K32))&gt;0</formula>
    </cfRule>
  </conditionalFormatting>
  <conditionalFormatting sqref="L32:L38">
    <cfRule type="containsBlanks" dxfId="841" priority="345" stopIfTrue="1">
      <formula>LEN(TRIM(L32))=0</formula>
    </cfRule>
  </conditionalFormatting>
  <conditionalFormatting sqref="L32:L38">
    <cfRule type="expression" dxfId="840" priority="346" stopIfTrue="1">
      <formula>SUM($L$32:$L$38)&lt;&gt;1</formula>
    </cfRule>
  </conditionalFormatting>
  <conditionalFormatting sqref="L32:L38">
    <cfRule type="notContainsBlanks" dxfId="839" priority="347" stopIfTrue="1">
      <formula>LEN(TRIM(L32))&gt;0</formula>
    </cfRule>
  </conditionalFormatting>
  <conditionalFormatting sqref="M32:M38">
    <cfRule type="containsBlanks" dxfId="838" priority="348" stopIfTrue="1">
      <formula>LEN(TRIM(M32))=0</formula>
    </cfRule>
  </conditionalFormatting>
  <conditionalFormatting sqref="M32:M38">
    <cfRule type="expression" dxfId="837" priority="349" stopIfTrue="1">
      <formula>SUM($M$32:$M$38)&lt;&gt;1</formula>
    </cfRule>
  </conditionalFormatting>
  <conditionalFormatting sqref="M32:M38">
    <cfRule type="notContainsBlanks" dxfId="836" priority="350" stopIfTrue="1">
      <formula>LEN(TRIM(M32))&gt;0</formula>
    </cfRule>
  </conditionalFormatting>
  <conditionalFormatting sqref="N32:N38">
    <cfRule type="containsBlanks" dxfId="835" priority="351" stopIfTrue="1">
      <formula>LEN(TRIM(N32))=0</formula>
    </cfRule>
  </conditionalFormatting>
  <conditionalFormatting sqref="N32:N38">
    <cfRule type="expression" dxfId="834" priority="352" stopIfTrue="1">
      <formula>SUM($N$32:$N$38)&lt;&gt;1</formula>
    </cfRule>
  </conditionalFormatting>
  <conditionalFormatting sqref="N32:N38">
    <cfRule type="notContainsBlanks" dxfId="833" priority="353" stopIfTrue="1">
      <formula>LEN(TRIM(N32))&gt;0</formula>
    </cfRule>
  </conditionalFormatting>
  <conditionalFormatting sqref="O32:O38">
    <cfRule type="containsBlanks" dxfId="832" priority="354" stopIfTrue="1">
      <formula>LEN(TRIM(O32))=0</formula>
    </cfRule>
  </conditionalFormatting>
  <conditionalFormatting sqref="O32:O38">
    <cfRule type="expression" dxfId="831" priority="355" stopIfTrue="1">
      <formula>SUM($O$32:$O$38)&lt;&gt;1</formula>
    </cfRule>
  </conditionalFormatting>
  <conditionalFormatting sqref="O32:O38">
    <cfRule type="notContainsBlanks" dxfId="830" priority="356" stopIfTrue="1">
      <formula>LEN(TRIM(O32))&gt;0</formula>
    </cfRule>
  </conditionalFormatting>
  <conditionalFormatting sqref="P32:P38">
    <cfRule type="containsBlanks" dxfId="829" priority="357" stopIfTrue="1">
      <formula>LEN(TRIM(P32))=0</formula>
    </cfRule>
  </conditionalFormatting>
  <conditionalFormatting sqref="P32:P38">
    <cfRule type="expression" dxfId="828" priority="358" stopIfTrue="1">
      <formula>SUM($P$32:$P$38)&lt;&gt;1</formula>
    </cfRule>
  </conditionalFormatting>
  <conditionalFormatting sqref="P32:P38">
    <cfRule type="notContainsBlanks" dxfId="827" priority="359" stopIfTrue="1">
      <formula>LEN(TRIM(P32))&gt;0</formula>
    </cfRule>
  </conditionalFormatting>
  <conditionalFormatting sqref="Q32:Q38">
    <cfRule type="containsBlanks" dxfId="826" priority="360" stopIfTrue="1">
      <formula>LEN(TRIM(Q32))=0</formula>
    </cfRule>
  </conditionalFormatting>
  <conditionalFormatting sqref="Q32:Q38">
    <cfRule type="expression" dxfId="825" priority="361" stopIfTrue="1">
      <formula>SUM($Q$32:$Q$38)&lt;&gt;1</formula>
    </cfRule>
  </conditionalFormatting>
  <conditionalFormatting sqref="Q32:Q38">
    <cfRule type="notContainsBlanks" dxfId="824" priority="362" stopIfTrue="1">
      <formula>LEN(TRIM(Q32))&gt;0</formula>
    </cfRule>
  </conditionalFormatting>
  <conditionalFormatting sqref="R32:R38">
    <cfRule type="containsBlanks" dxfId="823" priority="363" stopIfTrue="1">
      <formula>LEN(TRIM(R32))=0</formula>
    </cfRule>
  </conditionalFormatting>
  <conditionalFormatting sqref="R32:R38">
    <cfRule type="expression" dxfId="822" priority="364" stopIfTrue="1">
      <formula>SUM($R$32:$R$38)&lt;&gt;1</formula>
    </cfRule>
  </conditionalFormatting>
  <conditionalFormatting sqref="R32:R38">
    <cfRule type="notContainsBlanks" dxfId="821" priority="365" stopIfTrue="1">
      <formula>LEN(TRIM(R32))&gt;0</formula>
    </cfRule>
  </conditionalFormatting>
  <conditionalFormatting sqref="S32:S38">
    <cfRule type="containsBlanks" dxfId="820" priority="366" stopIfTrue="1">
      <formula>LEN(TRIM(S32))=0</formula>
    </cfRule>
  </conditionalFormatting>
  <conditionalFormatting sqref="S32:S38">
    <cfRule type="expression" dxfId="819" priority="367" stopIfTrue="1">
      <formula>SUM($S$32:$S$38)&lt;&gt;1</formula>
    </cfRule>
  </conditionalFormatting>
  <conditionalFormatting sqref="S32:S38">
    <cfRule type="notContainsBlanks" dxfId="818" priority="368" stopIfTrue="1">
      <formula>LEN(TRIM(S32))&gt;0</formula>
    </cfRule>
  </conditionalFormatting>
  <conditionalFormatting sqref="T32:T38">
    <cfRule type="containsBlanks" dxfId="817" priority="369" stopIfTrue="1">
      <formula>LEN(TRIM(T32))=0</formula>
    </cfRule>
  </conditionalFormatting>
  <conditionalFormatting sqref="T32:T38">
    <cfRule type="expression" dxfId="816" priority="370" stopIfTrue="1">
      <formula>SUM($T$32:$T$38)&lt;&gt;1</formula>
    </cfRule>
  </conditionalFormatting>
  <conditionalFormatting sqref="T32:T38">
    <cfRule type="notContainsBlanks" dxfId="815" priority="371" stopIfTrue="1">
      <formula>LEN(TRIM(T32))&gt;0</formula>
    </cfRule>
  </conditionalFormatting>
  <conditionalFormatting sqref="U32:U38">
    <cfRule type="containsBlanks" dxfId="814" priority="372" stopIfTrue="1">
      <formula>LEN(TRIM(U32))=0</formula>
    </cfRule>
  </conditionalFormatting>
  <conditionalFormatting sqref="U32:U38">
    <cfRule type="expression" dxfId="813" priority="373" stopIfTrue="1">
      <formula>SUM($U$32:$U$38)&lt;&gt;1</formula>
    </cfRule>
  </conditionalFormatting>
  <conditionalFormatting sqref="U32:U38">
    <cfRule type="notContainsBlanks" dxfId="812" priority="374" stopIfTrue="1">
      <formula>LEN(TRIM(U32))&gt;0</formula>
    </cfRule>
  </conditionalFormatting>
  <conditionalFormatting sqref="V32:V38">
    <cfRule type="containsBlanks" dxfId="811" priority="375" stopIfTrue="1">
      <formula>LEN(TRIM(V32))=0</formula>
    </cfRule>
  </conditionalFormatting>
  <conditionalFormatting sqref="V32:V38">
    <cfRule type="expression" dxfId="810" priority="376" stopIfTrue="1">
      <formula>SUM($V$32:$V$38)&lt;&gt;1</formula>
    </cfRule>
  </conditionalFormatting>
  <conditionalFormatting sqref="V32:V38">
    <cfRule type="notContainsBlanks" dxfId="809" priority="377" stopIfTrue="1">
      <formula>LEN(TRIM(V32))&gt;0</formula>
    </cfRule>
  </conditionalFormatting>
  <conditionalFormatting sqref="W32:W38">
    <cfRule type="containsBlanks" dxfId="808" priority="378" stopIfTrue="1">
      <formula>LEN(TRIM(W32))=0</formula>
    </cfRule>
  </conditionalFormatting>
  <conditionalFormatting sqref="W32:W38">
    <cfRule type="expression" dxfId="807" priority="379" stopIfTrue="1">
      <formula>SUM($W$32:$W$38)&lt;&gt;1</formula>
    </cfRule>
  </conditionalFormatting>
  <conditionalFormatting sqref="W32:W38">
    <cfRule type="notContainsBlanks" dxfId="806" priority="380" stopIfTrue="1">
      <formula>LEN(TRIM(W32))&gt;0</formula>
    </cfRule>
  </conditionalFormatting>
  <conditionalFormatting sqref="X32:X38">
    <cfRule type="containsBlanks" dxfId="805" priority="381" stopIfTrue="1">
      <formula>LEN(TRIM(X32))=0</formula>
    </cfRule>
  </conditionalFormatting>
  <conditionalFormatting sqref="X32:X38">
    <cfRule type="expression" dxfId="804" priority="382" stopIfTrue="1">
      <formula>SUM($X$32:$X$38)&lt;&gt;1</formula>
    </cfRule>
  </conditionalFormatting>
  <conditionalFormatting sqref="X32:X38">
    <cfRule type="notContainsBlanks" dxfId="803" priority="383" stopIfTrue="1">
      <formula>LEN(TRIM(X32))&gt;0</formula>
    </cfRule>
  </conditionalFormatting>
  <conditionalFormatting sqref="Y32:Y38">
    <cfRule type="containsBlanks" dxfId="802" priority="384" stopIfTrue="1">
      <formula>LEN(TRIM(Y32))=0</formula>
    </cfRule>
  </conditionalFormatting>
  <conditionalFormatting sqref="Y32:Y38">
    <cfRule type="expression" dxfId="801" priority="385" stopIfTrue="1">
      <formula>SUM($Y$32:$Y$38)&lt;&gt;1</formula>
    </cfRule>
  </conditionalFormatting>
  <conditionalFormatting sqref="Y32:Y38">
    <cfRule type="notContainsBlanks" dxfId="800" priority="386" stopIfTrue="1">
      <formula>LEN(TRIM(Y32))&gt;0</formula>
    </cfRule>
  </conditionalFormatting>
  <conditionalFormatting sqref="Z32:Z38">
    <cfRule type="containsBlanks" dxfId="799" priority="387" stopIfTrue="1">
      <formula>LEN(TRIM(Z32))=0</formula>
    </cfRule>
  </conditionalFormatting>
  <conditionalFormatting sqref="Z32:Z38">
    <cfRule type="expression" dxfId="798" priority="388" stopIfTrue="1">
      <formula>SUM($Z$32:$Z$38)&lt;&gt;1</formula>
    </cfRule>
  </conditionalFormatting>
  <conditionalFormatting sqref="Z32:Z38">
    <cfRule type="notContainsBlanks" dxfId="797" priority="389" stopIfTrue="1">
      <formula>LEN(TRIM(Z32))&gt;0</formula>
    </cfRule>
  </conditionalFormatting>
  <conditionalFormatting sqref="AA32:AA38">
    <cfRule type="containsBlanks" dxfId="796" priority="390" stopIfTrue="1">
      <formula>LEN(TRIM(AA32))=0</formula>
    </cfRule>
  </conditionalFormatting>
  <conditionalFormatting sqref="AA32:AA38">
    <cfRule type="expression" dxfId="795" priority="391" stopIfTrue="1">
      <formula>SUM($AA$32:$AA$38)&lt;&gt;1</formula>
    </cfRule>
  </conditionalFormatting>
  <conditionalFormatting sqref="AA32:AA38">
    <cfRule type="notContainsBlanks" dxfId="794" priority="392" stopIfTrue="1">
      <formula>LEN(TRIM(AA32))&gt;0</formula>
    </cfRule>
  </conditionalFormatting>
  <conditionalFormatting sqref="AB32:AB38">
    <cfRule type="containsBlanks" dxfId="793" priority="393" stopIfTrue="1">
      <formula>LEN(TRIM(AB32))=0</formula>
    </cfRule>
  </conditionalFormatting>
  <conditionalFormatting sqref="AB32:AB38">
    <cfRule type="expression" dxfId="792" priority="394" stopIfTrue="1">
      <formula>SUM($AB$32:$AB$38)&lt;&gt;1</formula>
    </cfRule>
  </conditionalFormatting>
  <conditionalFormatting sqref="AB32:AB38">
    <cfRule type="notContainsBlanks" dxfId="791" priority="395" stopIfTrue="1">
      <formula>LEN(TRIM(AB32))&gt;0</formula>
    </cfRule>
  </conditionalFormatting>
  <conditionalFormatting sqref="AC32:AC38">
    <cfRule type="containsBlanks" dxfId="790" priority="396" stopIfTrue="1">
      <formula>LEN(TRIM(AC32))=0</formula>
    </cfRule>
  </conditionalFormatting>
  <conditionalFormatting sqref="AC32:AC38">
    <cfRule type="expression" dxfId="789" priority="397" stopIfTrue="1">
      <formula>SUM($AC$32:$AC$38)&lt;&gt;1</formula>
    </cfRule>
  </conditionalFormatting>
  <conditionalFormatting sqref="AC32:AC38">
    <cfRule type="notContainsBlanks" dxfId="788" priority="398" stopIfTrue="1">
      <formula>LEN(TRIM(AC32))&gt;0</formula>
    </cfRule>
  </conditionalFormatting>
  <conditionalFormatting sqref="AD32:AD38">
    <cfRule type="containsBlanks" dxfId="787" priority="399" stopIfTrue="1">
      <formula>LEN(TRIM(AD32))=0</formula>
    </cfRule>
  </conditionalFormatting>
  <conditionalFormatting sqref="AD32:AD38">
    <cfRule type="expression" dxfId="786" priority="400" stopIfTrue="1">
      <formula>SUM($AD$32:$AD$38)&lt;&gt;1</formula>
    </cfRule>
  </conditionalFormatting>
  <conditionalFormatting sqref="AD32:AD38">
    <cfRule type="notContainsBlanks" dxfId="785" priority="401" stopIfTrue="1">
      <formula>LEN(TRIM(AD32))&gt;0</formula>
    </cfRule>
  </conditionalFormatting>
  <conditionalFormatting sqref="AE32:AE38">
    <cfRule type="containsBlanks" dxfId="784" priority="402" stopIfTrue="1">
      <formula>LEN(TRIM(AE32))=0</formula>
    </cfRule>
  </conditionalFormatting>
  <conditionalFormatting sqref="AE32:AE38">
    <cfRule type="expression" dxfId="783" priority="403" stopIfTrue="1">
      <formula>SUM($AE$32:$AE$38)&lt;&gt;1</formula>
    </cfRule>
  </conditionalFormatting>
  <conditionalFormatting sqref="AE32:AE38">
    <cfRule type="notContainsBlanks" dxfId="782" priority="404" stopIfTrue="1">
      <formula>LEN(TRIM(AE32))&gt;0</formula>
    </cfRule>
  </conditionalFormatting>
  <conditionalFormatting sqref="AF32:AF38">
    <cfRule type="containsBlanks" dxfId="781" priority="405" stopIfTrue="1">
      <formula>LEN(TRIM(AF32))=0</formula>
    </cfRule>
  </conditionalFormatting>
  <conditionalFormatting sqref="AF32:AF38">
    <cfRule type="expression" dxfId="780" priority="406" stopIfTrue="1">
      <formula>SUM($AF$32:$AF$38)&lt;&gt;1</formula>
    </cfRule>
  </conditionalFormatting>
  <conditionalFormatting sqref="AF32:AF38">
    <cfRule type="notContainsBlanks" dxfId="779" priority="407" stopIfTrue="1">
      <formula>LEN(TRIM(AF32))&gt;0</formula>
    </cfRule>
  </conditionalFormatting>
  <conditionalFormatting sqref="AG32:AG38">
    <cfRule type="containsBlanks" dxfId="778" priority="408" stopIfTrue="1">
      <formula>LEN(TRIM(AG32))=0</formula>
    </cfRule>
  </conditionalFormatting>
  <conditionalFormatting sqref="AG32:AG38">
    <cfRule type="expression" dxfId="777" priority="409" stopIfTrue="1">
      <formula>SUM($AG$32:$AG$38)&lt;&gt;1</formula>
    </cfRule>
  </conditionalFormatting>
  <conditionalFormatting sqref="AG32:AG38">
    <cfRule type="notContainsBlanks" dxfId="776" priority="410" stopIfTrue="1">
      <formula>LEN(TRIM(AG32))&gt;0</formula>
    </cfRule>
  </conditionalFormatting>
  <conditionalFormatting sqref="AH32:AH38">
    <cfRule type="containsBlanks" dxfId="775" priority="411" stopIfTrue="1">
      <formula>LEN(TRIM(AH32))=0</formula>
    </cfRule>
  </conditionalFormatting>
  <conditionalFormatting sqref="AH32:AH38">
    <cfRule type="expression" dxfId="774" priority="412" stopIfTrue="1">
      <formula>SUM($AH$32:$AH$38)&lt;&gt;1</formula>
    </cfRule>
  </conditionalFormatting>
  <conditionalFormatting sqref="AH32:AH38">
    <cfRule type="notContainsBlanks" dxfId="773" priority="413" stopIfTrue="1">
      <formula>LEN(TRIM(AH32))&gt;0</formula>
    </cfRule>
  </conditionalFormatting>
  <conditionalFormatting sqref="AI32:AI38">
    <cfRule type="containsBlanks" dxfId="772" priority="414" stopIfTrue="1">
      <formula>LEN(TRIM(AI32))=0</formula>
    </cfRule>
  </conditionalFormatting>
  <conditionalFormatting sqref="AI32:AI38">
    <cfRule type="expression" dxfId="771" priority="415" stopIfTrue="1">
      <formula>SUM($AI$32:$AI$38)&lt;&gt;1</formula>
    </cfRule>
  </conditionalFormatting>
  <conditionalFormatting sqref="AI32:AI38">
    <cfRule type="notContainsBlanks" dxfId="770" priority="416" stopIfTrue="1">
      <formula>LEN(TRIM(AI32))&gt;0</formula>
    </cfRule>
  </conditionalFormatting>
  <conditionalFormatting sqref="AJ32:AJ38">
    <cfRule type="containsBlanks" dxfId="769" priority="417" stopIfTrue="1">
      <formula>LEN(TRIM(AJ32))=0</formula>
    </cfRule>
  </conditionalFormatting>
  <conditionalFormatting sqref="AJ32:AJ38">
    <cfRule type="expression" dxfId="768" priority="418" stopIfTrue="1">
      <formula>SUM($AJ$32:$AJ$38)&lt;&gt;1</formula>
    </cfRule>
  </conditionalFormatting>
  <conditionalFormatting sqref="AJ32:AJ38">
    <cfRule type="notContainsBlanks" dxfId="767" priority="419" stopIfTrue="1">
      <formula>LEN(TRIM(AJ32))&gt;0</formula>
    </cfRule>
  </conditionalFormatting>
  <conditionalFormatting sqref="AK32:AK38">
    <cfRule type="containsBlanks" dxfId="766" priority="420" stopIfTrue="1">
      <formula>LEN(TRIM(AK32))=0</formula>
    </cfRule>
  </conditionalFormatting>
  <conditionalFormatting sqref="AK32:AK38">
    <cfRule type="expression" dxfId="765" priority="421" stopIfTrue="1">
      <formula>SUM($AK$32:$AK$38)&lt;&gt;1</formula>
    </cfRule>
  </conditionalFormatting>
  <conditionalFormatting sqref="AK32:AK38">
    <cfRule type="notContainsBlanks" dxfId="764" priority="422" stopIfTrue="1">
      <formula>LEN(TRIM(AK32))&gt;0</formula>
    </cfRule>
  </conditionalFormatting>
  <conditionalFormatting sqref="E21:AK21">
    <cfRule type="containsBlanks" dxfId="763" priority="423" stopIfTrue="1">
      <formula>LEN(TRIM(E21))=0</formula>
    </cfRule>
  </conditionalFormatting>
  <conditionalFormatting sqref="E21:AK21">
    <cfRule type="notContainsBlanks" dxfId="762" priority="424" stopIfTrue="1">
      <formula>LEN(TRIM(E21))&gt;0</formula>
    </cfRule>
  </conditionalFormatting>
  <conditionalFormatting sqref="E22:AK22">
    <cfRule type="containsBlanks" dxfId="761" priority="425" stopIfTrue="1">
      <formula>LEN(TRIM(E22))=0</formula>
    </cfRule>
  </conditionalFormatting>
  <conditionalFormatting sqref="E22:AK22">
    <cfRule type="notContainsBlanks" dxfId="760" priority="426" stopIfTrue="1">
      <formula>LEN(TRIM(E22))&gt;0</formula>
    </cfRule>
  </conditionalFormatting>
  <conditionalFormatting sqref="E24:AK24">
    <cfRule type="containsBlanks" dxfId="759" priority="427" stopIfTrue="1">
      <formula>LEN(TRIM(E24))=0</formula>
    </cfRule>
  </conditionalFormatting>
  <conditionalFormatting sqref="E24:AK24">
    <cfRule type="notContainsBlanks" dxfId="758" priority="428" stopIfTrue="1">
      <formula>LEN(TRIM(E24))&gt;0</formula>
    </cfRule>
  </conditionalFormatting>
  <conditionalFormatting sqref="E26:AK26">
    <cfRule type="containsBlanks" dxfId="757" priority="429" stopIfTrue="1">
      <formula>LEN(TRIM(E26))=0</formula>
    </cfRule>
  </conditionalFormatting>
  <conditionalFormatting sqref="E26:AK26">
    <cfRule type="notContainsBlanks" dxfId="756" priority="430" stopIfTrue="1">
      <formula>LEN(TRIM(E26))&gt;0</formula>
    </cfRule>
  </conditionalFormatting>
  <conditionalFormatting sqref="E27:AK27">
    <cfRule type="containsBlanks" dxfId="755" priority="431" stopIfTrue="1">
      <formula>LEN(TRIM(E27))=0</formula>
    </cfRule>
  </conditionalFormatting>
  <conditionalFormatting sqref="E27:AK27">
    <cfRule type="notContainsBlanks" dxfId="754" priority="432" stopIfTrue="1">
      <formula>LEN(TRIM(E27))&gt;0</formula>
    </cfRule>
  </conditionalFormatting>
  <conditionalFormatting sqref="E29:AK29">
    <cfRule type="containsBlanks" dxfId="753" priority="433" stopIfTrue="1">
      <formula>LEN(TRIM(E29))=0</formula>
    </cfRule>
  </conditionalFormatting>
  <conditionalFormatting sqref="E29:AK29">
    <cfRule type="notContainsBlanks" dxfId="752" priority="434" stopIfTrue="1">
      <formula>LEN(TRIM(E29))&gt;0</formula>
    </cfRule>
  </conditionalFormatting>
  <conditionalFormatting sqref="E13:AK13">
    <cfRule type="containsBlanks" dxfId="751" priority="435" stopIfTrue="1">
      <formula>LEN(TRIM(E13))=0</formula>
    </cfRule>
  </conditionalFormatting>
  <conditionalFormatting sqref="E13:AK13">
    <cfRule type="notContainsBlanks" dxfId="750" priority="436" stopIfTrue="1">
      <formula>LEN(TRIM(E13))&gt;0</formula>
    </cfRule>
  </conditionalFormatting>
  <conditionalFormatting sqref="E14:AK14">
    <cfRule type="containsBlanks" dxfId="749" priority="437" stopIfTrue="1">
      <formula>LEN(TRIM(E14))=0</formula>
    </cfRule>
  </conditionalFormatting>
  <conditionalFormatting sqref="E14:AK14">
    <cfRule type="notContainsBlanks" dxfId="748" priority="438" stopIfTrue="1">
      <formula>LEN(TRIM(E14))&gt;0</formula>
    </cfRule>
  </conditionalFormatting>
  <conditionalFormatting sqref="E15:AK15">
    <cfRule type="containsBlanks" dxfId="747" priority="439" stopIfTrue="1">
      <formula>LEN(TRIM(E15))=0</formula>
    </cfRule>
  </conditionalFormatting>
  <conditionalFormatting sqref="E15:AK15">
    <cfRule type="notContainsBlanks" dxfId="746" priority="440" stopIfTrue="1">
      <formula>LEN(TRIM(E15))&gt;0</formula>
    </cfRule>
  </conditionalFormatting>
  <conditionalFormatting sqref="E17:AK17">
    <cfRule type="containsBlanks" dxfId="745" priority="441" stopIfTrue="1">
      <formula>LEN(TRIM(E17))=0</formula>
    </cfRule>
  </conditionalFormatting>
  <conditionalFormatting sqref="E17:AK17">
    <cfRule type="notContainsBlanks" dxfId="744" priority="442" stopIfTrue="1">
      <formula>LEN(TRIM(E17))&gt;0</formula>
    </cfRule>
  </conditionalFormatting>
  <conditionalFormatting sqref="E5:AK5">
    <cfRule type="containsBlanks" dxfId="743" priority="443" stopIfTrue="1">
      <formula>LEN(TRIM(E5))=0</formula>
    </cfRule>
  </conditionalFormatting>
  <conditionalFormatting sqref="E5:AK5">
    <cfRule type="notContainsBlanks" dxfId="742" priority="444" stopIfTrue="1">
      <formula>LEN(TRIM(E5))&gt;0</formula>
    </cfRule>
  </conditionalFormatting>
  <conditionalFormatting sqref="E6:AK6">
    <cfRule type="containsBlanks" dxfId="741" priority="445" stopIfTrue="1">
      <formula>LEN(TRIM(E6))=0</formula>
    </cfRule>
  </conditionalFormatting>
  <conditionalFormatting sqref="E6:AK6">
    <cfRule type="notContainsBlanks" dxfId="740" priority="446" stopIfTrue="1">
      <formula>LEN(TRIM(E6))&gt;0</formula>
    </cfRule>
  </conditionalFormatting>
  <conditionalFormatting sqref="E7:AK7">
    <cfRule type="containsBlanks" dxfId="739" priority="447" stopIfTrue="1">
      <formula>LEN(TRIM(E7))=0</formula>
    </cfRule>
  </conditionalFormatting>
  <conditionalFormatting sqref="E7:AK7">
    <cfRule type="notContainsBlanks" dxfId="738" priority="448" stopIfTrue="1">
      <formula>LEN(TRIM(E7))&gt;0</formula>
    </cfRule>
  </conditionalFormatting>
  <conditionalFormatting sqref="E9:AK9">
    <cfRule type="containsBlanks" dxfId="737" priority="449" stopIfTrue="1">
      <formula>LEN(TRIM(E9))=0</formula>
    </cfRule>
  </conditionalFormatting>
  <conditionalFormatting sqref="E9:AK9">
    <cfRule type="notContainsBlanks" dxfId="736" priority="450" stopIfTrue="1">
      <formula>LEN(TRIM(E9))&gt;0</formula>
    </cfRule>
  </conditionalFormatting>
  <pageMargins left="0.7" right="0.7" top="0.75" bottom="0.75" header="0.3" footer="0.3"/>
  <customProperties>
    <customPr name="IsPC" r:id="rId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CS80"/>
  <sheetViews>
    <sheetView showGridLines="0" zoomScale="85" zoomScaleNormal="85" workbookViewId="0">
      <selection activeCell="W73" sqref="W73"/>
    </sheetView>
  </sheetViews>
  <sheetFormatPr defaultColWidth="9.109375" defaultRowHeight="14.4"/>
  <cols>
    <col min="1" max="1" width="9.109375" style="125"/>
    <col min="2" max="2" width="10.44140625" style="125" bestFit="1" customWidth="1"/>
    <col min="3" max="3" width="26.109375" style="125" bestFit="1" customWidth="1"/>
    <col min="4" max="4" width="8.109375" style="125" bestFit="1" customWidth="1"/>
    <col min="5" max="5" width="6.109375" style="125" bestFit="1" customWidth="1"/>
    <col min="6" max="23" width="6.6640625" style="125" bestFit="1" customWidth="1"/>
    <col min="24" max="47" width="7.6640625" style="125" bestFit="1" customWidth="1"/>
    <col min="48" max="77" width="6.6640625" style="125" bestFit="1" customWidth="1"/>
    <col min="78" max="96" width="5.88671875" style="125" bestFit="1" customWidth="1"/>
    <col min="97" max="97" width="3.6640625" style="125" customWidth="1"/>
    <col min="98" max="16384" width="9.109375" style="125"/>
  </cols>
  <sheetData>
    <row r="1" spans="2:97" s="123" customFormat="1">
      <c r="B1" s="123" t="s">
        <v>36</v>
      </c>
    </row>
    <row r="2" spans="2:97" s="199" customFormat="1"/>
    <row r="3" spans="2:97">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row>
    <row r="4" spans="2:97">
      <c r="B4" s="126"/>
      <c r="C4" s="8" t="s">
        <v>36</v>
      </c>
      <c r="D4" s="9"/>
      <c r="E4" s="139">
        <f t="array" ref="E4:AK4">_yS</f>
        <v>2018</v>
      </c>
      <c r="F4" s="10">
        <v>2019</v>
      </c>
      <c r="G4" s="10">
        <v>2020</v>
      </c>
      <c r="H4" s="10">
        <v>2021</v>
      </c>
      <c r="I4" s="10">
        <v>2022</v>
      </c>
      <c r="J4" s="10">
        <v>2023</v>
      </c>
      <c r="K4" s="10">
        <v>2024</v>
      </c>
      <c r="L4" s="10">
        <v>2025</v>
      </c>
      <c r="M4" s="10">
        <v>2026</v>
      </c>
      <c r="N4" s="10">
        <v>2027</v>
      </c>
      <c r="O4" s="10">
        <v>2028</v>
      </c>
      <c r="P4" s="10">
        <v>2029</v>
      </c>
      <c r="Q4" s="10">
        <v>2030</v>
      </c>
      <c r="R4" s="10">
        <v>2031</v>
      </c>
      <c r="S4" s="10">
        <v>2032</v>
      </c>
      <c r="T4" s="10">
        <v>2033</v>
      </c>
      <c r="U4" s="10">
        <v>2034</v>
      </c>
      <c r="V4" s="10">
        <v>2035</v>
      </c>
      <c r="W4" s="10">
        <v>2036</v>
      </c>
      <c r="X4" s="10">
        <v>2037</v>
      </c>
      <c r="Y4" s="10">
        <v>2038</v>
      </c>
      <c r="Z4" s="10">
        <v>2039</v>
      </c>
      <c r="AA4" s="10">
        <v>2040</v>
      </c>
      <c r="AB4" s="10">
        <v>2041</v>
      </c>
      <c r="AC4" s="10">
        <v>2042</v>
      </c>
      <c r="AD4" s="10">
        <v>2043</v>
      </c>
      <c r="AE4" s="10">
        <v>2044</v>
      </c>
      <c r="AF4" s="10">
        <v>2045</v>
      </c>
      <c r="AG4" s="10">
        <v>2046</v>
      </c>
      <c r="AH4" s="10">
        <v>2047</v>
      </c>
      <c r="AI4" s="10">
        <v>2048</v>
      </c>
      <c r="AJ4" s="10">
        <v>2049</v>
      </c>
      <c r="AK4" s="11">
        <v>2050</v>
      </c>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row>
    <row r="5" spans="2:97">
      <c r="B5" s="126"/>
      <c r="C5" s="21" t="str">
        <f>"Shipments [" &amp; sSScen &amp; "]"</f>
        <v>Shipments [AEO Reference]</v>
      </c>
      <c r="D5" s="16" t="s">
        <v>37</v>
      </c>
      <c r="E5" s="200">
        <f t="array" aca="1" ref="E5:AK5" ca="1">INDEX(tShpScenAll,iSScen,)</f>
        <v>525.58299999999997</v>
      </c>
      <c r="F5" s="201">
        <f ca="1"/>
        <v>536.52700000000004</v>
      </c>
      <c r="G5" s="201">
        <f ca="1"/>
        <v>533.97199999999998</v>
      </c>
      <c r="H5" s="201">
        <f ca="1"/>
        <v>533.48699999999997</v>
      </c>
      <c r="I5" s="201">
        <f ca="1"/>
        <v>532.82000000000005</v>
      </c>
      <c r="J5" s="201">
        <f ca="1"/>
        <v>531.22799999999995</v>
      </c>
      <c r="K5" s="201">
        <f ca="1"/>
        <v>530.24400000000003</v>
      </c>
      <c r="L5" s="201">
        <f ca="1"/>
        <v>532.63</v>
      </c>
      <c r="M5" s="201">
        <f ca="1"/>
        <v>533.07799999999997</v>
      </c>
      <c r="N5" s="201">
        <f ca="1"/>
        <v>533.649</v>
      </c>
      <c r="O5" s="201">
        <f ca="1"/>
        <v>535.27800000000002</v>
      </c>
      <c r="P5" s="201">
        <f ca="1"/>
        <v>538.70600000000002</v>
      </c>
      <c r="Q5" s="201">
        <f ca="1"/>
        <v>543.86599999999999</v>
      </c>
      <c r="R5" s="201">
        <f ca="1"/>
        <v>552.95399999999995</v>
      </c>
      <c r="S5" s="201">
        <f ca="1"/>
        <v>568.46799999999996</v>
      </c>
      <c r="T5" s="201">
        <f ca="1"/>
        <v>582.20799999999997</v>
      </c>
      <c r="U5" s="201">
        <f ca="1"/>
        <v>594.94100000000003</v>
      </c>
      <c r="V5" s="201">
        <f ca="1"/>
        <v>610.29499999999996</v>
      </c>
      <c r="W5" s="201">
        <f ca="1"/>
        <v>627.75699999999995</v>
      </c>
      <c r="X5" s="201">
        <f ca="1"/>
        <v>635.77200000000005</v>
      </c>
      <c r="Y5" s="201">
        <f ca="1"/>
        <v>640.63300000000004</v>
      </c>
      <c r="Z5" s="201">
        <f ca="1"/>
        <v>641.78499999999997</v>
      </c>
      <c r="AA5" s="201">
        <f ca="1"/>
        <v>641.10699999999997</v>
      </c>
      <c r="AB5" s="201">
        <f ca="1"/>
        <v>647.78399999999999</v>
      </c>
      <c r="AC5" s="201">
        <f ca="1"/>
        <v>655.23</v>
      </c>
      <c r="AD5" s="201">
        <f ca="1"/>
        <v>663.81399999999996</v>
      </c>
      <c r="AE5" s="201">
        <f ca="1"/>
        <v>672.60799999999995</v>
      </c>
      <c r="AF5" s="201">
        <f ca="1"/>
        <v>681.49199999999996</v>
      </c>
      <c r="AG5" s="201">
        <f ca="1"/>
        <v>690.46799999999996</v>
      </c>
      <c r="AH5" s="201">
        <f ca="1"/>
        <v>699.53800000000001</v>
      </c>
      <c r="AI5" s="201">
        <f ca="1"/>
        <v>708.70699999999999</v>
      </c>
      <c r="AJ5" s="201">
        <f ca="1"/>
        <v>717.976</v>
      </c>
      <c r="AK5" s="202">
        <f ca="1"/>
        <v>727.34799999999996</v>
      </c>
      <c r="AL5" s="126"/>
      <c r="AM5" s="126"/>
      <c r="AN5" s="126"/>
      <c r="AO5" s="126"/>
      <c r="AP5" s="126"/>
      <c r="AQ5" s="126"/>
      <c r="AR5" s="126"/>
      <c r="AS5" s="126"/>
      <c r="AT5" s="126"/>
      <c r="AU5" s="126"/>
      <c r="AV5" s="126"/>
      <c r="AW5" s="126"/>
      <c r="AX5" s="126"/>
      <c r="AY5" s="126"/>
      <c r="AZ5" s="126"/>
      <c r="BA5" s="126"/>
      <c r="BB5" s="126"/>
      <c r="BC5" s="126"/>
      <c r="BD5" s="126"/>
      <c r="BE5" s="126"/>
      <c r="BF5" s="126"/>
      <c r="BG5" s="126"/>
      <c r="BH5" s="126"/>
      <c r="BI5" s="126"/>
      <c r="BJ5" s="126"/>
      <c r="BK5" s="126"/>
      <c r="BL5" s="126"/>
      <c r="BM5" s="126"/>
      <c r="BN5" s="126"/>
      <c r="BO5" s="126"/>
      <c r="BP5" s="126"/>
      <c r="BQ5" s="126"/>
      <c r="BR5" s="126"/>
      <c r="BS5" s="126"/>
      <c r="BT5" s="126"/>
      <c r="BU5" s="126"/>
      <c r="BV5" s="126"/>
      <c r="BW5" s="126"/>
      <c r="BX5" s="126"/>
      <c r="BY5" s="126"/>
      <c r="BZ5" s="126"/>
      <c r="CA5" s="126"/>
      <c r="CB5" s="126"/>
      <c r="CC5" s="126"/>
      <c r="CD5" s="126"/>
      <c r="CE5" s="126"/>
      <c r="CF5" s="126"/>
      <c r="CG5" s="126"/>
      <c r="CH5" s="126"/>
      <c r="CI5" s="126"/>
      <c r="CJ5" s="126"/>
      <c r="CK5" s="126"/>
      <c r="CL5" s="126"/>
      <c r="CM5" s="126"/>
      <c r="CN5" s="126"/>
      <c r="CO5" s="126"/>
      <c r="CP5" s="126"/>
      <c r="CQ5" s="126"/>
      <c r="CR5" s="126"/>
      <c r="CS5" s="126"/>
    </row>
    <row r="6" spans="2:97">
      <c r="B6" s="126"/>
      <c r="C6" s="23" t="str">
        <f>INDEX(_SScen,1)</f>
        <v>AEO Reference</v>
      </c>
      <c r="D6" s="16" t="s">
        <v>37</v>
      </c>
      <c r="E6" s="203">
        <v>525.58299999999997</v>
      </c>
      <c r="F6" s="204">
        <v>536.52700000000004</v>
      </c>
      <c r="G6" s="204">
        <v>533.97199999999998</v>
      </c>
      <c r="H6" s="204">
        <v>533.48699999999997</v>
      </c>
      <c r="I6" s="204">
        <v>532.82000000000005</v>
      </c>
      <c r="J6" s="204">
        <v>531.22799999999995</v>
      </c>
      <c r="K6" s="204">
        <v>530.24400000000003</v>
      </c>
      <c r="L6" s="204">
        <v>532.63</v>
      </c>
      <c r="M6" s="204">
        <v>533.07799999999997</v>
      </c>
      <c r="N6" s="204">
        <v>533.649</v>
      </c>
      <c r="O6" s="204">
        <v>535.27800000000002</v>
      </c>
      <c r="P6" s="204">
        <v>538.70600000000002</v>
      </c>
      <c r="Q6" s="204">
        <v>543.86599999999999</v>
      </c>
      <c r="R6" s="204">
        <v>552.95399999999995</v>
      </c>
      <c r="S6" s="204">
        <v>568.46799999999996</v>
      </c>
      <c r="T6" s="204">
        <v>582.20799999999997</v>
      </c>
      <c r="U6" s="204">
        <v>594.94100000000003</v>
      </c>
      <c r="V6" s="204">
        <v>610.29499999999996</v>
      </c>
      <c r="W6" s="204">
        <v>627.75699999999995</v>
      </c>
      <c r="X6" s="204">
        <v>635.77200000000005</v>
      </c>
      <c r="Y6" s="204">
        <v>640.63300000000004</v>
      </c>
      <c r="Z6" s="204">
        <v>641.78499999999997</v>
      </c>
      <c r="AA6" s="204">
        <v>641.10699999999997</v>
      </c>
      <c r="AB6" s="204">
        <v>647.78399999999999</v>
      </c>
      <c r="AC6" s="204">
        <v>655.23</v>
      </c>
      <c r="AD6" s="204">
        <v>663.81399999999996</v>
      </c>
      <c r="AE6" s="204">
        <v>672.60799999999995</v>
      </c>
      <c r="AF6" s="204">
        <v>681.49199999999996</v>
      </c>
      <c r="AG6" s="204">
        <v>690.46799999999996</v>
      </c>
      <c r="AH6" s="204">
        <v>699.53800000000001</v>
      </c>
      <c r="AI6" s="204">
        <v>708.70699999999999</v>
      </c>
      <c r="AJ6" s="204">
        <v>717.976</v>
      </c>
      <c r="AK6" s="205">
        <v>727.34799999999996</v>
      </c>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26"/>
      <c r="BO6" s="126"/>
      <c r="BP6" s="126"/>
      <c r="BQ6" s="126"/>
      <c r="BR6" s="126"/>
      <c r="BS6" s="126"/>
      <c r="BT6" s="126"/>
      <c r="BU6" s="126"/>
      <c r="BV6" s="126"/>
      <c r="BW6" s="126"/>
      <c r="BX6" s="126"/>
      <c r="BY6" s="126"/>
      <c r="BZ6" s="126"/>
      <c r="CA6" s="126"/>
      <c r="CB6" s="126"/>
      <c r="CC6" s="126"/>
      <c r="CD6" s="126"/>
      <c r="CE6" s="126"/>
      <c r="CF6" s="126"/>
      <c r="CG6" s="126"/>
      <c r="CH6" s="126"/>
      <c r="CI6" s="126"/>
      <c r="CJ6" s="126"/>
      <c r="CK6" s="126"/>
      <c r="CL6" s="126"/>
      <c r="CM6" s="126"/>
      <c r="CN6" s="126"/>
      <c r="CO6" s="126"/>
      <c r="CP6" s="126"/>
      <c r="CQ6" s="126"/>
      <c r="CR6" s="126"/>
      <c r="CS6" s="126"/>
    </row>
    <row r="7" spans="2:97">
      <c r="B7" s="126"/>
      <c r="C7" s="23" t="str">
        <f>INDEX(_SScen,2)</f>
        <v>AEO Low</v>
      </c>
      <c r="D7" s="16" t="s">
        <v>37</v>
      </c>
      <c r="E7" s="203">
        <v>499.995</v>
      </c>
      <c r="F7" s="204">
        <v>506.84199999999998</v>
      </c>
      <c r="G7" s="204">
        <v>502.69499999999999</v>
      </c>
      <c r="H7" s="204">
        <v>502.66500000000002</v>
      </c>
      <c r="I7" s="204">
        <v>502.791</v>
      </c>
      <c r="J7" s="204">
        <v>501.56599999999997</v>
      </c>
      <c r="K7" s="204">
        <v>499.81099999999998</v>
      </c>
      <c r="L7" s="204">
        <v>501.45400000000001</v>
      </c>
      <c r="M7" s="204">
        <v>502.24900000000002</v>
      </c>
      <c r="N7" s="204">
        <v>503.697</v>
      </c>
      <c r="O7" s="204">
        <v>505.154</v>
      </c>
      <c r="P7" s="204">
        <v>506.87200000000001</v>
      </c>
      <c r="Q7" s="204">
        <v>508.71</v>
      </c>
      <c r="R7" s="204">
        <v>515.69000000000005</v>
      </c>
      <c r="S7" s="204">
        <v>530.09500000000003</v>
      </c>
      <c r="T7" s="204">
        <v>542.96699999999998</v>
      </c>
      <c r="U7" s="204">
        <v>555.18799999999999</v>
      </c>
      <c r="V7" s="204">
        <v>569.95500000000004</v>
      </c>
      <c r="W7" s="204">
        <v>585.61800000000005</v>
      </c>
      <c r="X7" s="204">
        <v>591.63400000000001</v>
      </c>
      <c r="Y7" s="204">
        <v>594.54399999999998</v>
      </c>
      <c r="Z7" s="204">
        <v>594.09299999999996</v>
      </c>
      <c r="AA7" s="204">
        <v>593.00300000000004</v>
      </c>
      <c r="AB7" s="204">
        <v>599.45699999999999</v>
      </c>
      <c r="AC7" s="204">
        <v>606.32100000000003</v>
      </c>
      <c r="AD7" s="204">
        <v>613.24900000000002</v>
      </c>
      <c r="AE7" s="204">
        <v>620.28700000000003</v>
      </c>
      <c r="AF7" s="204">
        <v>627.63199999999995</v>
      </c>
      <c r="AG7" s="204">
        <v>635.04</v>
      </c>
      <c r="AH7" s="204">
        <v>642.51</v>
      </c>
      <c r="AI7" s="204">
        <v>650.04499999999996</v>
      </c>
      <c r="AJ7" s="204">
        <v>657.64400000000001</v>
      </c>
      <c r="AK7" s="205">
        <v>665.30799999999999</v>
      </c>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126"/>
      <c r="CF7" s="126"/>
      <c r="CG7" s="126"/>
      <c r="CH7" s="126"/>
      <c r="CI7" s="126"/>
      <c r="CJ7" s="126"/>
      <c r="CK7" s="126"/>
      <c r="CL7" s="126"/>
      <c r="CM7" s="126"/>
      <c r="CN7" s="126"/>
      <c r="CO7" s="126"/>
      <c r="CP7" s="126"/>
      <c r="CQ7" s="126"/>
      <c r="CR7" s="126"/>
      <c r="CS7" s="126"/>
    </row>
    <row r="8" spans="2:97">
      <c r="B8" s="126"/>
      <c r="C8" s="23" t="str">
        <f>INDEX(_SScen,3)</f>
        <v>AEO High</v>
      </c>
      <c r="D8" s="16" t="s">
        <v>37</v>
      </c>
      <c r="E8" s="206">
        <v>550.76300000000003</v>
      </c>
      <c r="F8" s="204">
        <v>568.15099999999995</v>
      </c>
      <c r="G8" s="204">
        <v>570.30899999999997</v>
      </c>
      <c r="H8" s="204">
        <v>571.22799999999995</v>
      </c>
      <c r="I8" s="204">
        <v>569.61</v>
      </c>
      <c r="J8" s="204">
        <v>567.13300000000004</v>
      </c>
      <c r="K8" s="204">
        <v>564.79399999999998</v>
      </c>
      <c r="L8" s="204">
        <v>565.40599999999995</v>
      </c>
      <c r="M8" s="204">
        <v>564.476</v>
      </c>
      <c r="N8" s="204">
        <v>564.08500000000004</v>
      </c>
      <c r="O8" s="204">
        <v>563.86800000000005</v>
      </c>
      <c r="P8" s="204">
        <v>567.58900000000006</v>
      </c>
      <c r="Q8" s="204">
        <v>574.86699999999996</v>
      </c>
      <c r="R8" s="204">
        <v>586.05100000000004</v>
      </c>
      <c r="S8" s="204">
        <v>603.51599999999996</v>
      </c>
      <c r="T8" s="204">
        <v>620.89800000000002</v>
      </c>
      <c r="U8" s="204">
        <v>636.37199999999996</v>
      </c>
      <c r="V8" s="204">
        <v>654.86699999999996</v>
      </c>
      <c r="W8" s="204">
        <v>672.673</v>
      </c>
      <c r="X8" s="204">
        <v>681.81200000000001</v>
      </c>
      <c r="Y8" s="204">
        <v>688.10799999999995</v>
      </c>
      <c r="Z8" s="204">
        <v>689.21199999999999</v>
      </c>
      <c r="AA8" s="204">
        <v>688.81100000000004</v>
      </c>
      <c r="AB8" s="204">
        <v>699.49199999999996</v>
      </c>
      <c r="AC8" s="204">
        <v>710.06600000000003</v>
      </c>
      <c r="AD8" s="204">
        <v>720.76199999999994</v>
      </c>
      <c r="AE8" s="204">
        <v>731.58299999999997</v>
      </c>
      <c r="AF8" s="204">
        <v>742.53099999999995</v>
      </c>
      <c r="AG8" s="204">
        <v>753.61</v>
      </c>
      <c r="AH8" s="204">
        <v>764.82299999999998</v>
      </c>
      <c r="AI8" s="204">
        <v>776.173</v>
      </c>
      <c r="AJ8" s="204">
        <v>787.66399999999999</v>
      </c>
      <c r="AK8" s="205">
        <v>799.29899999999998</v>
      </c>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6"/>
      <c r="CH8" s="126"/>
      <c r="CI8" s="126"/>
      <c r="CJ8" s="126"/>
      <c r="CK8" s="126"/>
      <c r="CL8" s="126"/>
      <c r="CM8" s="126"/>
      <c r="CN8" s="126"/>
      <c r="CO8" s="126"/>
      <c r="CP8" s="126"/>
      <c r="CQ8" s="126"/>
      <c r="CR8" s="126"/>
      <c r="CS8" s="126"/>
    </row>
    <row r="9" spans="2:97">
      <c r="B9" s="126"/>
      <c r="C9" s="21" t="s">
        <v>38</v>
      </c>
      <c r="D9" s="207"/>
      <c r="E9" s="142"/>
      <c r="F9" s="207"/>
      <c r="G9" s="207"/>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8"/>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row>
    <row r="10" spans="2:97">
      <c r="B10" s="126"/>
      <c r="C10" s="23" t="str">
        <f>INDEX(_pcName,1)</f>
        <v>Axial Housed</v>
      </c>
      <c r="D10" s="16" t="s">
        <v>37</v>
      </c>
      <c r="E10" s="200">
        <f t="array" aca="1" ref="E10:AK10" ca="1">tShpAll*tMktAxH</f>
        <v>31.534979999999997</v>
      </c>
      <c r="F10" s="201">
        <f ca="1"/>
        <v>32.19162</v>
      </c>
      <c r="G10" s="201">
        <f ca="1"/>
        <v>32.038319999999999</v>
      </c>
      <c r="H10" s="201">
        <f ca="1"/>
        <v>32.009219999999999</v>
      </c>
      <c r="I10" s="201">
        <f ca="1"/>
        <v>31.969200000000001</v>
      </c>
      <c r="J10" s="201">
        <f ca="1"/>
        <v>31.873679999999997</v>
      </c>
      <c r="K10" s="201">
        <f ca="1"/>
        <v>31.814640000000001</v>
      </c>
      <c r="L10" s="201">
        <f ca="1"/>
        <v>31.957799999999999</v>
      </c>
      <c r="M10" s="201">
        <f ca="1"/>
        <v>31.984679999999997</v>
      </c>
      <c r="N10" s="201">
        <f ca="1"/>
        <v>32.018940000000001</v>
      </c>
      <c r="O10" s="201">
        <f ca="1"/>
        <v>32.116680000000002</v>
      </c>
      <c r="P10" s="201">
        <f ca="1"/>
        <v>32.322360000000003</v>
      </c>
      <c r="Q10" s="201">
        <f ca="1"/>
        <v>32.631959999999999</v>
      </c>
      <c r="R10" s="201">
        <f ca="1"/>
        <v>33.177239999999998</v>
      </c>
      <c r="S10" s="201">
        <f ca="1"/>
        <v>34.108079999999994</v>
      </c>
      <c r="T10" s="201">
        <f ca="1"/>
        <v>34.932479999999998</v>
      </c>
      <c r="U10" s="201">
        <f ca="1"/>
        <v>35.696460000000002</v>
      </c>
      <c r="V10" s="201">
        <f ca="1"/>
        <v>36.617699999999999</v>
      </c>
      <c r="W10" s="201">
        <f ca="1"/>
        <v>37.665419999999997</v>
      </c>
      <c r="X10" s="201">
        <f ca="1"/>
        <v>38.146320000000003</v>
      </c>
      <c r="Y10" s="201">
        <f ca="1"/>
        <v>38.437980000000003</v>
      </c>
      <c r="Z10" s="201">
        <f ca="1"/>
        <v>38.507099999999994</v>
      </c>
      <c r="AA10" s="201">
        <f ca="1"/>
        <v>38.466419999999999</v>
      </c>
      <c r="AB10" s="201">
        <f ca="1"/>
        <v>38.867039999999996</v>
      </c>
      <c r="AC10" s="201">
        <f ca="1"/>
        <v>39.313800000000001</v>
      </c>
      <c r="AD10" s="201">
        <f ca="1"/>
        <v>39.82884</v>
      </c>
      <c r="AE10" s="201">
        <f ca="1"/>
        <v>40.356479999999998</v>
      </c>
      <c r="AF10" s="201">
        <f ca="1"/>
        <v>40.889519999999997</v>
      </c>
      <c r="AG10" s="201">
        <f ca="1"/>
        <v>41.428079999999994</v>
      </c>
      <c r="AH10" s="201">
        <f ca="1"/>
        <v>41.972279999999998</v>
      </c>
      <c r="AI10" s="201">
        <f ca="1"/>
        <v>42.522419999999997</v>
      </c>
      <c r="AJ10" s="201">
        <f ca="1"/>
        <v>43.078559999999996</v>
      </c>
      <c r="AK10" s="202">
        <f ca="1"/>
        <v>43.640879999999996</v>
      </c>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126"/>
      <c r="CF10" s="126"/>
      <c r="CG10" s="126"/>
      <c r="CH10" s="126"/>
      <c r="CI10" s="126"/>
      <c r="CJ10" s="126"/>
      <c r="CK10" s="126"/>
      <c r="CL10" s="126"/>
      <c r="CM10" s="126"/>
      <c r="CN10" s="126"/>
      <c r="CO10" s="126"/>
      <c r="CP10" s="126"/>
      <c r="CQ10" s="126"/>
      <c r="CR10" s="126"/>
      <c r="CS10" s="126"/>
    </row>
    <row r="11" spans="2:97">
      <c r="B11" s="126"/>
      <c r="C11" s="23" t="str">
        <f>INDEX(_pcName,2)</f>
        <v>Axial Unhoused</v>
      </c>
      <c r="D11" s="16" t="s">
        <v>37</v>
      </c>
      <c r="E11" s="200">
        <f t="array" aca="1" ref="E11:AK11" ca="1">tShpAll*tMktAxU</f>
        <v>162.93072999999998</v>
      </c>
      <c r="F11" s="201">
        <f ca="1"/>
        <v>166.32337000000001</v>
      </c>
      <c r="G11" s="201">
        <f ca="1"/>
        <v>165.53131999999999</v>
      </c>
      <c r="H11" s="201">
        <f ca="1"/>
        <v>165.38096999999999</v>
      </c>
      <c r="I11" s="201">
        <f ca="1"/>
        <v>165.17420000000001</v>
      </c>
      <c r="J11" s="201">
        <f ca="1"/>
        <v>164.68068</v>
      </c>
      <c r="K11" s="201">
        <f ca="1"/>
        <v>164.37564</v>
      </c>
      <c r="L11" s="201">
        <f ca="1"/>
        <v>165.11529999999999</v>
      </c>
      <c r="M11" s="201">
        <f ca="1"/>
        <v>165.25417999999999</v>
      </c>
      <c r="N11" s="201">
        <f ca="1"/>
        <v>165.43118999999999</v>
      </c>
      <c r="O11" s="201">
        <f ca="1"/>
        <v>165.93618000000001</v>
      </c>
      <c r="P11" s="201">
        <f ca="1"/>
        <v>166.99886000000001</v>
      </c>
      <c r="Q11" s="201">
        <f ca="1"/>
        <v>168.59845999999999</v>
      </c>
      <c r="R11" s="201">
        <f ca="1"/>
        <v>171.41573999999997</v>
      </c>
      <c r="S11" s="201">
        <f ca="1"/>
        <v>176.22507999999999</v>
      </c>
      <c r="T11" s="201">
        <f ca="1"/>
        <v>180.48447999999999</v>
      </c>
      <c r="U11" s="201">
        <f ca="1"/>
        <v>184.43171000000001</v>
      </c>
      <c r="V11" s="201">
        <f ca="1"/>
        <v>189.19144999999997</v>
      </c>
      <c r="W11" s="201">
        <f ca="1"/>
        <v>194.60466999999997</v>
      </c>
      <c r="X11" s="201">
        <f ca="1"/>
        <v>197.08932000000001</v>
      </c>
      <c r="Y11" s="201">
        <f ca="1"/>
        <v>198.59623000000002</v>
      </c>
      <c r="Z11" s="201">
        <f ca="1"/>
        <v>198.95335</v>
      </c>
      <c r="AA11" s="201">
        <f ca="1"/>
        <v>198.74316999999999</v>
      </c>
      <c r="AB11" s="201">
        <f ca="1"/>
        <v>200.81304</v>
      </c>
      <c r="AC11" s="201">
        <f ca="1"/>
        <v>203.12129999999999</v>
      </c>
      <c r="AD11" s="201">
        <f ca="1"/>
        <v>205.78233999999998</v>
      </c>
      <c r="AE11" s="201">
        <f ca="1"/>
        <v>208.50847999999999</v>
      </c>
      <c r="AF11" s="201">
        <f ca="1"/>
        <v>211.26251999999999</v>
      </c>
      <c r="AG11" s="201">
        <f ca="1"/>
        <v>214.04507999999998</v>
      </c>
      <c r="AH11" s="201">
        <f ca="1"/>
        <v>216.85678000000001</v>
      </c>
      <c r="AI11" s="201">
        <f ca="1"/>
        <v>219.69917000000001</v>
      </c>
      <c r="AJ11" s="201">
        <f ca="1"/>
        <v>222.57256000000001</v>
      </c>
      <c r="AK11" s="202">
        <f ca="1"/>
        <v>225.47788</v>
      </c>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126"/>
      <c r="CF11" s="126"/>
      <c r="CG11" s="126"/>
      <c r="CH11" s="126"/>
      <c r="CI11" s="126"/>
      <c r="CJ11" s="126"/>
      <c r="CK11" s="126"/>
      <c r="CL11" s="126"/>
      <c r="CM11" s="126"/>
      <c r="CN11" s="126"/>
      <c r="CO11" s="126"/>
      <c r="CP11" s="126"/>
      <c r="CQ11" s="126"/>
      <c r="CR11" s="126"/>
      <c r="CS11" s="126"/>
    </row>
    <row r="12" spans="2:97">
      <c r="B12" s="126"/>
      <c r="C12" s="23" t="str">
        <f>INDEX(_pcName,3)</f>
        <v>Centrif Housed</v>
      </c>
      <c r="D12" s="16" t="s">
        <v>37</v>
      </c>
      <c r="E12" s="200">
        <f t="array" aca="1" ref="E12:AK12" ca="1">tShpAll*tMktCnH</f>
        <v>97.232854999999986</v>
      </c>
      <c r="F12" s="201">
        <f ca="1"/>
        <v>99.257495000000006</v>
      </c>
      <c r="G12" s="201">
        <f ca="1"/>
        <v>98.784819999999996</v>
      </c>
      <c r="H12" s="201">
        <f ca="1"/>
        <v>98.695094999999995</v>
      </c>
      <c r="I12" s="201">
        <f ca="1"/>
        <v>98.571700000000007</v>
      </c>
      <c r="J12" s="201">
        <f ca="1"/>
        <v>98.277179999999987</v>
      </c>
      <c r="K12" s="201">
        <f ca="1"/>
        <v>98.095140000000001</v>
      </c>
      <c r="L12" s="201">
        <f ca="1"/>
        <v>98.536549999999991</v>
      </c>
      <c r="M12" s="201">
        <f ca="1"/>
        <v>98.619429999999994</v>
      </c>
      <c r="N12" s="201">
        <f ca="1"/>
        <v>98.725065000000001</v>
      </c>
      <c r="O12" s="201">
        <f ca="1"/>
        <v>99.026430000000005</v>
      </c>
      <c r="P12" s="201">
        <f ca="1"/>
        <v>99.660610000000005</v>
      </c>
      <c r="Q12" s="201">
        <f ca="1"/>
        <v>100.61520999999999</v>
      </c>
      <c r="R12" s="201">
        <f ca="1"/>
        <v>102.29648999999999</v>
      </c>
      <c r="S12" s="201">
        <f ca="1"/>
        <v>105.16658</v>
      </c>
      <c r="T12" s="201">
        <f ca="1"/>
        <v>107.70847999999999</v>
      </c>
      <c r="U12" s="201">
        <f ca="1"/>
        <v>110.06408500000001</v>
      </c>
      <c r="V12" s="201">
        <f ca="1"/>
        <v>112.90457499999999</v>
      </c>
      <c r="W12" s="201">
        <f ca="1"/>
        <v>116.13504499999999</v>
      </c>
      <c r="X12" s="201">
        <f ca="1"/>
        <v>117.61782000000001</v>
      </c>
      <c r="Y12" s="201">
        <f ca="1"/>
        <v>118.517105</v>
      </c>
      <c r="Z12" s="201">
        <f ca="1"/>
        <v>118.73022499999999</v>
      </c>
      <c r="AA12" s="201">
        <f ca="1"/>
        <v>118.604795</v>
      </c>
      <c r="AB12" s="201">
        <f ca="1"/>
        <v>119.84004</v>
      </c>
      <c r="AC12" s="201">
        <f ca="1"/>
        <v>121.21755</v>
      </c>
      <c r="AD12" s="201">
        <f ca="1"/>
        <v>122.80559</v>
      </c>
      <c r="AE12" s="201">
        <f ca="1"/>
        <v>124.43247999999998</v>
      </c>
      <c r="AF12" s="201">
        <f ca="1"/>
        <v>126.07601999999999</v>
      </c>
      <c r="AG12" s="201">
        <f ca="1"/>
        <v>127.73657999999999</v>
      </c>
      <c r="AH12" s="201">
        <f ca="1"/>
        <v>129.41453000000001</v>
      </c>
      <c r="AI12" s="201">
        <f ca="1"/>
        <v>131.110795</v>
      </c>
      <c r="AJ12" s="201">
        <f ca="1"/>
        <v>132.82556</v>
      </c>
      <c r="AK12" s="202">
        <f ca="1"/>
        <v>134.55938</v>
      </c>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6"/>
      <c r="CK12" s="126"/>
      <c r="CL12" s="126"/>
      <c r="CM12" s="126"/>
      <c r="CN12" s="126"/>
      <c r="CO12" s="126"/>
      <c r="CP12" s="126"/>
      <c r="CQ12" s="126"/>
      <c r="CR12" s="126"/>
      <c r="CS12" s="126"/>
    </row>
    <row r="13" spans="2:97">
      <c r="B13" s="126"/>
      <c r="C13" s="23" t="str">
        <f>INDEX(_pcName,4)</f>
        <v>Centrif Unhous</v>
      </c>
      <c r="D13" s="16" t="s">
        <v>37</v>
      </c>
      <c r="E13" s="200">
        <f t="array" aca="1" ref="E13:AK13" ca="1">tShpAll*tMktCnU</f>
        <v>68.325789999999998</v>
      </c>
      <c r="F13" s="201">
        <f ca="1"/>
        <v>69.74851000000001</v>
      </c>
      <c r="G13" s="201">
        <f ca="1"/>
        <v>69.416359999999997</v>
      </c>
      <c r="H13" s="201">
        <f ca="1"/>
        <v>69.353309999999993</v>
      </c>
      <c r="I13" s="201">
        <f ca="1"/>
        <v>69.266600000000011</v>
      </c>
      <c r="J13" s="201">
        <f ca="1"/>
        <v>69.059640000000002</v>
      </c>
      <c r="K13" s="201">
        <f ca="1"/>
        <v>68.931720000000013</v>
      </c>
      <c r="L13" s="201">
        <f ca="1"/>
        <v>69.241900000000001</v>
      </c>
      <c r="M13" s="201">
        <f ca="1"/>
        <v>69.300139999999999</v>
      </c>
      <c r="N13" s="201">
        <f ca="1"/>
        <v>69.374369999999999</v>
      </c>
      <c r="O13" s="201">
        <f ca="1"/>
        <v>69.58614</v>
      </c>
      <c r="P13" s="201">
        <f ca="1"/>
        <v>70.031779999999998</v>
      </c>
      <c r="Q13" s="201">
        <f ca="1"/>
        <v>70.702579999999998</v>
      </c>
      <c r="R13" s="201">
        <f ca="1"/>
        <v>71.884019999999992</v>
      </c>
      <c r="S13" s="201">
        <f ca="1"/>
        <v>73.900840000000002</v>
      </c>
      <c r="T13" s="201">
        <f ca="1"/>
        <v>75.687039999999996</v>
      </c>
      <c r="U13" s="201">
        <f ca="1"/>
        <v>77.342330000000004</v>
      </c>
      <c r="V13" s="201">
        <f ca="1"/>
        <v>79.338349999999991</v>
      </c>
      <c r="W13" s="201">
        <f ca="1"/>
        <v>81.608409999999992</v>
      </c>
      <c r="X13" s="201">
        <f ca="1"/>
        <v>82.650360000000006</v>
      </c>
      <c r="Y13" s="201">
        <f ca="1"/>
        <v>83.282290000000003</v>
      </c>
      <c r="Z13" s="201">
        <f ca="1"/>
        <v>83.432050000000004</v>
      </c>
      <c r="AA13" s="201">
        <f ca="1"/>
        <v>83.343909999999994</v>
      </c>
      <c r="AB13" s="201">
        <f ca="1"/>
        <v>84.211920000000006</v>
      </c>
      <c r="AC13" s="201">
        <f ca="1"/>
        <v>85.179900000000004</v>
      </c>
      <c r="AD13" s="201">
        <f ca="1"/>
        <v>86.295819999999992</v>
      </c>
      <c r="AE13" s="201">
        <f ca="1"/>
        <v>87.439039999999991</v>
      </c>
      <c r="AF13" s="201">
        <f ca="1"/>
        <v>88.593959999999996</v>
      </c>
      <c r="AG13" s="201">
        <f ca="1"/>
        <v>89.760840000000002</v>
      </c>
      <c r="AH13" s="201">
        <f ca="1"/>
        <v>90.939940000000007</v>
      </c>
      <c r="AI13" s="201">
        <f ca="1"/>
        <v>92.131910000000005</v>
      </c>
      <c r="AJ13" s="201">
        <f ca="1"/>
        <v>93.336880000000008</v>
      </c>
      <c r="AK13" s="202">
        <f ca="1"/>
        <v>94.555239999999998</v>
      </c>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row>
    <row r="14" spans="2:97">
      <c r="B14" s="126"/>
      <c r="C14" s="23" t="str">
        <f>INDEX(_pcName,5)</f>
        <v>Inline-Mixed</v>
      </c>
      <c r="D14" s="16" t="s">
        <v>37</v>
      </c>
      <c r="E14" s="200">
        <f t="array" aca="1" ref="E14:AK14" ca="1">tShpAll*tMktInMx</f>
        <v>31.534979999999997</v>
      </c>
      <c r="F14" s="201">
        <f ca="1"/>
        <v>32.19162</v>
      </c>
      <c r="G14" s="201">
        <f ca="1"/>
        <v>32.038319999999999</v>
      </c>
      <c r="H14" s="201">
        <f ca="1"/>
        <v>32.009219999999999</v>
      </c>
      <c r="I14" s="201">
        <f ca="1"/>
        <v>31.969200000000001</v>
      </c>
      <c r="J14" s="201">
        <f ca="1"/>
        <v>31.873679999999997</v>
      </c>
      <c r="K14" s="201">
        <f ca="1"/>
        <v>31.814640000000001</v>
      </c>
      <c r="L14" s="201">
        <f ca="1"/>
        <v>31.957799999999999</v>
      </c>
      <c r="M14" s="201">
        <f ca="1"/>
        <v>31.984679999999997</v>
      </c>
      <c r="N14" s="201">
        <f ca="1"/>
        <v>32.018940000000001</v>
      </c>
      <c r="O14" s="201">
        <f ca="1"/>
        <v>32.116680000000002</v>
      </c>
      <c r="P14" s="201">
        <f ca="1"/>
        <v>32.322360000000003</v>
      </c>
      <c r="Q14" s="201">
        <f ca="1"/>
        <v>32.631959999999999</v>
      </c>
      <c r="R14" s="201">
        <f ca="1"/>
        <v>33.177239999999998</v>
      </c>
      <c r="S14" s="201">
        <f ca="1"/>
        <v>34.108079999999994</v>
      </c>
      <c r="T14" s="201">
        <f ca="1"/>
        <v>34.932479999999998</v>
      </c>
      <c r="U14" s="201">
        <f ca="1"/>
        <v>35.696460000000002</v>
      </c>
      <c r="V14" s="201">
        <f ca="1"/>
        <v>36.617699999999999</v>
      </c>
      <c r="W14" s="201">
        <f ca="1"/>
        <v>37.665419999999997</v>
      </c>
      <c r="X14" s="201">
        <f ca="1"/>
        <v>38.146320000000003</v>
      </c>
      <c r="Y14" s="201">
        <f ca="1"/>
        <v>38.437980000000003</v>
      </c>
      <c r="Z14" s="201">
        <f ca="1"/>
        <v>38.507099999999994</v>
      </c>
      <c r="AA14" s="201">
        <f ca="1"/>
        <v>38.466419999999999</v>
      </c>
      <c r="AB14" s="201">
        <f ca="1"/>
        <v>38.867039999999996</v>
      </c>
      <c r="AC14" s="201">
        <f ca="1"/>
        <v>39.313800000000001</v>
      </c>
      <c r="AD14" s="201">
        <f ca="1"/>
        <v>39.82884</v>
      </c>
      <c r="AE14" s="201">
        <f ca="1"/>
        <v>40.356479999999998</v>
      </c>
      <c r="AF14" s="201">
        <f ca="1"/>
        <v>40.889519999999997</v>
      </c>
      <c r="AG14" s="201">
        <f ca="1"/>
        <v>41.428079999999994</v>
      </c>
      <c r="AH14" s="201">
        <f ca="1"/>
        <v>41.972279999999998</v>
      </c>
      <c r="AI14" s="201">
        <f ca="1"/>
        <v>42.522419999999997</v>
      </c>
      <c r="AJ14" s="201">
        <f ca="1"/>
        <v>43.078559999999996</v>
      </c>
      <c r="AK14" s="202">
        <f ca="1"/>
        <v>43.640879999999996</v>
      </c>
      <c r="AL14" s="126"/>
      <c r="AM14" s="126"/>
      <c r="AN14" s="126"/>
      <c r="AO14" s="126"/>
      <c r="AP14" s="126"/>
      <c r="AQ14" s="126"/>
      <c r="AR14" s="126"/>
      <c r="AS14" s="126"/>
      <c r="AT14" s="126"/>
      <c r="AU14" s="126"/>
      <c r="AV14" s="126"/>
      <c r="AW14" s="126"/>
      <c r="AX14" s="126"/>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26"/>
      <c r="CF14" s="126"/>
      <c r="CG14" s="126"/>
      <c r="CH14" s="126"/>
      <c r="CI14" s="126"/>
      <c r="CJ14" s="126"/>
      <c r="CK14" s="126"/>
      <c r="CL14" s="126"/>
      <c r="CM14" s="126"/>
      <c r="CN14" s="126"/>
      <c r="CO14" s="126"/>
      <c r="CP14" s="126"/>
      <c r="CQ14" s="126"/>
      <c r="CR14" s="126"/>
      <c r="CS14" s="126"/>
    </row>
    <row r="15" spans="2:97">
      <c r="B15" s="126"/>
      <c r="C15" s="23" t="str">
        <f>INDEX(_pcName,6)</f>
        <v>Radial</v>
      </c>
      <c r="D15" s="16" t="s">
        <v>37</v>
      </c>
      <c r="E15" s="200">
        <f t="array" aca="1" ref="E15:AK15" ca="1">tShpAll*tMktRad</f>
        <v>47.302469999999992</v>
      </c>
      <c r="F15" s="201">
        <f ca="1"/>
        <v>48.287430000000001</v>
      </c>
      <c r="G15" s="201">
        <f ca="1"/>
        <v>48.057479999999998</v>
      </c>
      <c r="H15" s="201">
        <f ca="1"/>
        <v>48.013829999999999</v>
      </c>
      <c r="I15" s="201">
        <f ca="1"/>
        <v>47.953800000000001</v>
      </c>
      <c r="J15" s="201">
        <f ca="1"/>
        <v>47.810519999999997</v>
      </c>
      <c r="K15" s="201">
        <f ca="1"/>
        <v>47.721960000000003</v>
      </c>
      <c r="L15" s="201">
        <f ca="1"/>
        <v>47.936699999999995</v>
      </c>
      <c r="M15" s="201">
        <f ca="1"/>
        <v>47.977019999999996</v>
      </c>
      <c r="N15" s="201">
        <f ca="1"/>
        <v>48.028410000000001</v>
      </c>
      <c r="O15" s="201">
        <f ca="1"/>
        <v>48.175020000000004</v>
      </c>
      <c r="P15" s="201">
        <f ca="1"/>
        <v>48.483539999999998</v>
      </c>
      <c r="Q15" s="201">
        <f ca="1"/>
        <v>48.947939999999996</v>
      </c>
      <c r="R15" s="201">
        <f ca="1"/>
        <v>49.765859999999996</v>
      </c>
      <c r="S15" s="201">
        <f ca="1"/>
        <v>51.162119999999994</v>
      </c>
      <c r="T15" s="201">
        <f ca="1"/>
        <v>52.398719999999997</v>
      </c>
      <c r="U15" s="201">
        <f ca="1"/>
        <v>53.544690000000003</v>
      </c>
      <c r="V15" s="201">
        <f ca="1"/>
        <v>54.926549999999992</v>
      </c>
      <c r="W15" s="201">
        <f ca="1"/>
        <v>56.498129999999996</v>
      </c>
      <c r="X15" s="201">
        <f ca="1"/>
        <v>57.219480000000004</v>
      </c>
      <c r="Y15" s="201">
        <f ca="1"/>
        <v>57.656970000000001</v>
      </c>
      <c r="Z15" s="201">
        <f ca="1"/>
        <v>57.760649999999998</v>
      </c>
      <c r="AA15" s="201">
        <f ca="1"/>
        <v>57.699629999999992</v>
      </c>
      <c r="AB15" s="201">
        <f ca="1"/>
        <v>58.300559999999997</v>
      </c>
      <c r="AC15" s="201">
        <f ca="1"/>
        <v>58.970700000000001</v>
      </c>
      <c r="AD15" s="201">
        <f ca="1"/>
        <v>59.743259999999992</v>
      </c>
      <c r="AE15" s="201">
        <f ca="1"/>
        <v>60.534719999999993</v>
      </c>
      <c r="AF15" s="201">
        <f ca="1"/>
        <v>61.334279999999993</v>
      </c>
      <c r="AG15" s="201">
        <f ca="1"/>
        <v>62.142119999999991</v>
      </c>
      <c r="AH15" s="201">
        <f ca="1"/>
        <v>62.958419999999997</v>
      </c>
      <c r="AI15" s="201">
        <f ca="1"/>
        <v>63.783629999999995</v>
      </c>
      <c r="AJ15" s="201">
        <f ca="1"/>
        <v>64.617840000000001</v>
      </c>
      <c r="AK15" s="202">
        <f ca="1"/>
        <v>65.461320000000001</v>
      </c>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row>
    <row r="16" spans="2:97">
      <c r="B16" s="126"/>
      <c r="C16" s="15" t="str">
        <f>INDEX(_pcName,7)</f>
        <v>Power Roof Vent</v>
      </c>
      <c r="D16" s="5" t="s">
        <v>37</v>
      </c>
      <c r="E16" s="209">
        <f t="array" aca="1" ref="E16:AK16" ca="1">tShpAll*tMktPRV</f>
        <v>86.721194999999994</v>
      </c>
      <c r="F16" s="210">
        <f ca="1"/>
        <v>88.526955000000015</v>
      </c>
      <c r="G16" s="210">
        <f ca="1"/>
        <v>88.105379999999997</v>
      </c>
      <c r="H16" s="210">
        <f ca="1"/>
        <v>88.025355000000005</v>
      </c>
      <c r="I16" s="210">
        <f ca="1"/>
        <v>87.915300000000016</v>
      </c>
      <c r="J16" s="210">
        <f ca="1"/>
        <v>87.652619999999999</v>
      </c>
      <c r="K16" s="210">
        <f ca="1"/>
        <v>87.490260000000006</v>
      </c>
      <c r="L16" s="210">
        <f ca="1"/>
        <v>87.883949999999999</v>
      </c>
      <c r="M16" s="210">
        <f ca="1"/>
        <v>87.95787</v>
      </c>
      <c r="N16" s="210">
        <f ca="1"/>
        <v>88.052085000000005</v>
      </c>
      <c r="O16" s="210">
        <f ca="1"/>
        <v>88.320870000000014</v>
      </c>
      <c r="P16" s="210">
        <f ca="1"/>
        <v>88.886490000000009</v>
      </c>
      <c r="Q16" s="210">
        <f ca="1"/>
        <v>89.737890000000007</v>
      </c>
      <c r="R16" s="210">
        <f ca="1"/>
        <v>91.237409999999997</v>
      </c>
      <c r="S16" s="210">
        <f ca="1"/>
        <v>93.797219999999996</v>
      </c>
      <c r="T16" s="210">
        <f ca="1"/>
        <v>96.064319999999995</v>
      </c>
      <c r="U16" s="210">
        <f ca="1"/>
        <v>98.165265000000005</v>
      </c>
      <c r="V16" s="210">
        <f ca="1"/>
        <v>100.69867499999999</v>
      </c>
      <c r="W16" s="210">
        <f ca="1"/>
        <v>103.579905</v>
      </c>
      <c r="X16" s="210">
        <f ca="1"/>
        <v>104.90238000000001</v>
      </c>
      <c r="Y16" s="210">
        <f ca="1"/>
        <v>105.70444500000001</v>
      </c>
      <c r="Z16" s="210">
        <f ca="1"/>
        <v>105.894525</v>
      </c>
      <c r="AA16" s="210">
        <f ca="1"/>
        <v>105.78265500000001</v>
      </c>
      <c r="AB16" s="210">
        <f ca="1"/>
        <v>106.88436</v>
      </c>
      <c r="AC16" s="210">
        <f ca="1"/>
        <v>108.11295000000001</v>
      </c>
      <c r="AD16" s="210">
        <f ca="1"/>
        <v>109.52931</v>
      </c>
      <c r="AE16" s="210">
        <f ca="1"/>
        <v>110.98031999999999</v>
      </c>
      <c r="AF16" s="210">
        <f ca="1"/>
        <v>112.44618</v>
      </c>
      <c r="AG16" s="210">
        <f ca="1"/>
        <v>113.92722000000001</v>
      </c>
      <c r="AH16" s="210">
        <f ca="1"/>
        <v>115.42377</v>
      </c>
      <c r="AI16" s="210">
        <f ca="1"/>
        <v>116.936655</v>
      </c>
      <c r="AJ16" s="210">
        <f ca="1"/>
        <v>118.46604000000001</v>
      </c>
      <c r="AK16" s="211">
        <f ca="1"/>
        <v>120.01241999999999</v>
      </c>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row>
    <row r="17" spans="2:97">
      <c r="B17" s="126"/>
      <c r="C17" s="126"/>
      <c r="D17" s="126"/>
      <c r="E17" s="118"/>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c r="BK17" s="126"/>
      <c r="BL17" s="126"/>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row>
    <row r="18" spans="2:97">
      <c r="B18" s="126"/>
      <c r="C18" s="8" t="s">
        <v>102</v>
      </c>
      <c r="D18" s="9"/>
      <c r="E18" s="139">
        <f t="array" ref="E18:CR18">_yL</f>
        <v>2018</v>
      </c>
      <c r="F18" s="10">
        <v>2019</v>
      </c>
      <c r="G18" s="10">
        <v>2020</v>
      </c>
      <c r="H18" s="10">
        <v>2021</v>
      </c>
      <c r="I18" s="10">
        <v>2022</v>
      </c>
      <c r="J18" s="10">
        <v>2023</v>
      </c>
      <c r="K18" s="10">
        <v>2024</v>
      </c>
      <c r="L18" s="10">
        <v>2025</v>
      </c>
      <c r="M18" s="10">
        <v>2026</v>
      </c>
      <c r="N18" s="10">
        <v>2027</v>
      </c>
      <c r="O18" s="10">
        <v>2028</v>
      </c>
      <c r="P18" s="10">
        <v>2029</v>
      </c>
      <c r="Q18" s="10">
        <v>2030</v>
      </c>
      <c r="R18" s="10">
        <v>2031</v>
      </c>
      <c r="S18" s="10">
        <v>2032</v>
      </c>
      <c r="T18" s="10">
        <v>2033</v>
      </c>
      <c r="U18" s="10">
        <v>2034</v>
      </c>
      <c r="V18" s="10">
        <v>2035</v>
      </c>
      <c r="W18" s="10">
        <v>2036</v>
      </c>
      <c r="X18" s="10">
        <v>2037</v>
      </c>
      <c r="Y18" s="10">
        <v>2038</v>
      </c>
      <c r="Z18" s="10">
        <v>2039</v>
      </c>
      <c r="AA18" s="10">
        <v>2040</v>
      </c>
      <c r="AB18" s="10">
        <v>2041</v>
      </c>
      <c r="AC18" s="10">
        <v>2042</v>
      </c>
      <c r="AD18" s="10">
        <v>2043</v>
      </c>
      <c r="AE18" s="10">
        <v>2044</v>
      </c>
      <c r="AF18" s="10">
        <v>2045</v>
      </c>
      <c r="AG18" s="10">
        <v>2046</v>
      </c>
      <c r="AH18" s="10">
        <v>2047</v>
      </c>
      <c r="AI18" s="10">
        <v>2048</v>
      </c>
      <c r="AJ18" s="10">
        <v>2049</v>
      </c>
      <c r="AK18" s="10">
        <v>2050</v>
      </c>
      <c r="AL18" s="10">
        <v>2051</v>
      </c>
      <c r="AM18" s="10">
        <v>2052</v>
      </c>
      <c r="AN18" s="10">
        <v>2053</v>
      </c>
      <c r="AO18" s="10">
        <v>2054</v>
      </c>
      <c r="AP18" s="10">
        <v>2055</v>
      </c>
      <c r="AQ18" s="10">
        <v>2056</v>
      </c>
      <c r="AR18" s="10">
        <v>2057</v>
      </c>
      <c r="AS18" s="10">
        <v>2058</v>
      </c>
      <c r="AT18" s="10">
        <v>2059</v>
      </c>
      <c r="AU18" s="10">
        <v>2060</v>
      </c>
      <c r="AV18" s="10">
        <v>2061</v>
      </c>
      <c r="AW18" s="10">
        <v>2062</v>
      </c>
      <c r="AX18" s="10">
        <v>2063</v>
      </c>
      <c r="AY18" s="10">
        <v>2064</v>
      </c>
      <c r="AZ18" s="10">
        <v>2065</v>
      </c>
      <c r="BA18" s="10">
        <v>2066</v>
      </c>
      <c r="BB18" s="10">
        <v>2067</v>
      </c>
      <c r="BC18" s="10">
        <v>2068</v>
      </c>
      <c r="BD18" s="10">
        <v>2069</v>
      </c>
      <c r="BE18" s="10">
        <v>2070</v>
      </c>
      <c r="BF18" s="10">
        <v>2071</v>
      </c>
      <c r="BG18" s="10">
        <v>2072</v>
      </c>
      <c r="BH18" s="10">
        <v>2073</v>
      </c>
      <c r="BI18" s="10">
        <v>2074</v>
      </c>
      <c r="BJ18" s="10">
        <v>2075</v>
      </c>
      <c r="BK18" s="10">
        <v>2076</v>
      </c>
      <c r="BL18" s="10">
        <v>2077</v>
      </c>
      <c r="BM18" s="10">
        <v>2078</v>
      </c>
      <c r="BN18" s="10">
        <v>2079</v>
      </c>
      <c r="BO18" s="10">
        <v>2080</v>
      </c>
      <c r="BP18" s="10">
        <v>2081</v>
      </c>
      <c r="BQ18" s="10">
        <v>2082</v>
      </c>
      <c r="BR18" s="10">
        <v>2083</v>
      </c>
      <c r="BS18" s="10">
        <v>2084</v>
      </c>
      <c r="BT18" s="10">
        <v>2085</v>
      </c>
      <c r="BU18" s="10">
        <v>2086</v>
      </c>
      <c r="BV18" s="10">
        <v>2087</v>
      </c>
      <c r="BW18" s="10">
        <v>2088</v>
      </c>
      <c r="BX18" s="10">
        <v>2089</v>
      </c>
      <c r="BY18" s="10">
        <v>2090</v>
      </c>
      <c r="BZ18" s="10">
        <v>2091</v>
      </c>
      <c r="CA18" s="10">
        <v>2092</v>
      </c>
      <c r="CB18" s="10">
        <v>2093</v>
      </c>
      <c r="CC18" s="10">
        <v>2094</v>
      </c>
      <c r="CD18" s="10">
        <v>2095</v>
      </c>
      <c r="CE18" s="10">
        <v>2096</v>
      </c>
      <c r="CF18" s="10">
        <v>2097</v>
      </c>
      <c r="CG18" s="10">
        <v>2098</v>
      </c>
      <c r="CH18" s="10">
        <v>2099</v>
      </c>
      <c r="CI18" s="10">
        <v>2100</v>
      </c>
      <c r="CJ18" s="10">
        <v>2101</v>
      </c>
      <c r="CK18" s="10">
        <v>2102</v>
      </c>
      <c r="CL18" s="10">
        <v>2103</v>
      </c>
      <c r="CM18" s="10">
        <v>2104</v>
      </c>
      <c r="CN18" s="10">
        <v>2105</v>
      </c>
      <c r="CO18" s="10">
        <v>2106</v>
      </c>
      <c r="CP18" s="10">
        <v>2107</v>
      </c>
      <c r="CQ18" s="10">
        <v>2108</v>
      </c>
      <c r="CR18" s="11">
        <v>2109</v>
      </c>
      <c r="CS18" s="126"/>
    </row>
    <row r="19" spans="2:97">
      <c r="B19" s="126"/>
      <c r="C19" s="21" t="s">
        <v>36</v>
      </c>
      <c r="D19" s="16" t="s">
        <v>37</v>
      </c>
      <c r="E19" s="200">
        <f t="array" aca="1" ref="E19:CR19" ca="1">tStkAxH+tStkAxU+tStkCnH+tStkCnU+tStkInMx+tStkRad+tStkPRV</f>
        <v>525.58299999999997</v>
      </c>
      <c r="F19" s="201">
        <f ca="1"/>
        <v>1062.1100000000001</v>
      </c>
      <c r="G19" s="201">
        <f ca="1"/>
        <v>1596.0819999999999</v>
      </c>
      <c r="H19" s="201">
        <f ca="1"/>
        <v>2129.569</v>
      </c>
      <c r="I19" s="201">
        <f ca="1"/>
        <v>2662.3890000000001</v>
      </c>
      <c r="J19" s="201">
        <f ca="1"/>
        <v>3193.6170000000002</v>
      </c>
      <c r="K19" s="201">
        <f ca="1"/>
        <v>3721.104842748</v>
      </c>
      <c r="L19" s="201">
        <f ca="1"/>
        <v>4245.9839684580002</v>
      </c>
      <c r="M19" s="201">
        <f ca="1"/>
        <v>4764.4986897074996</v>
      </c>
      <c r="N19" s="201">
        <f ca="1"/>
        <v>5275.7391142779998</v>
      </c>
      <c r="O19" s="201">
        <f ca="1"/>
        <v>5778.9841603959994</v>
      </c>
      <c r="P19" s="201">
        <f ca="1"/>
        <v>6274.2986161724994</v>
      </c>
      <c r="Q19" s="201">
        <f ca="1"/>
        <v>6762.10915381</v>
      </c>
      <c r="R19" s="201">
        <f ca="1"/>
        <v>7245.191921575999</v>
      </c>
      <c r="S19" s="201">
        <f ca="1"/>
        <v>7729.4566515084998</v>
      </c>
      <c r="T19" s="201">
        <f ca="1"/>
        <v>8211.6536925500004</v>
      </c>
      <c r="U19" s="201">
        <f ca="1"/>
        <v>8691.2024790494997</v>
      </c>
      <c r="V19" s="201">
        <f ca="1"/>
        <v>9168.9542641904991</v>
      </c>
      <c r="W19" s="201">
        <f ca="1"/>
        <v>9646.8328721580001</v>
      </c>
      <c r="X19" s="201">
        <f ca="1"/>
        <v>10115.443584484499</v>
      </c>
      <c r="Y19" s="201">
        <f ca="1"/>
        <v>10570.7150445265</v>
      </c>
      <c r="Z19" s="201">
        <f ca="1"/>
        <v>11009.4957127915</v>
      </c>
      <c r="AA19" s="201">
        <f ca="1"/>
        <v>11429.733919590502</v>
      </c>
      <c r="AB19" s="201">
        <f ca="1"/>
        <v>11837.4888840655</v>
      </c>
      <c r="AC19" s="201">
        <f ca="1"/>
        <v>12234.862195195999</v>
      </c>
      <c r="AD19" s="201">
        <f ca="1"/>
        <v>12622.888207393498</v>
      </c>
      <c r="AE19" s="201">
        <f ca="1"/>
        <v>13002.746770269499</v>
      </c>
      <c r="AF19" s="201">
        <f ca="1"/>
        <v>13373.980399587001</v>
      </c>
      <c r="AG19" s="201">
        <f ca="1"/>
        <v>13737.283567880997</v>
      </c>
      <c r="AH19" s="201">
        <f ca="1"/>
        <v>14092.959930093499</v>
      </c>
      <c r="AI19" s="201">
        <f ca="1"/>
        <v>14441.039074051998</v>
      </c>
      <c r="AJ19" s="201">
        <f ca="1"/>
        <v>14782.918442869499</v>
      </c>
      <c r="AK19" s="201">
        <f ca="1"/>
        <v>15117.985115033996</v>
      </c>
      <c r="AL19" s="201">
        <f ca="1"/>
        <v>14710.5880952435</v>
      </c>
      <c r="AM19" s="201">
        <f ca="1"/>
        <v>14288.625448876499</v>
      </c>
      <c r="AN19" s="201">
        <f ca="1"/>
        <v>13851.834458265499</v>
      </c>
      <c r="AO19" s="201">
        <f ca="1"/>
        <v>13400.346268927999</v>
      </c>
      <c r="AP19" s="201">
        <f ca="1"/>
        <v>12935.0950538255</v>
      </c>
      <c r="AQ19" s="201">
        <f ca="1"/>
        <v>12457.107743433</v>
      </c>
      <c r="AR19" s="201">
        <f ca="1"/>
        <v>11970.148062607001</v>
      </c>
      <c r="AS19" s="201">
        <f ca="1"/>
        <v>11477.1257462085</v>
      </c>
      <c r="AT19" s="201">
        <f ca="1"/>
        <v>10980.831415095499</v>
      </c>
      <c r="AU19" s="201">
        <f ca="1"/>
        <v>10482.6328275375</v>
      </c>
      <c r="AV19" s="201">
        <f ca="1"/>
        <v>9986.2889049469995</v>
      </c>
      <c r="AW19" s="201">
        <f ca="1"/>
        <v>9494.0849886594988</v>
      </c>
      <c r="AX19" s="201">
        <f ca="1"/>
        <v>9007.7666147824984</v>
      </c>
      <c r="AY19" s="201">
        <f ca="1"/>
        <v>8529.3590116529995</v>
      </c>
      <c r="AZ19" s="201">
        <f ca="1"/>
        <v>8060.0093605134998</v>
      </c>
      <c r="BA19" s="201">
        <f ca="1"/>
        <v>7602.4423631445006</v>
      </c>
      <c r="BB19" s="201">
        <f ca="1"/>
        <v>7155.793155071</v>
      </c>
      <c r="BC19" s="201">
        <f ca="1"/>
        <v>6722.8207872979992</v>
      </c>
      <c r="BD19" s="201">
        <f ca="1"/>
        <v>6304.3298345200001</v>
      </c>
      <c r="BE19" s="201">
        <f ca="1"/>
        <v>5900.5381771920001</v>
      </c>
      <c r="BF19" s="201">
        <f ca="1"/>
        <v>5512.5150347590006</v>
      </c>
      <c r="BG19" s="201">
        <f ca="1"/>
        <v>5139.4814220544995</v>
      </c>
      <c r="BH19" s="201">
        <f ca="1"/>
        <v>4782.1089350019993</v>
      </c>
      <c r="BI19" s="201">
        <f ca="1"/>
        <v>4442.2410334615006</v>
      </c>
      <c r="BJ19" s="201">
        <f ca="1"/>
        <v>4117.6437687194993</v>
      </c>
      <c r="BK19" s="201">
        <f ca="1"/>
        <v>3808.5028521784998</v>
      </c>
      <c r="BL19" s="201">
        <f ca="1"/>
        <v>3513.1463464284998</v>
      </c>
      <c r="BM19" s="201">
        <f ca="1"/>
        <v>3235.3973003410001</v>
      </c>
      <c r="BN19" s="201">
        <f ca="1"/>
        <v>2974.3084842565004</v>
      </c>
      <c r="BO19" s="201">
        <f ca="1"/>
        <v>2729.3881796504998</v>
      </c>
      <c r="BP19" s="201">
        <f ca="1"/>
        <v>2500.5172898125002</v>
      </c>
      <c r="BQ19" s="201">
        <f ca="1"/>
        <v>2285.658400622</v>
      </c>
      <c r="BR19" s="201">
        <f ca="1"/>
        <v>2085.6320789305</v>
      </c>
      <c r="BS19" s="201">
        <f ca="1"/>
        <v>1898.7153893995001</v>
      </c>
      <c r="BT19" s="201">
        <f ca="1"/>
        <v>1723.9513650420001</v>
      </c>
      <c r="BU19" s="201">
        <f ca="1"/>
        <v>1561.4721997544998</v>
      </c>
      <c r="BV19" s="201">
        <f ca="1"/>
        <v>1410.8697632305</v>
      </c>
      <c r="BW19" s="201">
        <f ca="1"/>
        <v>1270.62672004</v>
      </c>
      <c r="BX19" s="201">
        <f ca="1"/>
        <v>1139.1367882585</v>
      </c>
      <c r="BY19" s="201">
        <f ca="1"/>
        <v>1016.3945958510001</v>
      </c>
      <c r="BZ19" s="201">
        <f ca="1"/>
        <v>902.49451501249996</v>
      </c>
      <c r="CA19" s="201">
        <f ca="1"/>
        <v>797.02074337250008</v>
      </c>
      <c r="CB19" s="201">
        <f ca="1"/>
        <v>700.1086996665</v>
      </c>
      <c r="CC19" s="201">
        <f ca="1"/>
        <v>610.01523376700004</v>
      </c>
      <c r="CD19" s="201">
        <f ca="1"/>
        <v>527.06274052150002</v>
      </c>
      <c r="CE19" s="201">
        <f ca="1"/>
        <v>451.50416985600003</v>
      </c>
      <c r="CF19" s="201">
        <f ca="1"/>
        <v>382.84529490700004</v>
      </c>
      <c r="CG19" s="201">
        <f ca="1"/>
        <v>320.624030484</v>
      </c>
      <c r="CH19" s="201">
        <f ca="1"/>
        <v>264.07191407200003</v>
      </c>
      <c r="CI19" s="201">
        <f ca="1"/>
        <v>213.710605837</v>
      </c>
      <c r="CJ19" s="201">
        <f ca="1"/>
        <v>169.34647663050001</v>
      </c>
      <c r="CK19" s="201">
        <f ca="1"/>
        <v>130.37527027649998</v>
      </c>
      <c r="CL19" s="201">
        <f ca="1"/>
        <v>96.556722248</v>
      </c>
      <c r="CM19" s="201">
        <f ca="1"/>
        <v>68.196580987499999</v>
      </c>
      <c r="CN19" s="201">
        <f ca="1"/>
        <v>45.216084725999998</v>
      </c>
      <c r="CO19" s="201">
        <f ca="1"/>
        <v>27.026860915</v>
      </c>
      <c r="CP19" s="201">
        <f ca="1"/>
        <v>13.402969896</v>
      </c>
      <c r="CQ19" s="201">
        <f ca="1"/>
        <v>4.5059208599999998</v>
      </c>
      <c r="CR19" s="202">
        <f ca="1"/>
        <v>0</v>
      </c>
      <c r="CS19" s="126"/>
    </row>
    <row r="20" spans="2:97">
      <c r="B20" s="126"/>
      <c r="C20" s="21" t="s">
        <v>103</v>
      </c>
      <c r="D20" s="207"/>
      <c r="E20" s="142"/>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207"/>
      <c r="AL20" s="207"/>
      <c r="AM20" s="207"/>
      <c r="AN20" s="207"/>
      <c r="AO20" s="207"/>
      <c r="AP20" s="207"/>
      <c r="AQ20" s="207"/>
      <c r="AR20" s="207"/>
      <c r="AS20" s="207"/>
      <c r="AT20" s="207"/>
      <c r="AU20" s="207"/>
      <c r="AV20" s="207"/>
      <c r="AW20" s="207"/>
      <c r="AX20" s="207"/>
      <c r="AY20" s="207"/>
      <c r="AZ20" s="207"/>
      <c r="BA20" s="207"/>
      <c r="BB20" s="207"/>
      <c r="BC20" s="207"/>
      <c r="BD20" s="207"/>
      <c r="BE20" s="207"/>
      <c r="BF20" s="207"/>
      <c r="BG20" s="207"/>
      <c r="BH20" s="207"/>
      <c r="BI20" s="207"/>
      <c r="BJ20" s="207"/>
      <c r="BK20" s="207"/>
      <c r="BL20" s="207"/>
      <c r="BM20" s="207"/>
      <c r="BN20" s="207"/>
      <c r="BO20" s="207"/>
      <c r="BP20" s="207"/>
      <c r="BQ20" s="207"/>
      <c r="BR20" s="207"/>
      <c r="BS20" s="207"/>
      <c r="BT20" s="207"/>
      <c r="BU20" s="207"/>
      <c r="BV20" s="207"/>
      <c r="BW20" s="207"/>
      <c r="BX20" s="207"/>
      <c r="BY20" s="207"/>
      <c r="BZ20" s="207"/>
      <c r="CA20" s="207"/>
      <c r="CB20" s="207"/>
      <c r="CC20" s="207"/>
      <c r="CD20" s="207"/>
      <c r="CE20" s="207"/>
      <c r="CF20" s="207"/>
      <c r="CG20" s="207"/>
      <c r="CH20" s="207"/>
      <c r="CI20" s="207"/>
      <c r="CJ20" s="207"/>
      <c r="CK20" s="207"/>
      <c r="CL20" s="207"/>
      <c r="CM20" s="207"/>
      <c r="CN20" s="207"/>
      <c r="CO20" s="207"/>
      <c r="CP20" s="207"/>
      <c r="CQ20" s="207"/>
      <c r="CR20" s="208"/>
      <c r="CS20" s="126"/>
    </row>
    <row r="21" spans="2:97">
      <c r="B21" s="126"/>
      <c r="C21" s="23" t="str">
        <f>INDEX(_pcName,1)</f>
        <v>Axial Housed</v>
      </c>
      <c r="D21" s="16" t="s">
        <v>37</v>
      </c>
      <c r="E21" s="200">
        <f ca="1">SUMPRODUCT(OFFSET(tShpAxH,0,0,1,1),N(OFFSET(tpSurvAxH,0,COLUMN(OFFSET(tpSurvAxH,0,0,1,1))-COLUMN(OFFSET(tpSurvAxH,0,0,1,1)),1,1)))</f>
        <v>31.534979999999997</v>
      </c>
      <c r="F21" s="201">
        <f ca="1">SUMPRODUCT(OFFSET(tShpAxH,0,0,1,2),N(OFFSET(tpSurvAxH,0,COLUMN(OFFSET(tpSurvAxH,0,1,1,1))-COLUMN(OFFSET(tpSurvAxH,0,0,1,2)),1,1)))</f>
        <v>63.726599999999998</v>
      </c>
      <c r="G21" s="201">
        <f ca="1">SUMPRODUCT(OFFSET(tShpAxH,0,0,1,3),N(OFFSET(tpSurvAxH,0,COLUMN(OFFSET(tpSurvAxH,0,2,1,1))-COLUMN(OFFSET(tpSurvAxH,0,0,1,3)),1,1)))</f>
        <v>95.764919999999989</v>
      </c>
      <c r="H21" s="201">
        <f ca="1">SUMPRODUCT(OFFSET(tShpAxH,0,0,1,4),N(OFFSET(tpSurvAxH,0,COLUMN(OFFSET(tpSurvAxH,0,3,1,1))-COLUMN(OFFSET(tpSurvAxH,0,0,1,4)),1,1)))</f>
        <v>127.77413999999999</v>
      </c>
      <c r="I21" s="201">
        <f ca="1">SUMPRODUCT(OFFSET(tShpAxH,0,0,1,5),N(OFFSET(tpSurvAxH,0,COLUMN(OFFSET(tpSurvAxH,0,4,1,1))-COLUMN(OFFSET(tpSurvAxH,0,0,1,5)),1,1)))</f>
        <v>159.74333999999999</v>
      </c>
      <c r="J21" s="201">
        <f ca="1">SUMPRODUCT(OFFSET(tShpAxH,0,0,1,6),N(OFFSET(tpSurvAxH,0,COLUMN(OFFSET(tpSurvAxH,0,5,1,1))-COLUMN(OFFSET(tpSurvAxH,0,0,1,6)),1,1)))</f>
        <v>191.61702</v>
      </c>
      <c r="K21" s="201">
        <f ca="1">SUMPRODUCT(OFFSET(tShpAxH,0,0,1,7),N(OFFSET(tpSurvAxH,0,COLUMN(OFFSET(tpSurvAxH,0,6,1,1))-COLUMN(OFFSET(tpSurvAxH,0,0,1,7)),1,1)))</f>
        <v>223.19514765</v>
      </c>
      <c r="L21" s="201">
        <f ca="1">SUMPRODUCT(OFFSET(tShpAxH,0,0,1,8),N(OFFSET(tpSurvAxH,0,COLUMN(OFFSET(tpSurvAxH,0,7,1,1))-COLUMN(OFFSET(tpSurvAxH,0,0,1,8)),1,1)))</f>
        <v>254.593007202</v>
      </c>
      <c r="M21" s="201">
        <f ca="1">SUMPRODUCT(OFFSET(tShpAxH,0,0,1,9),N(OFFSET(tpSurvAxH,0,COLUMN(OFFSET(tpSurvAxH,0,8,1,1))-COLUMN(OFFSET(tpSurvAxH,0,0,1,9)),1,1)))</f>
        <v>285.61492369199999</v>
      </c>
      <c r="N21" s="201">
        <f ca="1">SUMPRODUCT(OFFSET(tShpAxH,0,0,1,10),N(OFFSET(tpSurvAxH,0,COLUMN(OFFSET(tpSurvAxH,0,9,1,1))-COLUMN(OFFSET(tpSurvAxH,0,0,1,10)),1,1)))</f>
        <v>316.14111242999996</v>
      </c>
      <c r="O21" s="201">
        <f ca="1">SUMPRODUCT(OFFSET(tShpAxH,0,0,1,11),N(OFFSET(tpSurvAxH,0,COLUMN(OFFSET(tpSurvAxH,0,10,1,1))-COLUMN(OFFSET(tpSurvAxH,0,0,1,11)),1,1)))</f>
        <v>346.15119496800003</v>
      </c>
      <c r="P21" s="201">
        <f ca="1">SUMPRODUCT(OFFSET(tShpAxH,0,0,1,12),N(OFFSET(tpSurvAxH,0,COLUMN(OFFSET(tpSurvAxH,0,11,1,1))-COLUMN(OFFSET(tpSurvAxH,0,0,1,12)),1,1)))</f>
        <v>375.65830550399994</v>
      </c>
      <c r="Q21" s="201">
        <f ca="1">SUMPRODUCT(OFFSET(tShpAxH,0,0,1,13),N(OFFSET(tpSurvAxH,0,COLUMN(OFFSET(tpSurvAxH,0,12,1,1))-COLUMN(OFFSET(tpSurvAxH,0,0,1,13)),1,1)))</f>
        <v>404.70893733600002</v>
      </c>
      <c r="R21" s="201">
        <f ca="1">SUMPRODUCT(OFFSET(tShpAxH,0,0,1,14),N(OFFSET(tpSurvAxH,0,COLUMN(OFFSET(tpSurvAxH,0,13,1,1))-COLUMN(OFFSET(tpSurvAxH,0,0,1,14)),1,1)))</f>
        <v>433.36416036600002</v>
      </c>
      <c r="S21" s="201">
        <f ca="1">SUMPRODUCT(OFFSET(tShpAxH,0,0,1,15),N(OFFSET(tpSurvAxH,0,COLUMN(OFFSET(tpSurvAxH,0,14,1,1))-COLUMN(OFFSET(tpSurvAxH,0,0,1,15)),1,1)))</f>
        <v>462.03157421399993</v>
      </c>
      <c r="T21" s="201">
        <f ca="1">SUMPRODUCT(OFFSET(tShpAxH,0,0,1,16),N(OFFSET(tpSurvAxH,0,COLUMN(OFFSET(tpSurvAxH,0,15,1,1))-COLUMN(OFFSET(tpSurvAxH,0,0,1,16)),1,1)))</f>
        <v>490.50832111799991</v>
      </c>
      <c r="U21" s="201">
        <f ca="1">SUMPRODUCT(OFFSET(tShpAxH,0,0,1,17),N(OFFSET(tpSurvAxH,0,COLUMN(OFFSET(tpSurvAxH,0,16,1,1))-COLUMN(OFFSET(tpSurvAxH,0,0,1,17)),1,1)))</f>
        <v>518.82563797800003</v>
      </c>
      <c r="V21" s="201">
        <f ca="1">SUMPRODUCT(OFFSET(tShpAxH,0,0,1,18),N(OFFSET(tpSurvAxH,0,COLUMN(OFFSET(tpSurvAxH,0,17,1,1))-COLUMN(OFFSET(tpSurvAxH,0,0,1,18)),1,1)))</f>
        <v>547.06257627000002</v>
      </c>
      <c r="W21" s="201">
        <f ca="1">SUMPRODUCT(OFFSET(tShpAxH,0,0,1,19),N(OFFSET(tpSurvAxH,0,COLUMN(OFFSET(tpSurvAxH,0,18,1,1))-COLUMN(OFFSET(tpSurvAxH,0,0,1,19)),1,1)))</f>
        <v>575.31523880999998</v>
      </c>
      <c r="X21" s="201">
        <f ca="1">SUMPRODUCT(OFFSET(tShpAxH,0,0,1,20),N(OFFSET(tpSurvAxH,0,COLUMN(OFFSET(tpSurvAxH,0,19,1,1))-COLUMN(OFFSET(tpSurvAxH,0,0,1,20)),1,1)))</f>
        <v>602.97287950200007</v>
      </c>
      <c r="Y21" s="201">
        <f ca="1">SUMPRODUCT(OFFSET(tShpAxH,0,0,1,21),N(OFFSET(tpSurvAxH,0,COLUMN(OFFSET(tpSurvAxH,0,20,1,1))-COLUMN(OFFSET(tpSurvAxH,0,0,1,21)),1,1)))</f>
        <v>629.83145267400016</v>
      </c>
      <c r="Z21" s="201">
        <f ca="1">SUMPRODUCT(OFFSET(tShpAxH,0,0,1,22),N(OFFSET(tpSurvAxH,0,COLUMN(OFFSET(tpSurvAxH,0,21,1,1))-COLUMN(OFFSET(tpSurvAxH,0,0,1,22)),1,1)))</f>
        <v>655.76995459200009</v>
      </c>
      <c r="AA21" s="201">
        <f ca="1">SUMPRODUCT(OFFSET(tShpAxH,0,0,1,23),N(OFFSET(tpSurvAxH,0,COLUMN(OFFSET(tpSurvAxH,0,22,1,1))-COLUMN(OFFSET(tpSurvAxH,0,0,1,23)),1,1)))</f>
        <v>680.56559100600009</v>
      </c>
      <c r="AB21" s="201">
        <f ca="1">SUMPRODUCT(OFFSET(tShpAxH,0,0,1,24),N(OFFSET(tpSurvAxH,0,COLUMN(OFFSET(tpSurvAxH,0,23,1,1))-COLUMN(OFFSET(tpSurvAxH,0,0,1,24)),1,1)))</f>
        <v>704.69648593200009</v>
      </c>
      <c r="AC21" s="201">
        <f ca="1">SUMPRODUCT(OFFSET(tShpAxH,0,0,1,25),N(OFFSET(tpSurvAxH,0,COLUMN(OFFSET(tpSurvAxH,0,24,1,1))-COLUMN(OFFSET(tpSurvAxH,0,0,1,25)),1,1)))</f>
        <v>728.24261195400004</v>
      </c>
      <c r="AD21" s="201">
        <f ca="1">SUMPRODUCT(OFFSET(tShpAxH,0,0,1,26),N(OFFSET(tpSurvAxH,0,COLUMN(OFFSET(tpSurvAxH,0,25,1,1))-COLUMN(OFFSET(tpSurvAxH,0,0,1,26)),1,1)))</f>
        <v>751.39234527600013</v>
      </c>
      <c r="AE21" s="201">
        <f ca="1">SUMPRODUCT(OFFSET(tShpAxH,0,0,1,27),N(OFFSET(tpSurvAxH,0,COLUMN(OFFSET(tpSurvAxH,0,26,1,1))-COLUMN(OFFSET(tpSurvAxH,0,0,1,27)),1,1)))</f>
        <v>774.12563292599998</v>
      </c>
      <c r="AF21" s="201">
        <f ca="1">SUMPRODUCT(OFFSET(tShpAxH,0,0,1,28),N(OFFSET(tpSurvAxH,0,COLUMN(OFFSET(tpSurvAxH,0,27,1,1))-COLUMN(OFFSET(tpSurvAxH,0,0,1,28)),1,1)))</f>
        <v>796.37189533799994</v>
      </c>
      <c r="AG21" s="201">
        <f ca="1">SUMPRODUCT(OFFSET(tShpAxH,0,0,1,29),N(OFFSET(tpSurvAxH,0,COLUMN(OFFSET(tpSurvAxH,0,28,1,1))-COLUMN(OFFSET(tpSurvAxH,0,0,1,29)),1,1)))</f>
        <v>818.19698984999991</v>
      </c>
      <c r="AH21" s="201">
        <f ca="1">SUMPRODUCT(OFFSET(tShpAxH,0,0,1,30),N(OFFSET(tpSurvAxH,0,COLUMN(OFFSET(tpSurvAxH,0,29,1,1))-COLUMN(OFFSET(tpSurvAxH,0,0,1,30)),1,1)))</f>
        <v>839.65139181599989</v>
      </c>
      <c r="AI21" s="201">
        <f ca="1">SUMPRODUCT(OFFSET(tShpAxH,0,0,1,31),N(OFFSET(tpSurvAxH,0,COLUMN(OFFSET(tpSurvAxH,0,30,1,1))-COLUMN(OFFSET(tpSurvAxH,0,0,1,31)),1,1)))</f>
        <v>860.84686036800008</v>
      </c>
      <c r="AJ21" s="201">
        <f ca="1">SUMPRODUCT(OFFSET(tShpAxH,0,0,1,32),N(OFFSET(tpSurvAxH,0,COLUMN(OFFSET(tpSurvAxH,0,31,1,1))-COLUMN(OFFSET(tpSurvAxH,0,0,1,32)),1,1)))</f>
        <v>881.77921759799995</v>
      </c>
      <c r="AK21" s="201">
        <f ca="1">SUMPRODUCT(OFFSET(tShpAxH,0,0,1,33),N(OFFSET(tpSurvAxH,0,COLUMN(OFFSET(tpSurvAxH,0,32,1,1))-COLUMN(OFFSET(tpSurvAxH,0,0,1,33)),1,1)))</f>
        <v>902.45029817999989</v>
      </c>
      <c r="AL21" s="201">
        <f ca="1">SUMPRODUCT(OFFSET(tShpAxH,0,0,1,34),N(OFFSET(tpSurvAxH,0,COLUMN(OFFSET(tpSurvAxH,0,33,1,1))-COLUMN(OFFSET(tpSurvAxH,0,0,1,34)),1,1)))</f>
        <v>878.62050402600005</v>
      </c>
      <c r="AM21" s="201">
        <f ca="1">SUMPRODUCT(OFFSET(tShpAxH,0,0,1,35),N(OFFSET(tpSurvAxH,0,COLUMN(OFFSET(tpSurvAxH,0,34,1,1))-COLUMN(OFFSET(tpSurvAxH,0,0,1,35)),1,1)))</f>
        <v>853.99006438200013</v>
      </c>
      <c r="AN21" s="201">
        <f ca="1">SUMPRODUCT(OFFSET(tShpAxH,0,0,1,36),N(OFFSET(tpSurvAxH,0,COLUMN(OFFSET(tpSurvAxH,0,35,1,1))-COLUMN(OFFSET(tpSurvAxH,0,0,1,36)),1,1)))</f>
        <v>828.5695412880001</v>
      </c>
      <c r="AO21" s="201">
        <f ca="1">SUMPRODUCT(OFFSET(tShpAxH,0,0,1,37),N(OFFSET(tpSurvAxH,0,COLUMN(OFFSET(tpSurvAxH,0,36,1,1))-COLUMN(OFFSET(tpSurvAxH,0,0,1,37)),1,1)))</f>
        <v>802.3565199599999</v>
      </c>
      <c r="AP21" s="201">
        <f ca="1">SUMPRODUCT(OFFSET(tShpAxH,0,0,1,38),N(OFFSET(tpSurvAxH,0,COLUMN(OFFSET(tpSurvAxH,0,37,1,1))-COLUMN(OFFSET(tpSurvAxH,0,0,1,38)),1,1)))</f>
        <v>775.24682781000013</v>
      </c>
      <c r="AQ21" s="201">
        <f ca="1">SUMPRODUCT(OFFSET(tShpAxH,0,0,1,39),N(OFFSET(tpSurvAxH,0,COLUMN(OFFSET(tpSurvAxH,0,38,1,1))-COLUMN(OFFSET(tpSurvAxH,0,0,1,39)),1,1)))</f>
        <v>747.365326428</v>
      </c>
      <c r="AR21" s="201">
        <f ca="1">SUMPRODUCT(OFFSET(tShpAxH,0,0,1,40),N(OFFSET(tpSurvAxH,0,COLUMN(OFFSET(tpSurvAxH,0,39,1,1))-COLUMN(OFFSET(tpSurvAxH,0,0,1,40)),1,1)))</f>
        <v>719.10431526600007</v>
      </c>
      <c r="AS21" s="201">
        <f ca="1">SUMPRODUCT(OFFSET(tShpAxH,0,0,1,41),N(OFFSET(tpSurvAxH,0,COLUMN(OFFSET(tpSurvAxH,0,40,1,1))-COLUMN(OFFSET(tpSurvAxH,0,0,1,41)),1,1)))</f>
        <v>690.5460254699999</v>
      </c>
      <c r="AT21" s="201">
        <f ca="1">SUMPRODUCT(OFFSET(tShpAxH,0,0,1,42),N(OFFSET(tpSurvAxH,0,COLUMN(OFFSET(tpSurvAxH,0,41,1,1))-COLUMN(OFFSET(tpSurvAxH,0,0,1,42)),1,1)))</f>
        <v>661.78921245599997</v>
      </c>
      <c r="AU21" s="201">
        <f ca="1">SUMPRODUCT(OFFSET(tShpAxH,0,0,1,43),N(OFFSET(tpSurvAxH,0,COLUMN(OFFSET(tpSurvAxH,0,42,1,1))-COLUMN(OFFSET(tpSurvAxH,0,0,1,43)),1,1)))</f>
        <v>632.99574339599997</v>
      </c>
      <c r="AV21" s="201">
        <f ca="1">SUMPRODUCT(OFFSET(tShpAxH,0,0,1,44),N(OFFSET(tpSurvAxH,0,COLUMN(OFFSET(tpSurvAxH,0,43,1,1))-COLUMN(OFFSET(tpSurvAxH,0,0,1,44)),1,1)))</f>
        <v>604.28378751600007</v>
      </c>
      <c r="AW21" s="201">
        <f ca="1">SUMPRODUCT(OFFSET(tShpAxH,0,0,1,45),N(OFFSET(tpSurvAxH,0,COLUMN(OFFSET(tpSurvAxH,0,44,1,1))-COLUMN(OFFSET(tpSurvAxH,0,0,1,45)),1,1)))</f>
        <v>575.85298717799992</v>
      </c>
      <c r="AX21" s="201">
        <f ca="1">SUMPRODUCT(OFFSET(tShpAxH,0,0,1,46),N(OFFSET(tpSurvAxH,0,COLUMN(OFFSET(tpSurvAxH,0,45,1,1))-COLUMN(OFFSET(tpSurvAxH,0,0,1,46)),1,1)))</f>
        <v>547.76029542000003</v>
      </c>
      <c r="AY21" s="201">
        <f ca="1">SUMPRODUCT(OFFSET(tShpAxH,0,0,1,47),N(OFFSET(tpSurvAxH,0,COLUMN(OFFSET(tpSurvAxH,0,46,1,1))-COLUMN(OFFSET(tpSurvAxH,0,0,1,47)),1,1)))</f>
        <v>520.29258908999986</v>
      </c>
      <c r="AZ21" s="201">
        <f ca="1">SUMPRODUCT(OFFSET(tShpAxH,0,0,1,48),N(OFFSET(tpSurvAxH,0,COLUMN(OFFSET(tpSurvAxH,0,47,1,1))-COLUMN(OFFSET(tpSurvAxH,0,0,1,48)),1,1)))</f>
        <v>493.48192614599998</v>
      </c>
      <c r="BA21" s="201">
        <f ca="1">SUMPRODUCT(OFFSET(tShpAxH,0,0,1,49),N(OFFSET(tpSurvAxH,0,COLUMN(OFFSET(tpSurvAxH,0,48,1,1))-COLUMN(OFFSET(tpSurvAxH,0,0,1,49)),1,1)))</f>
        <v>467.45624040000001</v>
      </c>
      <c r="BB21" s="201">
        <f ca="1">SUMPRODUCT(OFFSET(tShpAxH,0,0,1,50),N(OFFSET(tpSurvAxH,0,COLUMN(OFFSET(tpSurvAxH,0,49,1,1))-COLUMN(OFFSET(tpSurvAxH,0,0,1,50)),1,1)))</f>
        <v>442.03986944399998</v>
      </c>
      <c r="BC21" s="201">
        <f ca="1">SUMPRODUCT(OFFSET(tShpAxH,0,0,1,51),N(OFFSET(tpSurvAxH,0,COLUMN(OFFSET(tpSurvAxH,0,50,1,1))-COLUMN(OFFSET(tpSurvAxH,0,0,1,51)),1,1)))</f>
        <v>417.37827604800003</v>
      </c>
      <c r="BD21" s="201">
        <f ca="1">SUMPRODUCT(OFFSET(tShpAxH,0,0,1,52),N(OFFSET(tpSurvAxH,0,COLUMN(OFFSET(tpSurvAxH,0,51,1,1))-COLUMN(OFFSET(tpSurvAxH,0,0,1,52)),1,1)))</f>
        <v>393.54534423000001</v>
      </c>
      <c r="BE21" s="201">
        <f ca="1">SUMPRODUCT(OFFSET(tShpAxH,0,0,1,53),N(OFFSET(tpSurvAxH,0,COLUMN(OFFSET(tpSurvAxH,0,52,1,1))-COLUMN(OFFSET(tpSurvAxH,0,0,1,53)),1,1)))</f>
        <v>370.64840698199998</v>
      </c>
      <c r="BF21" s="201">
        <f ca="1">SUMPRODUCT(OFFSET(tShpAxH,0,0,1,54),N(OFFSET(tpSurvAxH,0,COLUMN(OFFSET(tpSurvAxH,0,53,1,1))-COLUMN(OFFSET(tpSurvAxH,0,0,1,54)),1,1)))</f>
        <v>348.66355273199997</v>
      </c>
      <c r="BG21" s="201">
        <f ca="1">SUMPRODUCT(OFFSET(tShpAxH,0,0,1,55),N(OFFSET(tpSurvAxH,0,COLUMN(OFFSET(tpSurvAxH,0,54,1,1))-COLUMN(OFFSET(tpSurvAxH,0,0,1,55)),1,1)))</f>
        <v>327.46024633799988</v>
      </c>
      <c r="BH21" s="201">
        <f ca="1">SUMPRODUCT(OFFSET(tShpAxH,0,0,1,56),N(OFFSET(tpSurvAxH,0,COLUMN(OFFSET(tpSurvAxH,0,55,1,1))-COLUMN(OFFSET(tpSurvAxH,0,0,1,56)),1,1)))</f>
        <v>307.16349664799998</v>
      </c>
      <c r="BI21" s="201">
        <f ca="1">SUMPRODUCT(OFFSET(tShpAxH,0,0,1,57),N(OFFSET(tpSurvAxH,0,COLUMN(OFFSET(tpSurvAxH,0,56,1,1))-COLUMN(OFFSET(tpSurvAxH,0,0,1,57)),1,1)))</f>
        <v>287.76795392999998</v>
      </c>
      <c r="BJ21" s="201">
        <f ca="1">SUMPRODUCT(OFFSET(tShpAxH,0,0,1,58),N(OFFSET(tpSurvAxH,0,COLUMN(OFFSET(tpSurvAxH,0,57,1,1))-COLUMN(OFFSET(tpSurvAxH,0,0,1,58)),1,1)))</f>
        <v>269.10679088399996</v>
      </c>
      <c r="BK21" s="201">
        <f ca="1">SUMPRODUCT(OFFSET(tShpAxH,0,0,1,59),N(OFFSET(tpSurvAxH,0,COLUMN(OFFSET(tpSurvAxH,0,58,1,1))-COLUMN(OFFSET(tpSurvAxH,0,0,1,59)),1,1)))</f>
        <v>251.08132983000002</v>
      </c>
      <c r="BL21" s="201">
        <f ca="1">SUMPRODUCT(OFFSET(tShpAxH,0,0,1,60),N(OFFSET(tpSurvAxH,0,COLUMN(OFFSET(tpSurvAxH,0,59,1,1))-COLUMN(OFFSET(tpSurvAxH,0,0,1,60)),1,1)))</f>
        <v>233.64424294199998</v>
      </c>
      <c r="BM21" s="201">
        <f ca="1">SUMPRODUCT(OFFSET(tShpAxH,0,0,1,61),N(OFFSET(tpSurvAxH,0,COLUMN(OFFSET(tpSurvAxH,0,60,1,1))-COLUMN(OFFSET(tpSurvAxH,0,0,1,61)),1,1)))</f>
        <v>217.21639418999999</v>
      </c>
      <c r="BN21" s="201">
        <f ca="1">SUMPRODUCT(OFFSET(tShpAxH,0,0,1,62),N(OFFSET(tpSurvAxH,0,COLUMN(OFFSET(tpSurvAxH,0,61,1,1))-COLUMN(OFFSET(tpSurvAxH,0,0,1,62)),1,1)))</f>
        <v>201.70910993999999</v>
      </c>
      <c r="BO21" s="201">
        <f ca="1">SUMPRODUCT(OFFSET(tShpAxH,0,0,1,63),N(OFFSET(tpSurvAxH,0,COLUMN(OFFSET(tpSurvAxH,0,62,1,1))-COLUMN(OFFSET(tpSurvAxH,0,0,1,63)),1,1)))</f>
        <v>187.04615399999997</v>
      </c>
      <c r="BP21" s="201">
        <f ca="1">SUMPRODUCT(OFFSET(tShpAxH,0,0,1,64),N(OFFSET(tpSurvAxH,0,COLUMN(OFFSET(tpSurvAxH,0,63,1,1))-COLUMN(OFFSET(tpSurvAxH,0,0,1,64)),1,1)))</f>
        <v>173.06658834599995</v>
      </c>
      <c r="BQ21" s="201">
        <f ca="1">SUMPRODUCT(OFFSET(tShpAxH,0,0,1,65),N(OFFSET(tpSurvAxH,0,COLUMN(OFFSET(tpSurvAxH,0,64,1,1))-COLUMN(OFFSET(tpSurvAxH,0,0,1,65)),1,1)))</f>
        <v>159.77159575799996</v>
      </c>
      <c r="BR21" s="201">
        <f ca="1">SUMPRODUCT(OFFSET(tShpAxH,0,0,1,66),N(OFFSET(tpSurvAxH,0,COLUMN(OFFSET(tpSurvAxH,0,65,1,1))-COLUMN(OFFSET(tpSurvAxH,0,0,1,66)),1,1)))</f>
        <v>147.153218262</v>
      </c>
      <c r="BS21" s="201">
        <f ca="1">SUMPRODUCT(OFFSET(tShpAxH,0,0,1,67),N(OFFSET(tpSurvAxH,0,COLUMN(OFFSET(tpSurvAxH,0,66,1,1))-COLUMN(OFFSET(tpSurvAxH,0,0,1,67)),1,1)))</f>
        <v>135.24557576399999</v>
      </c>
      <c r="BT21" s="201">
        <f ca="1">SUMPRODUCT(OFFSET(tShpAxH,0,0,1,68),N(OFFSET(tpSurvAxH,0,COLUMN(OFFSET(tpSurvAxH,0,67,1,1))-COLUMN(OFFSET(tpSurvAxH,0,0,1,68)),1,1)))</f>
        <v>123.95305816799998</v>
      </c>
      <c r="BU21" s="201">
        <f ca="1">SUMPRODUCT(OFFSET(tShpAxH,0,0,1,69),N(OFFSET(tpSurvAxH,0,COLUMN(OFFSET(tpSurvAxH,0,68,1,1))-COLUMN(OFFSET(tpSurvAxH,0,0,1,69)),1,1)))</f>
        <v>113.24885230199999</v>
      </c>
      <c r="BV21" s="201">
        <f ca="1">SUMPRODUCT(OFFSET(tShpAxH,0,0,1,70),N(OFFSET(tpSurvAxH,0,COLUMN(OFFSET(tpSurvAxH,0,69,1,1))-COLUMN(OFFSET(tpSurvAxH,0,0,1,70)),1,1)))</f>
        <v>103.11977159999999</v>
      </c>
      <c r="BW21" s="201">
        <f ca="1">SUMPRODUCT(OFFSET(tShpAxH,0,0,1,71),N(OFFSET(tpSurvAxH,0,COLUMN(OFFSET(tpSurvAxH,0,70,1,1))-COLUMN(OFFSET(tpSurvAxH,0,0,1,71)),1,1)))</f>
        <v>93.699558816000021</v>
      </c>
      <c r="BX21" s="201">
        <f ca="1">SUMPRODUCT(OFFSET(tShpAxH,0,0,1,72),N(OFFSET(tpSurvAxH,0,COLUMN(OFFSET(tpSurvAxH,0,71,1,1))-COLUMN(OFFSET(tpSurvAxH,0,0,1,72)),1,1)))</f>
        <v>84.799840721999985</v>
      </c>
      <c r="BY21" s="201">
        <f ca="1">SUMPRODUCT(OFFSET(tShpAxH,0,0,1,73),N(OFFSET(tpSurvAxH,0,COLUMN(OFFSET(tpSurvAxH,0,72,1,1))-COLUMN(OFFSET(tpSurvAxH,0,0,1,73)),1,1)))</f>
        <v>76.33277129999999</v>
      </c>
      <c r="BZ21" s="201">
        <f ca="1">SUMPRODUCT(OFFSET(tShpAxH,0,0,1,74),N(OFFSET(tpSurvAxH,0,COLUMN(OFFSET(tpSurvAxH,0,73,1,1))-COLUMN(OFFSET(tpSurvAxH,0,0,1,74)),1,1)))</f>
        <v>68.339031923999997</v>
      </c>
      <c r="CA21" s="201">
        <f ca="1">SUMPRODUCT(OFFSET(tShpAxH,0,0,1,75),N(OFFSET(tpSurvAxH,0,COLUMN(OFFSET(tpSurvAxH,0,74,1,1))-COLUMN(OFFSET(tpSurvAxH,0,0,1,75)),1,1)))</f>
        <v>60.838057974000002</v>
      </c>
      <c r="CB21" s="201">
        <f ca="1">SUMPRODUCT(OFFSET(tShpAxH,0,0,1,76),N(OFFSET(tpSurvAxH,0,COLUMN(OFFSET(tpSurvAxH,0,75,1,1))-COLUMN(OFFSET(tpSurvAxH,0,0,1,76)),1,1)))</f>
        <v>53.857035113999999</v>
      </c>
      <c r="CC21" s="201">
        <f ca="1">SUMPRODUCT(OFFSET(tShpAxH,0,0,1,77),N(OFFSET(tpSurvAxH,0,COLUMN(OFFSET(tpSurvAxH,0,76,1,1))-COLUMN(OFFSET(tpSurvAxH,0,0,1,77)),1,1)))</f>
        <v>47.401777463999998</v>
      </c>
      <c r="CD21" s="201">
        <f ca="1">SUMPRODUCT(OFFSET(tShpAxH,0,0,1,78),N(OFFSET(tpSurvAxH,0,COLUMN(OFFSET(tpSurvAxH,0,77,1,1))-COLUMN(OFFSET(tpSurvAxH,0,0,1,78)),1,1)))</f>
        <v>41.390003466000003</v>
      </c>
      <c r="CE21" s="201">
        <f ca="1">SUMPRODUCT(OFFSET(tShpAxH,0,0,1,79),N(OFFSET(tpSurvAxH,0,COLUMN(OFFSET(tpSurvAxH,0,78,1,1))-COLUMN(OFFSET(tpSurvAxH,0,0,1,79)),1,1)))</f>
        <v>35.868816551999998</v>
      </c>
      <c r="CF21" s="201">
        <f ca="1">SUMPRODUCT(OFFSET(tShpAxH,0,0,1,80),N(OFFSET(tpSurvAxH,0,COLUMN(OFFSET(tpSurvAxH,0,79,1,1))-COLUMN(OFFSET(tpSurvAxH,0,0,1,80)),1,1)))</f>
        <v>30.787978277999997</v>
      </c>
      <c r="CG21" s="201">
        <f ca="1">SUMPRODUCT(OFFSET(tShpAxH,0,0,1,81),N(OFFSET(tpSurvAxH,0,COLUMN(OFFSET(tpSurvAxH,0,80,1,1))-COLUMN(OFFSET(tpSurvAxH,0,0,1,81)),1,1)))</f>
        <v>26.066809211999999</v>
      </c>
      <c r="CH21" s="201">
        <f ca="1">SUMPRODUCT(OFFSET(tShpAxH,0,0,1,82),N(OFFSET(tpSurvAxH,0,COLUMN(OFFSET(tpSurvAxH,0,81,1,1))-COLUMN(OFFSET(tpSurvAxH,0,0,1,82)),1,1)))</f>
        <v>21.733178706</v>
      </c>
      <c r="CI21" s="201">
        <f ca="1">SUMPRODUCT(OFFSET(tShpAxH,0,0,1,83),N(OFFSET(tpSurvAxH,0,COLUMN(OFFSET(tpSurvAxH,0,82,1,1))-COLUMN(OFFSET(tpSurvAxH,0,0,1,83)),1,1)))</f>
        <v>17.857159818</v>
      </c>
      <c r="CJ21" s="201">
        <f ca="1">SUMPRODUCT(OFFSET(tShpAxH,0,0,1,84),N(OFFSET(tpSurvAxH,0,COLUMN(OFFSET(tpSurvAxH,0,83,1,1))-COLUMN(OFFSET(tpSurvAxH,0,0,1,84)),1,1)))</f>
        <v>14.399569787999997</v>
      </c>
      <c r="CK21" s="201">
        <f ca="1">SUMPRODUCT(OFFSET(tShpAxH,0,0,1,85),N(OFFSET(tpSurvAxH,0,COLUMN(OFFSET(tpSurvAxH,0,84,1,1))-COLUMN(OFFSET(tpSurvAxH,0,0,1,85)),1,1)))</f>
        <v>11.321014937999998</v>
      </c>
      <c r="CL21" s="201">
        <f ca="1">SUMPRODUCT(OFFSET(tShpAxH,0,0,1,86),N(OFFSET(tpSurvAxH,0,COLUMN(OFFSET(tpSurvAxH,0,85,1,1))-COLUMN(OFFSET(tpSurvAxH,0,0,1,86)),1,1)))</f>
        <v>8.5645560839999995</v>
      </c>
      <c r="CM21" s="201">
        <f ca="1">SUMPRODUCT(OFFSET(tShpAxH,0,0,1,87),N(OFFSET(tpSurvAxH,0,COLUMN(OFFSET(tpSurvAxH,0,86,1,1))-COLUMN(OFFSET(tpSurvAxH,0,0,1,87)),1,1)))</f>
        <v>6.1919443859999994</v>
      </c>
      <c r="CN21" s="201">
        <f ca="1">SUMPRODUCT(OFFSET(tShpAxH,0,0,1,88),N(OFFSET(tpSurvAxH,0,COLUMN(OFFSET(tpSurvAxH,0,87,1,1))-COLUMN(OFFSET(tpSurvAxH,0,0,1,88)),1,1)))</f>
        <v>4.1817231659999994</v>
      </c>
      <c r="CO21" s="201">
        <f ca="1">SUMPRODUCT(OFFSET(tShpAxH,0,0,1,89),N(OFFSET(tpSurvAxH,0,COLUMN(OFFSET(tpSurvAxH,0,88,1,1))-COLUMN(OFFSET(tpSurvAxH,0,0,1,89)),1,1)))</f>
        <v>2.5740369899999997</v>
      </c>
      <c r="CP21" s="201">
        <f ca="1">SUMPRODUCT(OFFSET(tShpAxH,0,0,1,90),N(OFFSET(tpSurvAxH,0,COLUMN(OFFSET(tpSurvAxH,0,89,1,1))-COLUMN(OFFSET(tpSurvAxH,0,0,1,90)),1,1)))</f>
        <v>1.2857532239999998</v>
      </c>
      <c r="CQ21" s="201">
        <f ca="1">SUMPRODUCT(OFFSET(tShpAxH,0,0,1,91),N(OFFSET(tpSurvAxH,0,COLUMN(OFFSET(tpSurvAxH,0,90,1,1))-COLUMN(OFFSET(tpSurvAxH,0,0,1,91)),1,1)))</f>
        <v>0.4669574159999999</v>
      </c>
      <c r="CR21" s="202">
        <f ca="1">SUMPRODUCT(OFFSET(tShpAxH,0,0,1,92),N(OFFSET(tpSurvAxH,0,COLUMN(OFFSET(tpSurvAxH,0,91,1,1))-COLUMN(OFFSET(tpSurvAxH,0,0,1,92)),1,1)))</f>
        <v>0</v>
      </c>
      <c r="CS21" s="126"/>
    </row>
    <row r="22" spans="2:97">
      <c r="B22" s="126"/>
      <c r="C22" s="23" t="str">
        <f>INDEX(_pcName,2)</f>
        <v>Axial Unhoused</v>
      </c>
      <c r="D22" s="16" t="s">
        <v>37</v>
      </c>
      <c r="E22" s="200">
        <f ca="1">SUMPRODUCT(OFFSET(tShpAxU,0,0,1,1),N(OFFSET(tpSurvAxU,0,COLUMN(OFFSET(tpSurvAxU,0,0,1,1))-COLUMN(OFFSET(tpSurvAxU,0,0,1,1)),1,1)))</f>
        <v>162.93072999999998</v>
      </c>
      <c r="F22" s="201">
        <f ca="1">SUMPRODUCT(OFFSET(tShpAxU,0,0,1,2),N(OFFSET(tpSurvAxU,0,COLUMN(OFFSET(tpSurvAxU,0,1,1,1))-COLUMN(OFFSET(tpSurvAxU,0,0,1,2)),1,1)))</f>
        <v>329.25409999999999</v>
      </c>
      <c r="G22" s="201">
        <f ca="1">SUMPRODUCT(OFFSET(tShpAxU,0,0,1,3),N(OFFSET(tpSurvAxU,0,COLUMN(OFFSET(tpSurvAxU,0,2,1,1))-COLUMN(OFFSET(tpSurvAxU,0,0,1,3)),1,1)))</f>
        <v>494.78541999999999</v>
      </c>
      <c r="H22" s="201">
        <f ca="1">SUMPRODUCT(OFFSET(tShpAxU,0,0,1,4),N(OFFSET(tpSurvAxU,0,COLUMN(OFFSET(tpSurvAxU,0,3,1,1))-COLUMN(OFFSET(tpSurvAxU,0,0,1,4)),1,1)))</f>
        <v>660.16638999999998</v>
      </c>
      <c r="I22" s="201">
        <f ca="1">SUMPRODUCT(OFFSET(tShpAxU,0,0,1,5),N(OFFSET(tpSurvAxU,0,COLUMN(OFFSET(tpSurvAxU,0,4,1,1))-COLUMN(OFFSET(tpSurvAxU,0,0,1,5)),1,1)))</f>
        <v>825.34059000000002</v>
      </c>
      <c r="J22" s="201">
        <f ca="1">SUMPRODUCT(OFFSET(tShpAxU,0,0,1,6),N(OFFSET(tpSurvAxU,0,COLUMN(OFFSET(tpSurvAxU,0,5,1,1))-COLUMN(OFFSET(tpSurvAxU,0,0,1,6)),1,1)))</f>
        <v>990.02126999999996</v>
      </c>
      <c r="K22" s="201">
        <f ca="1">SUMPRODUCT(OFFSET(tShpAxU,0,0,1,7),N(OFFSET(tpSurvAxU,0,COLUMN(OFFSET(tpSurvAxU,0,6,1,1))-COLUMN(OFFSET(tpSurvAxU,0,0,1,7)),1,1)))</f>
        <v>1153.7614801530001</v>
      </c>
      <c r="L22" s="201">
        <f ca="1">SUMPRODUCT(OFFSET(tShpAxU,0,0,1,8),N(OFFSET(tpSurvAxU,0,COLUMN(OFFSET(tpSurvAxU,0,7,1,1))-COLUMN(OFFSET(tpSurvAxU,0,0,1,8)),1,1)))</f>
        <v>1316.5336394179999</v>
      </c>
      <c r="M22" s="201">
        <f ca="1">SUMPRODUCT(OFFSET(tShpAxU,0,0,1,9),N(OFFSET(tpSurvAxU,0,COLUMN(OFFSET(tpSurvAxU,0,8,1,1))-COLUMN(OFFSET(tpSurvAxU,0,0,1,9)),1,1)))</f>
        <v>1477.1640401479999</v>
      </c>
      <c r="N22" s="201">
        <f ca="1">SUMPRODUCT(OFFSET(tShpAxU,0,0,1,10),N(OFFSET(tpSurvAxU,0,COLUMN(OFFSET(tpSurvAxU,0,9,1,1))-COLUMN(OFFSET(tpSurvAxU,0,0,1,10)),1,1)))</f>
        <v>1635.7338912759999</v>
      </c>
      <c r="O22" s="201">
        <f ca="1">SUMPRODUCT(OFFSET(tShpAxU,0,0,1,11),N(OFFSET(tpSurvAxU,0,COLUMN(OFFSET(tpSurvAxU,0,10,1,1))-COLUMN(OFFSET(tpSurvAxU,0,0,1,11)),1,1)))</f>
        <v>1792.2508057819996</v>
      </c>
      <c r="P22" s="201">
        <f ca="1">SUMPRODUCT(OFFSET(tShpAxU,0,0,1,12),N(OFFSET(tpSurvAxU,0,COLUMN(OFFSET(tpSurvAxU,0,11,1,1))-COLUMN(OFFSET(tpSurvAxU,0,0,1,12)),1,1)))</f>
        <v>1946.2590601679997</v>
      </c>
      <c r="Q22" s="201">
        <f ca="1">SUMPRODUCT(OFFSET(tShpAxU,0,0,1,13),N(OFFSET(tpSurvAxU,0,COLUMN(OFFSET(tpSurvAxU,0,12,1,1))-COLUMN(OFFSET(tpSurvAxU,0,0,1,13)),1,1)))</f>
        <v>2098.0530765929998</v>
      </c>
      <c r="R22" s="201">
        <f ca="1">SUMPRODUCT(OFFSET(tShpAxU,0,0,1,14),N(OFFSET(tpSurvAxU,0,COLUMN(OFFSET(tpSurvAxU,0,13,1,1))-COLUMN(OFFSET(tpSurvAxU,0,0,1,14)),1,1)))</f>
        <v>2248.2488670929997</v>
      </c>
      <c r="S22" s="201">
        <f ca="1">SUMPRODUCT(OFFSET(tShpAxU,0,0,1,15),N(OFFSET(tpSurvAxU,0,COLUMN(OFFSET(tpSurvAxU,0,14,1,1))-COLUMN(OFFSET(tpSurvAxU,0,0,1,15)),1,1)))</f>
        <v>2398.823933138</v>
      </c>
      <c r="T22" s="201">
        <f ca="1">SUMPRODUCT(OFFSET(tShpAxU,0,0,1,16),N(OFFSET(tpSurvAxU,0,COLUMN(OFFSET(tpSurvAxU,0,15,1,1))-COLUMN(OFFSET(tpSurvAxU,0,0,1,16)),1,1)))</f>
        <v>2548.9362700880001</v>
      </c>
      <c r="U22" s="201">
        <f ca="1">SUMPRODUCT(OFFSET(tShpAxU,0,0,1,17),N(OFFSET(tpSurvAxU,0,COLUMN(OFFSET(tpSurvAxU,0,16,1,1))-COLUMN(OFFSET(tpSurvAxU,0,0,1,17)),1,1)))</f>
        <v>2698.2361604019998</v>
      </c>
      <c r="V22" s="201">
        <f ca="1">SUMPRODUCT(OFFSET(tShpAxU,0,0,1,18),N(OFFSET(tpSurvAxU,0,COLUMN(OFFSET(tpSurvAxU,0,17,1,1))-COLUMN(OFFSET(tpSurvAxU,0,0,1,18)),1,1)))</f>
        <v>2846.7323815129994</v>
      </c>
      <c r="W22" s="201">
        <f ca="1">SUMPRODUCT(OFFSET(tShpAxU,0,0,1,19),N(OFFSET(tpSurvAxU,0,COLUMN(OFFSET(tpSurvAxU,0,18,1,1))-COLUMN(OFFSET(tpSurvAxU,0,0,1,19)),1,1)))</f>
        <v>2995.1914358869999</v>
      </c>
      <c r="X22" s="201">
        <f ca="1">SUMPRODUCT(OFFSET(tShpAxU,0,0,1,20),N(OFFSET(tpSurvAxU,0,COLUMN(OFFSET(tpSurvAxU,0,19,1,1))-COLUMN(OFFSET(tpSurvAxU,0,0,1,20)),1,1)))</f>
        <v>3140.9105179369999</v>
      </c>
      <c r="Y22" s="201">
        <f ca="1">SUMPRODUCT(OFFSET(tShpAxU,0,0,1,21),N(OFFSET(tpSurvAxU,0,COLUMN(OFFSET(tpSurvAxU,0,20,1,1))-COLUMN(OFFSET(tpSurvAxU,0,0,1,21)),1,1)))</f>
        <v>3282.3982038679997</v>
      </c>
      <c r="Z22" s="201">
        <f ca="1">SUMPRODUCT(OFFSET(tShpAxU,0,0,1,22),N(OFFSET(tpSurvAxU,0,COLUMN(OFFSET(tpSurvAxU,0,21,1,1))-COLUMN(OFFSET(tpSurvAxU,0,0,1,22)),1,1)))</f>
        <v>3418.4322133730002</v>
      </c>
      <c r="AA22" s="201">
        <f ca="1">SUMPRODUCT(OFFSET(tShpAxU,0,0,1,23),N(OFFSET(tpSurvAxU,0,COLUMN(OFFSET(tpSurvAxU,0,22,1,1))-COLUMN(OFFSET(tpSurvAxU,0,0,1,23)),1,1)))</f>
        <v>3548.5088876229997</v>
      </c>
      <c r="AB22" s="201">
        <f ca="1">SUMPRODUCT(OFFSET(tShpAxU,0,0,1,24),N(OFFSET(tpSurvAxU,0,COLUMN(OFFSET(tpSurvAxU,0,23,1,1))-COLUMN(OFFSET(tpSurvAxU,0,0,1,24)),1,1)))</f>
        <v>3674.5260333809997</v>
      </c>
      <c r="AC22" s="201">
        <f ca="1">SUMPRODUCT(OFFSET(tShpAxU,0,0,1,25),N(OFFSET(tpSurvAxU,0,COLUMN(OFFSET(tpSurvAxU,0,24,1,1))-COLUMN(OFFSET(tpSurvAxU,0,0,1,25)),1,1)))</f>
        <v>3797.3788997090001</v>
      </c>
      <c r="AD22" s="201">
        <f ca="1">SUMPRODUCT(OFFSET(tShpAxU,0,0,1,26),N(OFFSET(tpSurvAxU,0,COLUMN(OFFSET(tpSurvAxU,0,25,1,1))-COLUMN(OFFSET(tpSurvAxU,0,0,1,26)),1,1)))</f>
        <v>3917.3947089359999</v>
      </c>
      <c r="AE22" s="201">
        <f ca="1">SUMPRODUCT(OFFSET(tShpAxU,0,0,1,27),N(OFFSET(tpSurvAxU,0,COLUMN(OFFSET(tpSurvAxU,0,26,1,1))-COLUMN(OFFSET(tpSurvAxU,0,0,1,27)),1,1)))</f>
        <v>4035.2131057000001</v>
      </c>
      <c r="AF22" s="201">
        <f ca="1">SUMPRODUCT(OFFSET(tShpAxU,0,0,1,28),N(OFFSET(tpSurvAxU,0,COLUMN(OFFSET(tpSurvAxU,0,27,1,1))-COLUMN(OFFSET(tpSurvAxU,0,0,1,28)),1,1)))</f>
        <v>4150.1563393569995</v>
      </c>
      <c r="AG22" s="201">
        <f ca="1">SUMPRODUCT(OFFSET(tShpAxU,0,0,1,29),N(OFFSET(tpSurvAxU,0,COLUMN(OFFSET(tpSurvAxU,0,28,1,1))-COLUMN(OFFSET(tpSurvAxU,0,0,1,29)),1,1)))</f>
        <v>4262.5004841269993</v>
      </c>
      <c r="AH22" s="201">
        <f ca="1">SUMPRODUCT(OFFSET(tShpAxU,0,0,1,30),N(OFFSET(tpSurvAxU,0,COLUMN(OFFSET(tpSurvAxU,0,29,1,1))-COLUMN(OFFSET(tpSurvAxU,0,0,1,30)),1,1)))</f>
        <v>4372.6072471419993</v>
      </c>
      <c r="AI22" s="201">
        <f ca="1">SUMPRODUCT(OFFSET(tShpAxU,0,0,1,31),N(OFFSET(tpSurvAxU,0,COLUMN(OFFSET(tpSurvAxU,0,30,1,1))-COLUMN(OFFSET(tpSurvAxU,0,0,1,31)),1,1)))</f>
        <v>4480.1315675569995</v>
      </c>
      <c r="AJ22" s="201">
        <f ca="1">SUMPRODUCT(OFFSET(tShpAxU,0,0,1,32),N(OFFSET(tpSurvAxU,0,COLUMN(OFFSET(tpSurvAxU,0,31,1,1))-COLUMN(OFFSET(tpSurvAxU,0,0,1,32)),1,1)))</f>
        <v>4585.9636328159995</v>
      </c>
      <c r="AK22" s="201">
        <f ca="1">SUMPRODUCT(OFFSET(tShpAxU,0,0,1,33),N(OFFSET(tpSurvAxU,0,COLUMN(OFFSET(tpSurvAxU,0,32,1,1))-COLUMN(OFFSET(tpSurvAxU,0,0,1,33)),1,1)))</f>
        <v>4689.3825282469988</v>
      </c>
      <c r="AL22" s="201">
        <f ca="1">SUMPRODUCT(OFFSET(tShpAxU,0,0,1,34),N(OFFSET(tpSurvAxU,0,COLUMN(OFFSET(tpSurvAxU,0,33,1,1))-COLUMN(OFFSET(tpSurvAxU,0,0,1,34)),1,1)))</f>
        <v>4562.6661038020002</v>
      </c>
      <c r="AM22" s="201">
        <f ca="1">SUMPRODUCT(OFFSET(tShpAxU,0,0,1,35),N(OFFSET(tpSurvAxU,0,COLUMN(OFFSET(tpSurvAxU,0,34,1,1))-COLUMN(OFFSET(tpSurvAxU,0,0,1,35)),1,1)))</f>
        <v>4431.4640640179996</v>
      </c>
      <c r="AN22" s="201">
        <f ca="1">SUMPRODUCT(OFFSET(tShpAxU,0,0,1,36),N(OFFSET(tpSurvAxU,0,COLUMN(OFFSET(tpSurvAxU,0,35,1,1))-COLUMN(OFFSET(tpSurvAxU,0,0,1,36)),1,1)))</f>
        <v>4295.7086149639999</v>
      </c>
      <c r="AO22" s="201">
        <f ca="1">SUMPRODUCT(OFFSET(tShpAxU,0,0,1,37),N(OFFSET(tpSurvAxU,0,COLUMN(OFFSET(tpSurvAxU,0,36,1,1))-COLUMN(OFFSET(tpSurvAxU,0,0,1,37)),1,1)))</f>
        <v>4155.2418449029992</v>
      </c>
      <c r="AP22" s="201">
        <f ca="1">SUMPRODUCT(OFFSET(tShpAxU,0,0,1,38),N(OFFSET(tpSurvAxU,0,COLUMN(OFFSET(tpSurvAxU,0,37,1,1))-COLUMN(OFFSET(tpSurvAxU,0,0,1,38)),1,1)))</f>
        <v>4010.4762349989996</v>
      </c>
      <c r="AQ22" s="201">
        <f ca="1">SUMPRODUCT(OFFSET(tShpAxU,0,0,1,39),N(OFFSET(tpSurvAxU,0,COLUMN(OFFSET(tpSurvAxU,0,38,1,1))-COLUMN(OFFSET(tpSurvAxU,0,0,1,39)),1,1)))</f>
        <v>3861.8781007060002</v>
      </c>
      <c r="AR22" s="201">
        <f ca="1">SUMPRODUCT(OFFSET(tShpAxU,0,0,1,40),N(OFFSET(tpSurvAxU,0,COLUMN(OFFSET(tpSurvAxU,0,39,1,1))-COLUMN(OFFSET(tpSurvAxU,0,0,1,40)),1,1)))</f>
        <v>3710.2685000259999</v>
      </c>
      <c r="AS22" s="201">
        <f ca="1">SUMPRODUCT(OFFSET(tShpAxU,0,0,1,41),N(OFFSET(tpSurvAxU,0,COLUMN(OFFSET(tpSurvAxU,0,40,1,1))-COLUMN(OFFSET(tpSurvAxU,0,0,1,41)),1,1)))</f>
        <v>3557.0280254299996</v>
      </c>
      <c r="AT22" s="201">
        <f ca="1">SUMPRODUCT(OFFSET(tShpAxU,0,0,1,42),N(OFFSET(tpSurvAxU,0,COLUMN(OFFSET(tpSurvAxU,0,41,1,1))-COLUMN(OFFSET(tpSurvAxU,0,0,1,42)),1,1)))</f>
        <v>3402.6178565710006</v>
      </c>
      <c r="AU22" s="201">
        <f ca="1">SUMPRODUCT(OFFSET(tShpAxU,0,0,1,43),N(OFFSET(tpSurvAxU,0,COLUMN(OFFSET(tpSurvAxU,0,42,1,1))-COLUMN(OFFSET(tpSurvAxU,0,0,1,43)),1,1)))</f>
        <v>3247.5089130230003</v>
      </c>
      <c r="AV22" s="201">
        <f ca="1">SUMPRODUCT(OFFSET(tShpAxU,0,0,1,44),N(OFFSET(tpSurvAxU,0,COLUMN(OFFSET(tpSurvAxU,0,43,1,1))-COLUMN(OFFSET(tpSurvAxU,0,0,1,44)),1,1)))</f>
        <v>3092.4263543500001</v>
      </c>
      <c r="AW22" s="201">
        <f ca="1">SUMPRODUCT(OFFSET(tShpAxU,0,0,1,45),N(OFFSET(tpSurvAxU,0,COLUMN(OFFSET(tpSurvAxU,0,44,1,1))-COLUMN(OFFSET(tpSurvAxU,0,0,1,45)),1,1)))</f>
        <v>2938.7100747349996</v>
      </c>
      <c r="AX22" s="201">
        <f ca="1">SUMPRODUCT(OFFSET(tShpAxU,0,0,1,46),N(OFFSET(tpSurvAxU,0,COLUMN(OFFSET(tpSurvAxU,0,45,1,1))-COLUMN(OFFSET(tpSurvAxU,0,0,1,46)),1,1)))</f>
        <v>2786.6754136179998</v>
      </c>
      <c r="AY22" s="201">
        <f ca="1">SUMPRODUCT(OFFSET(tShpAxU,0,0,1,47),N(OFFSET(tpSurvAxU,0,COLUMN(OFFSET(tpSurvAxU,0,46,1,1))-COLUMN(OFFSET(tpSurvAxU,0,0,1,47)),1,1)))</f>
        <v>2637.2641815339998</v>
      </c>
      <c r="AZ22" s="201">
        <f ca="1">SUMPRODUCT(OFFSET(tShpAxU,0,0,1,48),N(OFFSET(tpSurvAxU,0,COLUMN(OFFSET(tpSurvAxU,0,47,1,1))-COLUMN(OFFSET(tpSurvAxU,0,0,1,48)),1,1)))</f>
        <v>2490.5996617629999</v>
      </c>
      <c r="BA22" s="201">
        <f ca="1">SUMPRODUCT(OFFSET(tShpAxU,0,0,1,49),N(OFFSET(tpSurvAxU,0,COLUMN(OFFSET(tpSurvAxU,0,48,1,1))-COLUMN(OFFSET(tpSurvAxU,0,0,1,49)),1,1)))</f>
        <v>2347.2978161520005</v>
      </c>
      <c r="BB22" s="201">
        <f ca="1">SUMPRODUCT(OFFSET(tShpAxU,0,0,1,50),N(OFFSET(tpSurvAxU,0,COLUMN(OFFSET(tpSurvAxU,0,49,1,1))-COLUMN(OFFSET(tpSurvAxU,0,0,1,50)),1,1)))</f>
        <v>2207.1793320520001</v>
      </c>
      <c r="BC22" s="201">
        <f ca="1">SUMPRODUCT(OFFSET(tShpAxU,0,0,1,51),N(OFFSET(tpSurvAxU,0,COLUMN(OFFSET(tpSurvAxU,0,50,1,1))-COLUMN(OFFSET(tpSurvAxU,0,0,1,51)),1,1)))</f>
        <v>2071.6436531889999</v>
      </c>
      <c r="BD22" s="201">
        <f ca="1">SUMPRODUCT(OFFSET(tShpAxU,0,0,1,52),N(OFFSET(tpSurvAxU,0,COLUMN(OFFSET(tpSurvAxU,0,51,1,1))-COLUMN(OFFSET(tpSurvAxU,0,0,1,52)),1,1)))</f>
        <v>1940.6713590860002</v>
      </c>
      <c r="BE22" s="201">
        <f ca="1">SUMPRODUCT(OFFSET(tShpAxU,0,0,1,53),N(OFFSET(tpSurvAxU,0,COLUMN(OFFSET(tpSurvAxU,0,52,1,1))-COLUMN(OFFSET(tpSurvAxU,0,0,1,53)),1,1)))</f>
        <v>1814.1918259459997</v>
      </c>
      <c r="BF22" s="201">
        <f ca="1">SUMPRODUCT(OFFSET(tShpAxU,0,0,1,54),N(OFFSET(tpSurvAxU,0,COLUMN(OFFSET(tpSurvAxU,0,53,1,1))-COLUMN(OFFSET(tpSurvAxU,0,0,1,54)),1,1)))</f>
        <v>1692.9140149960001</v>
      </c>
      <c r="BG22" s="201">
        <f ca="1">SUMPRODUCT(OFFSET(tShpAxU,0,0,1,55),N(OFFSET(tpSurvAxU,0,COLUMN(OFFSET(tpSurvAxU,0,54,1,1))-COLUMN(OFFSET(tpSurvAxU,0,0,1,55)),1,1)))</f>
        <v>1576.671483547</v>
      </c>
      <c r="BH22" s="201">
        <f ca="1">SUMPRODUCT(OFFSET(tShpAxU,0,0,1,56),N(OFFSET(tpSurvAxU,0,COLUMN(OFFSET(tpSurvAxU,0,55,1,1))-COLUMN(OFFSET(tpSurvAxU,0,0,1,56)),1,1)))</f>
        <v>1465.6922367539999</v>
      </c>
      <c r="BI22" s="201">
        <f ca="1">SUMPRODUCT(OFFSET(tShpAxU,0,0,1,57),N(OFFSET(tpSurvAxU,0,COLUMN(OFFSET(tpSurvAxU,0,56,1,1))-COLUMN(OFFSET(tpSurvAxU,0,0,1,57)),1,1)))</f>
        <v>1360.5505831590003</v>
      </c>
      <c r="BJ22" s="201">
        <f ca="1">SUMPRODUCT(OFFSET(tShpAxU,0,0,1,58),N(OFFSET(tpSurvAxU,0,COLUMN(OFFSET(tpSurvAxU,0,57,1,1))-COLUMN(OFFSET(tpSurvAxU,0,0,1,58)),1,1)))</f>
        <v>1260.0292687639997</v>
      </c>
      <c r="BK22" s="201">
        <f ca="1">SUMPRODUCT(OFFSET(tShpAxU,0,0,1,59),N(OFFSET(tpSurvAxU,0,COLUMN(OFFSET(tpSurvAxU,0,58,1,1))-COLUMN(OFFSET(tpSurvAxU,0,0,1,59)),1,1)))</f>
        <v>1164.4378810829999</v>
      </c>
      <c r="BL22" s="201">
        <f ca="1">SUMPRODUCT(OFFSET(tShpAxU,0,0,1,60),N(OFFSET(tpSurvAxU,0,COLUMN(OFFSET(tpSurvAxU,0,59,1,1))-COLUMN(OFFSET(tpSurvAxU,0,0,1,60)),1,1)))</f>
        <v>1072.698069926</v>
      </c>
      <c r="BM22" s="201">
        <f ca="1">SUMPRODUCT(OFFSET(tShpAxU,0,0,1,61),N(OFFSET(tpSurvAxU,0,COLUMN(OFFSET(tpSurvAxU,0,60,1,1))-COLUMN(OFFSET(tpSurvAxU,0,0,1,61)),1,1)))</f>
        <v>986.72047028999987</v>
      </c>
      <c r="BN22" s="201">
        <f ca="1">SUMPRODUCT(OFFSET(tShpAxU,0,0,1,62),N(OFFSET(tpSurvAxU,0,COLUMN(OFFSET(tpSurvAxU,0,61,1,1))-COLUMN(OFFSET(tpSurvAxU,0,0,1,62)),1,1)))</f>
        <v>906.10831457000006</v>
      </c>
      <c r="BO22" s="201">
        <f ca="1">SUMPRODUCT(OFFSET(tShpAxU,0,0,1,63),N(OFFSET(tpSurvAxU,0,COLUMN(OFFSET(tpSurvAxU,0,62,1,1))-COLUMN(OFFSET(tpSurvAxU,0,0,1,63)),1,1)))</f>
        <v>830.34154003900017</v>
      </c>
      <c r="BP22" s="201">
        <f ca="1">SUMPRODUCT(OFFSET(tShpAxU,0,0,1,64),N(OFFSET(tpSurvAxU,0,COLUMN(OFFSET(tpSurvAxU,0,63,1,1))-COLUMN(OFFSET(tpSurvAxU,0,0,1,64)),1,1)))</f>
        <v>759.87372074799998</v>
      </c>
      <c r="BQ22" s="201">
        <f ca="1">SUMPRODUCT(OFFSET(tShpAxU,0,0,1,65),N(OFFSET(tpSurvAxU,0,COLUMN(OFFSET(tpSurvAxU,0,64,1,1))-COLUMN(OFFSET(tpSurvAxU,0,0,1,65)),1,1)))</f>
        <v>693.40262174800012</v>
      </c>
      <c r="BR22" s="201">
        <f ca="1">SUMPRODUCT(OFFSET(tShpAxU,0,0,1,66),N(OFFSET(tpSurvAxU,0,COLUMN(OFFSET(tpSurvAxU,0,65,1,1))-COLUMN(OFFSET(tpSurvAxU,0,0,1,66)),1,1)))</f>
        <v>631.9487077660001</v>
      </c>
      <c r="BS22" s="201">
        <f ca="1">SUMPRODUCT(OFFSET(tShpAxU,0,0,1,67),N(OFFSET(tpSurvAxU,0,COLUMN(OFFSET(tpSurvAxU,0,66,1,1))-COLUMN(OFFSET(tpSurvAxU,0,0,1,67)),1,1)))</f>
        <v>574.51464314400005</v>
      </c>
      <c r="BT22" s="201">
        <f ca="1">SUMPRODUCT(OFFSET(tShpAxU,0,0,1,68),N(OFFSET(tpSurvAxU,0,COLUMN(OFFSET(tpSurvAxU,0,67,1,1))-COLUMN(OFFSET(tpSurvAxU,0,0,1,68)),1,1)))</f>
        <v>520.79956339600005</v>
      </c>
      <c r="BU22" s="201">
        <f ca="1">SUMPRODUCT(OFFSET(tShpAxU,0,0,1,69),N(OFFSET(tpSurvAxU,0,COLUMN(OFFSET(tpSurvAxU,0,68,1,1))-COLUMN(OFFSET(tpSurvAxU,0,0,1,69)),1,1)))</f>
        <v>470.8193567969999</v>
      </c>
      <c r="BV22" s="201">
        <f ca="1">SUMPRODUCT(OFFSET(tShpAxU,0,0,1,70),N(OFFSET(tpSurvAxU,0,COLUMN(OFFSET(tpSurvAxU,0,69,1,1))-COLUMN(OFFSET(tpSurvAxU,0,0,1,70)),1,1)))</f>
        <v>424.73110679500002</v>
      </c>
      <c r="BW22" s="201">
        <f ca="1">SUMPRODUCT(OFFSET(tShpAxU,0,0,1,71),N(OFFSET(tpSurvAxU,0,COLUMN(OFFSET(tpSurvAxU,0,70,1,1))-COLUMN(OFFSET(tpSurvAxU,0,0,1,71)),1,1)))</f>
        <v>381.89516469099999</v>
      </c>
      <c r="BX22" s="201">
        <f ca="1">SUMPRODUCT(OFFSET(tShpAxU,0,0,1,72),N(OFFSET(tpSurvAxU,0,COLUMN(OFFSET(tpSurvAxU,0,71,1,1))-COLUMN(OFFSET(tpSurvAxU,0,0,1,72)),1,1)))</f>
        <v>341.61580365399999</v>
      </c>
      <c r="BY22" s="201">
        <f ca="1">SUMPRODUCT(OFFSET(tShpAxU,0,0,1,73),N(OFFSET(tpSurvAxU,0,COLUMN(OFFSET(tpSurvAxU,0,72,1,1))-COLUMN(OFFSET(tpSurvAxU,0,0,1,73)),1,1)))</f>
        <v>303.94300340300003</v>
      </c>
      <c r="BZ22" s="201">
        <f ca="1">SUMPRODUCT(OFFSET(tShpAxU,0,0,1,74),N(OFFSET(tpSurvAxU,0,COLUMN(OFFSET(tpSurvAxU,0,73,1,1))-COLUMN(OFFSET(tpSurvAxU,0,0,1,74)),1,1)))</f>
        <v>268.98457152200001</v>
      </c>
      <c r="CA22" s="201">
        <f ca="1">SUMPRODUCT(OFFSET(tShpAxU,0,0,1,75),N(OFFSET(tpSurvAxU,0,COLUMN(OFFSET(tpSurvAxU,0,74,1,1))-COLUMN(OFFSET(tpSurvAxU,0,0,1,75)),1,1)))</f>
        <v>237.17587498700001</v>
      </c>
      <c r="CB22" s="201">
        <f ca="1">SUMPRODUCT(OFFSET(tShpAxU,0,0,1,76),N(OFFSET(tpSurvAxU,0,COLUMN(OFFSET(tpSurvAxU,0,75,1,1))-COLUMN(OFFSET(tpSurvAxU,0,0,1,76)),1,1)))</f>
        <v>207.79245759300002</v>
      </c>
      <c r="CC22" s="201">
        <f ca="1">SUMPRODUCT(OFFSET(tShpAxU,0,0,1,77),N(OFFSET(tpSurvAxU,0,COLUMN(OFFSET(tpSurvAxU,0,76,1,1))-COLUMN(OFFSET(tpSurvAxU,0,0,1,77)),1,1)))</f>
        <v>180.48917491900002</v>
      </c>
      <c r="CD22" s="201">
        <f ca="1">SUMPRODUCT(OFFSET(tShpAxU,0,0,1,78),N(OFFSET(tpSurvAxU,0,COLUMN(OFFSET(tpSurvAxU,0,77,1,1))-COLUMN(OFFSET(tpSurvAxU,0,0,1,78)),1,1)))</f>
        <v>155.39013667400002</v>
      </c>
      <c r="CE22" s="201">
        <f ca="1">SUMPRODUCT(OFFSET(tShpAxU,0,0,1,79),N(OFFSET(tpSurvAxU,0,COLUMN(OFFSET(tpSurvAxU,0,78,1,1))-COLUMN(OFFSET(tpSurvAxU,0,0,1,79)),1,1)))</f>
        <v>132.54066749300003</v>
      </c>
      <c r="CF22" s="201">
        <f ca="1">SUMPRODUCT(OFFSET(tShpAxU,0,0,1,80),N(OFFSET(tpSurvAxU,0,COLUMN(OFFSET(tpSurvAxU,0,79,1,1))-COLUMN(OFFSET(tpSurvAxU,0,0,1,80)),1,1)))</f>
        <v>111.83191844</v>
      </c>
      <c r="CG22" s="201">
        <f ca="1">SUMPRODUCT(OFFSET(tShpAxU,0,0,1,81),N(OFFSET(tpSurvAxU,0,COLUMN(OFFSET(tpSurvAxU,0,80,1,1))-COLUMN(OFFSET(tpSurvAxU,0,0,1,81)),1,1)))</f>
        <v>93.145467902999997</v>
      </c>
      <c r="CH22" s="201">
        <f ca="1">SUMPRODUCT(OFFSET(tShpAxU,0,0,1,82),N(OFFSET(tpSurvAxU,0,COLUMN(OFFSET(tpSurvAxU,0,81,1,1))-COLUMN(OFFSET(tpSurvAxU,0,0,1,82)),1,1)))</f>
        <v>76.24574765700001</v>
      </c>
      <c r="CI22" s="201">
        <f ca="1">SUMPRODUCT(OFFSET(tShpAxU,0,0,1,83),N(OFFSET(tpSurvAxU,0,COLUMN(OFFSET(tpSurvAxU,0,82,1,1))-COLUMN(OFFSET(tpSurvAxU,0,0,1,83)),1,1)))</f>
        <v>61.527552746000005</v>
      </c>
      <c r="CJ22" s="201">
        <f ca="1">SUMPRODUCT(OFFSET(tShpAxU,0,0,1,84),N(OFFSET(tpSurvAxU,0,COLUMN(OFFSET(tpSurvAxU,0,83,1,1))-COLUMN(OFFSET(tpSurvAxU,0,0,1,84)),1,1)))</f>
        <v>48.651134175000003</v>
      </c>
      <c r="CK22" s="201">
        <f ca="1">SUMPRODUCT(OFFSET(tShpAxU,0,0,1,85),N(OFFSET(tpSurvAxU,0,COLUMN(OFFSET(tpSurvAxU,0,84,1,1))-COLUMN(OFFSET(tpSurvAxU,0,0,1,85)),1,1)))</f>
        <v>37.478827330000001</v>
      </c>
      <c r="CL22" s="201">
        <f ca="1">SUMPRODUCT(OFFSET(tShpAxU,0,0,1,86),N(OFFSET(tpSurvAxU,0,COLUMN(OFFSET(tpSurvAxU,0,85,1,1))-COLUMN(OFFSET(tpSurvAxU,0,0,1,86)),1,1)))</f>
        <v>27.736002591000002</v>
      </c>
      <c r="CM22" s="201">
        <f ca="1">SUMPRODUCT(OFFSET(tShpAxU,0,0,1,87),N(OFFSET(tpSurvAxU,0,COLUMN(OFFSET(tpSurvAxU,0,86,1,1))-COLUMN(OFFSET(tpSurvAxU,0,0,1,87)),1,1)))</f>
        <v>19.441569338000001</v>
      </c>
      <c r="CN22" s="201">
        <f ca="1">SUMPRODUCT(OFFSET(tShpAxU,0,0,1,88),N(OFFSET(tpSurvAxU,0,COLUMN(OFFSET(tpSurvAxU,0,87,1,1))-COLUMN(OFFSET(tpSurvAxU,0,0,1,88)),1,1)))</f>
        <v>12.934413464</v>
      </c>
      <c r="CO22" s="201">
        <f ca="1">SUMPRODUCT(OFFSET(tShpAxU,0,0,1,89),N(OFFSET(tpSurvAxU,0,COLUMN(OFFSET(tpSurvAxU,0,88,1,1))-COLUMN(OFFSET(tpSurvAxU,0,0,1,89)),1,1)))</f>
        <v>7.7354849320000003</v>
      </c>
      <c r="CP22" s="201">
        <f ca="1">SUMPRODUCT(OFFSET(tShpAxU,0,0,1,90),N(OFFSET(tpSurvAxU,0,COLUMN(OFFSET(tpSurvAxU,0,89,1,1))-COLUMN(OFFSET(tpSurvAxU,0,0,1,90)),1,1)))</f>
        <v>3.7705964640000005</v>
      </c>
      <c r="CQ22" s="201">
        <f ca="1">SUMPRODUCT(OFFSET(tShpAxU,0,0,1,91),N(OFFSET(tpSurvAxU,0,COLUMN(OFFSET(tpSurvAxU,0,90,1,1))-COLUMN(OFFSET(tpSurvAxU,0,0,1,91)),1,1)))</f>
        <v>1.3528672800000001</v>
      </c>
      <c r="CR22" s="202">
        <f ca="1">SUMPRODUCT(OFFSET(tShpAxU,0,0,1,92),N(OFFSET(tpSurvAxU,0,COLUMN(OFFSET(tpSurvAxU,0,91,1,1))-COLUMN(OFFSET(tpSurvAxU,0,0,1,92)),1,1)))</f>
        <v>0</v>
      </c>
      <c r="CS22" s="126"/>
    </row>
    <row r="23" spans="2:97">
      <c r="B23" s="126"/>
      <c r="C23" s="23" t="str">
        <f>INDEX(_pcName,3)</f>
        <v>Centrif Housed</v>
      </c>
      <c r="D23" s="16" t="s">
        <v>37</v>
      </c>
      <c r="E23" s="200">
        <f ca="1">SUMPRODUCT(OFFSET(tShpCnH,0,0,1,1),N(OFFSET(tpSurvCnH,0,COLUMN(OFFSET(tpSurvCnH,0,0,1,1))-COLUMN(OFFSET(tpSurvCnH,0,0,1,1)),1,1)))</f>
        <v>97.232854999999986</v>
      </c>
      <c r="F23" s="201">
        <f ca="1">SUMPRODUCT(OFFSET(tShpCnH,0,0,1,2),N(OFFSET(tpSurvCnH,0,COLUMN(OFFSET(tpSurvCnH,0,1,1,1))-COLUMN(OFFSET(tpSurvCnH,0,0,1,2)),1,1)))</f>
        <v>196.49034999999998</v>
      </c>
      <c r="G23" s="201">
        <f ca="1">SUMPRODUCT(OFFSET(tShpCnH,0,0,1,3),N(OFFSET(tpSurvCnH,0,COLUMN(OFFSET(tpSurvCnH,0,2,1,1))-COLUMN(OFFSET(tpSurvCnH,0,0,1,3)),1,1)))</f>
        <v>295.27517</v>
      </c>
      <c r="H23" s="201">
        <f ca="1">SUMPRODUCT(OFFSET(tShpCnH,0,0,1,4),N(OFFSET(tpSurvCnH,0,COLUMN(OFFSET(tpSurvCnH,0,3,1,1))-COLUMN(OFFSET(tpSurvCnH,0,0,1,4)),1,1)))</f>
        <v>393.97026499999998</v>
      </c>
      <c r="I23" s="201">
        <f ca="1">SUMPRODUCT(OFFSET(tShpCnH,0,0,1,5),N(OFFSET(tpSurvCnH,0,COLUMN(OFFSET(tpSurvCnH,0,4,1,1))-COLUMN(OFFSET(tpSurvCnH,0,0,1,5)),1,1)))</f>
        <v>492.541965</v>
      </c>
      <c r="J23" s="201">
        <f ca="1">SUMPRODUCT(OFFSET(tShpCnH,0,0,1,6),N(OFFSET(tpSurvCnH,0,COLUMN(OFFSET(tpSurvCnH,0,5,1,1))-COLUMN(OFFSET(tpSurvCnH,0,0,1,6)),1,1)))</f>
        <v>590.81914499999993</v>
      </c>
      <c r="K23" s="201">
        <f ca="1">SUMPRODUCT(OFFSET(tShpCnH,0,0,1,7),N(OFFSET(tpSurvCnH,0,COLUMN(OFFSET(tpSurvCnH,0,6,1,1))-COLUMN(OFFSET(tpSurvCnH,0,0,1,7)),1,1)))</f>
        <v>688.42812072499999</v>
      </c>
      <c r="L23" s="201">
        <f ca="1">SUMPRODUCT(OFFSET(tShpCnH,0,0,1,8),N(OFFSET(tpSurvCnH,0,COLUMN(OFFSET(tpSurvCnH,0,7,1,1))-COLUMN(OFFSET(tpSurvCnH,0,0,1,8)),1,1)))</f>
        <v>785.63218069700008</v>
      </c>
      <c r="M23" s="201">
        <f ca="1">SUMPRODUCT(OFFSET(tShpCnH,0,0,1,9),N(OFFSET(tpSurvCnH,0,COLUMN(OFFSET(tpSurvCnH,0,8,1,1))-COLUMN(OFFSET(tpSurvCnH,0,0,1,9)),1,1)))</f>
        <v>881.72755459450002</v>
      </c>
      <c r="N23" s="201">
        <f ca="1">SUMPRODUCT(OFFSET(tShpCnH,0,0,1,10),N(OFFSET(tpSurvCnH,0,COLUMN(OFFSET(tpSurvCnH,0,9,1,1))-COLUMN(OFFSET(tpSurvCnH,0,0,1,10)),1,1)))</f>
        <v>976.45008615300003</v>
      </c>
      <c r="O23" s="201">
        <f ca="1">SUMPRODUCT(OFFSET(tShpCnH,0,0,1,11),N(OFFSET(tpSurvCnH,0,COLUMN(OFFSET(tpSurvCnH,0,10,1,1))-COLUMN(OFFSET(tpSurvCnH,0,0,1,11)),1,1)))</f>
        <v>1069.4963407035</v>
      </c>
      <c r="P23" s="201">
        <f ca="1">SUMPRODUCT(OFFSET(tShpCnH,0,0,1,12),N(OFFSET(tpSurvCnH,0,COLUMN(OFFSET(tpSurvCnH,0,11,1,1))-COLUMN(OFFSET(tpSurvCnH,0,0,1,12)),1,1)))</f>
        <v>1160.978496918</v>
      </c>
      <c r="Q23" s="201">
        <f ca="1">SUMPRODUCT(OFFSET(tShpCnH,0,0,1,13),N(OFFSET(tpSurvCnH,0,COLUMN(OFFSET(tpSurvCnH,0,12,1,1))-COLUMN(OFFSET(tpSurvCnH,0,0,1,13)),1,1)))</f>
        <v>1250.7897692259999</v>
      </c>
      <c r="R23" s="201">
        <f ca="1">SUMPRODUCT(OFFSET(tShpCnH,0,0,1,14),N(OFFSET(tpSurvCnH,0,COLUMN(OFFSET(tpSurvCnH,0,13,1,1))-COLUMN(OFFSET(tpSurvCnH,0,0,1,14)),1,1)))</f>
        <v>1339.7464965084996</v>
      </c>
      <c r="S23" s="201">
        <f ca="1">SUMPRODUCT(OFFSET(tShpCnH,0,0,1,15),N(OFFSET(tpSurvCnH,0,COLUMN(OFFSET(tpSurvCnH,0,14,1,1))-COLUMN(OFFSET(tpSurvCnH,0,0,1,15)),1,1)))</f>
        <v>1428.9641213729999</v>
      </c>
      <c r="T23" s="201">
        <f ca="1">SUMPRODUCT(OFFSET(tShpCnH,0,0,1,16),N(OFFSET(tpSurvCnH,0,COLUMN(OFFSET(tpSurvCnH,0,15,1,1))-COLUMN(OFFSET(tpSurvCnH,0,0,1,16)),1,1)))</f>
        <v>1517.5681821935</v>
      </c>
      <c r="U23" s="201">
        <f ca="1">SUMPRODUCT(OFFSET(tShpCnH,0,0,1,17),N(OFFSET(tpSurvCnH,0,COLUMN(OFFSET(tpSurvCnH,0,16,1,1))-COLUMN(OFFSET(tpSurvCnH,0,0,1,17)),1,1)))</f>
        <v>1605.7003113994999</v>
      </c>
      <c r="V23" s="201">
        <f ca="1">SUMPRODUCT(OFFSET(tShpCnH,0,0,1,18),N(OFFSET(tpSurvCnH,0,COLUMN(OFFSET(tpSurvCnH,0,17,1,1))-COLUMN(OFFSET(tpSurvCnH,0,0,1,18)),1,1)))</f>
        <v>1693.2857043334998</v>
      </c>
      <c r="W23" s="201">
        <f ca="1">SUMPRODUCT(OFFSET(tShpCnH,0,0,1,19),N(OFFSET(tpSurvCnH,0,COLUMN(OFFSET(tpSurvCnH,0,18,1,1))-COLUMN(OFFSET(tpSurvCnH,0,0,1,19)),1,1)))</f>
        <v>1780.8672595350001</v>
      </c>
      <c r="X23" s="201">
        <f ca="1">SUMPRODUCT(OFFSET(tShpCnH,0,0,1,20),N(OFFSET(tpSurvCnH,0,COLUMN(OFFSET(tpSurvCnH,0,19,1,1))-COLUMN(OFFSET(tpSurvCnH,0,0,1,20)),1,1)))</f>
        <v>1866.3170137455002</v>
      </c>
      <c r="Y23" s="201">
        <f ca="1">SUMPRODUCT(OFFSET(tShpCnH,0,0,1,21),N(OFFSET(tpSurvCnH,0,COLUMN(OFFSET(tpSurvCnH,0,20,1,1))-COLUMN(OFFSET(tpSurvCnH,0,0,1,21)),1,1)))</f>
        <v>1949.2508989359997</v>
      </c>
      <c r="Z23" s="201">
        <f ca="1">SUMPRODUCT(OFFSET(tShpCnH,0,0,1,22),N(OFFSET(tpSurvCnH,0,COLUMN(OFFSET(tpSurvCnH,0,21,1,1))-COLUMN(OFFSET(tpSurvCnH,0,0,1,22)),1,1)))</f>
        <v>2029.1383636149997</v>
      </c>
      <c r="AA23" s="201">
        <f ca="1">SUMPRODUCT(OFFSET(tShpCnH,0,0,1,23),N(OFFSET(tpSurvCnH,0,COLUMN(OFFSET(tpSurvCnH,0,22,1,1))-COLUMN(OFFSET(tpSurvCnH,0,0,1,23)),1,1)))</f>
        <v>2105.5988879795004</v>
      </c>
      <c r="AB23" s="201">
        <f ca="1">SUMPRODUCT(OFFSET(tShpCnH,0,0,1,24),N(OFFSET(tpSurvCnH,0,COLUMN(OFFSET(tpSurvCnH,0,23,1,1))-COLUMN(OFFSET(tpSurvCnH,0,0,1,24)),1,1)))</f>
        <v>2179.6200898675002</v>
      </c>
      <c r="AC23" s="201">
        <f ca="1">SUMPRODUCT(OFFSET(tShpCnH,0,0,1,25),N(OFFSET(tpSurvCnH,0,COLUMN(OFFSET(tpSurvCnH,0,24,1,1))-COLUMN(OFFSET(tpSurvCnH,0,0,1,25)),1,1)))</f>
        <v>2251.5139606604994</v>
      </c>
      <c r="AD23" s="201">
        <f ca="1">SUMPRODUCT(OFFSET(tShpCnH,0,0,1,26),N(OFFSET(tpSurvCnH,0,COLUMN(OFFSET(tpSurvCnH,0,25,1,1))-COLUMN(OFFSET(tpSurvCnH,0,0,1,26)),1,1)))</f>
        <v>2321.3760136384994</v>
      </c>
      <c r="AE23" s="201">
        <f ca="1">SUMPRODUCT(OFFSET(tShpCnH,0,0,1,27),N(OFFSET(tpSurvCnH,0,COLUMN(OFFSET(tpSurvCnH,0,26,1,1))-COLUMN(OFFSET(tpSurvCnH,0,0,1,27)),1,1)))</f>
        <v>2389.5578775429999</v>
      </c>
      <c r="AF23" s="201">
        <f ca="1">SUMPRODUCT(OFFSET(tShpCnH,0,0,1,28),N(OFFSET(tpSurvCnH,0,COLUMN(OFFSET(tpSurvCnH,0,27,1,1))-COLUMN(OFFSET(tpSurvCnH,0,0,1,28)),1,1)))</f>
        <v>2455.8181781194999</v>
      </c>
      <c r="AG23" s="201">
        <f ca="1">SUMPRODUCT(OFFSET(tShpCnH,0,0,1,29),N(OFFSET(tpSurvCnH,0,COLUMN(OFFSET(tpSurvCnH,0,28,1,1))-COLUMN(OFFSET(tpSurvCnH,0,0,1,29)),1,1)))</f>
        <v>2520.5763447965001</v>
      </c>
      <c r="AH23" s="201">
        <f ca="1">SUMPRODUCT(OFFSET(tShpCnH,0,0,1,30),N(OFFSET(tpSurvCnH,0,COLUMN(OFFSET(tpSurvCnH,0,29,1,1))-COLUMN(OFFSET(tpSurvCnH,0,0,1,30)),1,1)))</f>
        <v>2583.5753118045</v>
      </c>
      <c r="AI23" s="201">
        <f ca="1">SUMPRODUCT(OFFSET(tShpCnH,0,0,1,31),N(OFFSET(tpSurvCnH,0,COLUMN(OFFSET(tpSurvCnH,0,30,1,1))-COLUMN(OFFSET(tpSurvCnH,0,0,1,31)),1,1)))</f>
        <v>2645.1571743169998</v>
      </c>
      <c r="AJ23" s="201">
        <f ca="1">SUMPRODUCT(OFFSET(tShpCnH,0,0,1,32),N(OFFSET(tpSurvCnH,0,COLUMN(OFFSET(tpSurvCnH,0,31,1,1))-COLUMN(OFFSET(tpSurvCnH,0,0,1,32)),1,1)))</f>
        <v>2705.4500143829991</v>
      </c>
      <c r="AK23" s="201">
        <f ca="1">SUMPRODUCT(OFFSET(tShpCnH,0,0,1,33),N(OFFSET(tpSurvCnH,0,COLUMN(OFFSET(tpSurvCnH,0,32,1,1))-COLUMN(OFFSET(tpSurvCnH,0,0,1,33)),1,1)))</f>
        <v>2764.1926144260001</v>
      </c>
      <c r="AL23" s="201">
        <f ca="1">SUMPRODUCT(OFFSET(tShpCnH,0,0,1,34),N(OFFSET(tpSurvCnH,0,COLUMN(OFFSET(tpSurvCnH,0,33,1,1))-COLUMN(OFFSET(tpSurvCnH,0,0,1,34)),1,1)))</f>
        <v>2685.4704885380002</v>
      </c>
      <c r="AM23" s="201">
        <f ca="1">SUMPRODUCT(OFFSET(tShpCnH,0,0,1,35),N(OFFSET(tpSurvCnH,0,COLUMN(OFFSET(tpSurvCnH,0,34,1,1))-COLUMN(OFFSET(tpSurvCnH,0,0,1,35)),1,1)))</f>
        <v>2603.8268689385</v>
      </c>
      <c r="AN23" s="201">
        <f ca="1">SUMPRODUCT(OFFSET(tShpCnH,0,0,1,36),N(OFFSET(tpSurvCnH,0,COLUMN(OFFSET(tpSurvCnH,0,35,1,1))-COLUMN(OFFSET(tpSurvCnH,0,0,1,36)),1,1)))</f>
        <v>2519.1684512474999</v>
      </c>
      <c r="AO23" s="201">
        <f ca="1">SUMPRODUCT(OFFSET(tShpCnH,0,0,1,37),N(OFFSET(tpSurvCnH,0,COLUMN(OFFSET(tpSurvCnH,0,36,1,1))-COLUMN(OFFSET(tpSurvCnH,0,0,1,37)),1,1)))</f>
        <v>2431.6026166614997</v>
      </c>
      <c r="AP23" s="201">
        <f ca="1">SUMPRODUCT(OFFSET(tShpCnH,0,0,1,38),N(OFFSET(tpSurvCnH,0,COLUMN(OFFSET(tpSurvCnH,0,37,1,1))-COLUMN(OFFSET(tpSurvCnH,0,0,1,38)),1,1)))</f>
        <v>2341.4152248680002</v>
      </c>
      <c r="AQ23" s="201">
        <f ca="1">SUMPRODUCT(OFFSET(tShpCnH,0,0,1,39),N(OFFSET(tpSurvCnH,0,COLUMN(OFFSET(tpSurvCnH,0,38,1,1))-COLUMN(OFFSET(tpSurvCnH,0,0,1,39)),1,1)))</f>
        <v>2248.8324485975004</v>
      </c>
      <c r="AR23" s="201">
        <f ca="1">SUMPRODUCT(OFFSET(tShpCnH,0,0,1,40),N(OFFSET(tpSurvCnH,0,COLUMN(OFFSET(tpSurvCnH,0,39,1,1))-COLUMN(OFFSET(tpSurvCnH,0,0,1,40)),1,1)))</f>
        <v>2154.5493898669997</v>
      </c>
      <c r="AS23" s="201">
        <f ca="1">SUMPRODUCT(OFFSET(tShpCnH,0,0,1,41),N(OFFSET(tpSurvCnH,0,COLUMN(OFFSET(tpSurvCnH,0,40,1,1))-COLUMN(OFFSET(tpSurvCnH,0,0,1,41)),1,1)))</f>
        <v>2059.0693201605</v>
      </c>
      <c r="AT23" s="201">
        <f ca="1">SUMPRODUCT(OFFSET(tShpCnH,0,0,1,42),N(OFFSET(tpSurvCnH,0,COLUMN(OFFSET(tpSurvCnH,0,41,1,1))-COLUMN(OFFSET(tpSurvCnH,0,0,1,42)),1,1)))</f>
        <v>1963.062754995</v>
      </c>
      <c r="AU23" s="201">
        <f ca="1">SUMPRODUCT(OFFSET(tShpCnH,0,0,1,43),N(OFFSET(tpSurvCnH,0,COLUMN(OFFSET(tpSurvCnH,0,42,1,1))-COLUMN(OFFSET(tpSurvCnH,0,0,1,43)),1,1)))</f>
        <v>1866.6735415645001</v>
      </c>
      <c r="AV23" s="201">
        <f ca="1">SUMPRODUCT(OFFSET(tShpCnH,0,0,1,44),N(OFFSET(tpSurvCnH,0,COLUMN(OFFSET(tpSurvCnH,0,43,1,1))-COLUMN(OFFSET(tpSurvCnH,0,0,1,44)),1,1)))</f>
        <v>1770.7598427174999</v>
      </c>
      <c r="AW23" s="201">
        <f ca="1">SUMPRODUCT(OFFSET(tShpCnH,0,0,1,45),N(OFFSET(tpSurvCnH,0,COLUMN(OFFSET(tpSurvCnH,0,44,1,1))-COLUMN(OFFSET(tpSurvCnH,0,0,1,45)),1,1)))</f>
        <v>1675.8068465765</v>
      </c>
      <c r="AX23" s="201">
        <f ca="1">SUMPRODUCT(OFFSET(tShpCnH,0,0,1,46),N(OFFSET(tpSurvCnH,0,COLUMN(OFFSET(tpSurvCnH,0,45,1,1))-COLUMN(OFFSET(tpSurvCnH,0,0,1,46)),1,1)))</f>
        <v>1582.3444847719995</v>
      </c>
      <c r="AY23" s="201">
        <f ca="1">SUMPRODUCT(OFFSET(tShpCnH,0,0,1,47),N(OFFSET(tpSurvCnH,0,COLUMN(OFFSET(tpSurvCnH,0,46,1,1))-COLUMN(OFFSET(tpSurvCnH,0,0,1,47)),1,1)))</f>
        <v>1490.40825466</v>
      </c>
      <c r="AZ23" s="201">
        <f ca="1">SUMPRODUCT(OFFSET(tShpCnH,0,0,1,48),N(OFFSET(tpSurvCnH,0,COLUMN(OFFSET(tpSurvCnH,0,47,1,1))-COLUMN(OFFSET(tpSurvCnH,0,0,1,48)),1,1)))</f>
        <v>1400.1592623434999</v>
      </c>
      <c r="BA23" s="201">
        <f ca="1">SUMPRODUCT(OFFSET(tShpCnH,0,0,1,49),N(OFFSET(tpSurvCnH,0,COLUMN(OFFSET(tpSurvCnH,0,48,1,1))-COLUMN(OFFSET(tpSurvCnH,0,0,1,49)),1,1)))</f>
        <v>1312.638535179</v>
      </c>
      <c r="BB23" s="201">
        <f ca="1">SUMPRODUCT(OFFSET(tShpCnH,0,0,1,50),N(OFFSET(tpSurvCnH,0,COLUMN(OFFSET(tpSurvCnH,0,49,1,1))-COLUMN(OFFSET(tpSurvCnH,0,0,1,50)),1,1)))</f>
        <v>1227.1720604279999</v>
      </c>
      <c r="BC23" s="201">
        <f ca="1">SUMPRODUCT(OFFSET(tShpCnH,0,0,1,51),N(OFFSET(tpSurvCnH,0,COLUMN(OFFSET(tpSurvCnH,0,50,1,1))-COLUMN(OFFSET(tpSurvCnH,0,0,1,51)),1,1)))</f>
        <v>1144.7171440484999</v>
      </c>
      <c r="BD23" s="201">
        <f ca="1">SUMPRODUCT(OFFSET(tShpCnH,0,0,1,52),N(OFFSET(tpSurvCnH,0,COLUMN(OFFSET(tpSurvCnH,0,51,1,1))-COLUMN(OFFSET(tpSurvCnH,0,0,1,52)),1,1)))</f>
        <v>1065.2512856374999</v>
      </c>
      <c r="BE23" s="201">
        <f ca="1">SUMPRODUCT(OFFSET(tShpCnH,0,0,1,53),N(OFFSET(tpSurvCnH,0,COLUMN(OFFSET(tpSurvCnH,0,52,1,1))-COLUMN(OFFSET(tpSurvCnH,0,0,1,53)),1,1)))</f>
        <v>989.3256183064999</v>
      </c>
      <c r="BF23" s="201">
        <f ca="1">SUMPRODUCT(OFFSET(tShpCnH,0,0,1,54),N(OFFSET(tpSurvCnH,0,COLUMN(OFFSET(tpSurvCnH,0,53,1,1))-COLUMN(OFFSET(tpSurvCnH,0,0,1,54)),1,1)))</f>
        <v>916.65448649699988</v>
      </c>
      <c r="BG23" s="201">
        <f ca="1">SUMPRODUCT(OFFSET(tShpCnH,0,0,1,55),N(OFFSET(tpSurvCnH,0,COLUMN(OFFSET(tpSurvCnH,0,54,1,1))-COLUMN(OFFSET(tpSurvCnH,0,0,1,55)),1,1)))</f>
        <v>846.87599648349988</v>
      </c>
      <c r="BH23" s="201">
        <f ca="1">SUMPRODUCT(OFFSET(tShpCnH,0,0,1,56),N(OFFSET(tpSurvCnH,0,COLUMN(OFFSET(tpSurvCnH,0,55,1,1))-COLUMN(OFFSET(tpSurvCnH,0,0,1,56)),1,1)))</f>
        <v>780.3076428239998</v>
      </c>
      <c r="BI23" s="201">
        <f ca="1">SUMPRODUCT(OFFSET(tShpCnH,0,0,1,57),N(OFFSET(tpSurvCnH,0,COLUMN(OFFSET(tpSurvCnH,0,56,1,1))-COLUMN(OFFSET(tpSurvCnH,0,0,1,57)),1,1)))</f>
        <v>717.38277701099992</v>
      </c>
      <c r="BJ23" s="201">
        <f ca="1">SUMPRODUCT(OFFSET(tShpCnH,0,0,1,58),N(OFFSET(tpSurvCnH,0,COLUMN(OFFSET(tpSurvCnH,0,57,1,1))-COLUMN(OFFSET(tpSurvCnH,0,0,1,58)),1,1)))</f>
        <v>657.83793665949986</v>
      </c>
      <c r="BK23" s="201">
        <f ca="1">SUMPRODUCT(OFFSET(tShpCnH,0,0,1,59),N(OFFSET(tpSurvCnH,0,COLUMN(OFFSET(tpSurvCnH,0,58,1,1))-COLUMN(OFFSET(tpSurvCnH,0,0,1,59)),1,1)))</f>
        <v>601.81143503999999</v>
      </c>
      <c r="BL23" s="201">
        <f ca="1">SUMPRODUCT(OFFSET(tShpCnH,0,0,1,60),N(OFFSET(tpSurvCnH,0,COLUMN(OFFSET(tpSurvCnH,0,59,1,1))-COLUMN(OFFSET(tpSurvCnH,0,0,1,60)),1,1)))</f>
        <v>548.80645776050005</v>
      </c>
      <c r="BM23" s="201">
        <f ca="1">SUMPRODUCT(OFFSET(tShpCnH,0,0,1,61),N(OFFSET(tpSurvCnH,0,COLUMN(OFFSET(tpSurvCnH,0,60,1,1))-COLUMN(OFFSET(tpSurvCnH,0,0,1,61)),1,1)))</f>
        <v>499.48248129549995</v>
      </c>
      <c r="BN23" s="201">
        <f ca="1">SUMPRODUCT(OFFSET(tShpCnH,0,0,1,62),N(OFFSET(tpSurvCnH,0,COLUMN(OFFSET(tpSurvCnH,0,61,1,1))-COLUMN(OFFSET(tpSurvCnH,0,0,1,62)),1,1)))</f>
        <v>453.24892359599994</v>
      </c>
      <c r="BO23" s="201">
        <f ca="1">SUMPRODUCT(OFFSET(tShpCnH,0,0,1,63),N(OFFSET(tpSurvCnH,0,COLUMN(OFFSET(tpSurvCnH,0,62,1,1))-COLUMN(OFFSET(tpSurvCnH,0,0,1,63)),1,1)))</f>
        <v>410.46927169999998</v>
      </c>
      <c r="BP23" s="201">
        <f ca="1">SUMPRODUCT(OFFSET(tShpCnH,0,0,1,64),N(OFFSET(tpSurvCnH,0,COLUMN(OFFSET(tpSurvCnH,0,63,1,1))-COLUMN(OFFSET(tpSurvCnH,0,0,1,64)),1,1)))</f>
        <v>370.64910393150006</v>
      </c>
      <c r="BQ23" s="201">
        <f ca="1">SUMPRODUCT(OFFSET(tShpCnH,0,0,1,65),N(OFFSET(tpSurvCnH,0,COLUMN(OFFSET(tpSurvCnH,0,64,1,1))-COLUMN(OFFSET(tpSurvCnH,0,0,1,65)),1,1)))</f>
        <v>333.62218977999999</v>
      </c>
      <c r="BR23" s="201">
        <f ca="1">SUMPRODUCT(OFFSET(tShpCnH,0,0,1,66),N(OFFSET(tpSurvCnH,0,COLUMN(OFFSET(tpSurvCnH,0,65,1,1))-COLUMN(OFFSET(tpSurvCnH,0,0,1,66)),1,1)))</f>
        <v>299.74722050999998</v>
      </c>
      <c r="BS23" s="201">
        <f ca="1">SUMPRODUCT(OFFSET(tShpCnH,0,0,1,67),N(OFFSET(tpSurvCnH,0,COLUMN(OFFSET(tpSurvCnH,0,66,1,1))-COLUMN(OFFSET(tpSurvCnH,0,0,1,67)),1,1)))</f>
        <v>268.44749643550006</v>
      </c>
      <c r="BT23" s="201">
        <f ca="1">SUMPRODUCT(OFFSET(tShpCnH,0,0,1,68),N(OFFSET(tpSurvCnH,0,COLUMN(OFFSET(tpSurvCnH,0,67,1,1))-COLUMN(OFFSET(tpSurvCnH,0,0,1,68)),1,1)))</f>
        <v>239.722565879</v>
      </c>
      <c r="BU23" s="201">
        <f ca="1">SUMPRODUCT(OFFSET(tShpCnH,0,0,1,69),N(OFFSET(tpSurvCnH,0,COLUMN(OFFSET(tpSurvCnH,0,68,1,1))-COLUMN(OFFSET(tpSurvCnH,0,0,1,69)),1,1)))</f>
        <v>213.65525517199998</v>
      </c>
      <c r="BV23" s="201">
        <f ca="1">SUMPRODUCT(OFFSET(tShpCnH,0,0,1,70),N(OFFSET(tpSurvCnH,0,COLUMN(OFFSET(tpSurvCnH,0,69,1,1))-COLUMN(OFFSET(tpSurvCnH,0,0,1,70)),1,1)))</f>
        <v>190.06031719149999</v>
      </c>
      <c r="BW23" s="201">
        <f ca="1">SUMPRODUCT(OFFSET(tShpCnH,0,0,1,71),N(OFFSET(tpSurvCnH,0,COLUMN(OFFSET(tpSurvCnH,0,70,1,1))-COLUMN(OFFSET(tpSurvCnH,0,0,1,71)),1,1)))</f>
        <v>168.50141051199998</v>
      </c>
      <c r="BX23" s="201">
        <f ca="1">SUMPRODUCT(OFFSET(tShpCnH,0,0,1,72),N(OFFSET(tpSurvCnH,0,COLUMN(OFFSET(tpSurvCnH,0,71,1,1))-COLUMN(OFFSET(tpSurvCnH,0,0,1,72)),1,1)))</f>
        <v>148.63515526449999</v>
      </c>
      <c r="BY23" s="201">
        <f ca="1">SUMPRODUCT(OFFSET(tShpCnH,0,0,1,73),N(OFFSET(tpSurvCnH,0,COLUMN(OFFSET(tpSurvCnH,0,72,1,1))-COLUMN(OFFSET(tpSurvCnH,0,0,1,73)),1,1)))</f>
        <v>130.41115071500002</v>
      </c>
      <c r="BZ23" s="201">
        <f ca="1">SUMPRODUCT(OFFSET(tShpCnH,0,0,1,74),N(OFFSET(tpSurvCnH,0,COLUMN(OFFSET(tpSurvCnH,0,73,1,1))-COLUMN(OFFSET(tpSurvCnH,0,0,1,74)),1,1)))</f>
        <v>113.78582599649999</v>
      </c>
      <c r="CA23" s="201">
        <f ca="1">SUMPRODUCT(OFFSET(tShpCnH,0,0,1,75),N(OFFSET(tpSurvCnH,0,COLUMN(OFFSET(tpSurvCnH,0,74,1,1))-COLUMN(OFFSET(tpSurvCnH,0,0,1,75)),1,1)))</f>
        <v>98.471528734499998</v>
      </c>
      <c r="CB23" s="201">
        <f ca="1">SUMPRODUCT(OFFSET(tShpCnH,0,0,1,76),N(OFFSET(tpSurvCnH,0,COLUMN(OFFSET(tpSurvCnH,0,75,1,1))-COLUMN(OFFSET(tpSurvCnH,0,0,1,76)),1,1)))</f>
        <v>84.817359423500008</v>
      </c>
      <c r="CC23" s="201">
        <f ca="1">SUMPRODUCT(OFFSET(tShpCnH,0,0,1,77),N(OFFSET(tpSurvCnH,0,COLUMN(OFFSET(tpSurvCnH,0,76,1,1))-COLUMN(OFFSET(tpSurvCnH,0,0,1,77)),1,1)))</f>
        <v>72.588638884999995</v>
      </c>
      <c r="CD23" s="201">
        <f ca="1">SUMPRODUCT(OFFSET(tShpCnH,0,0,1,78),N(OFFSET(tpSurvCnH,0,COLUMN(OFFSET(tpSurvCnH,0,77,1,1))-COLUMN(OFFSET(tpSurvCnH,0,0,1,78)),1,1)))</f>
        <v>61.559605477000005</v>
      </c>
      <c r="CE23" s="201">
        <f ca="1">SUMPRODUCT(OFFSET(tShpCnH,0,0,1,79),N(OFFSET(tpSurvCnH,0,COLUMN(OFFSET(tpSurvCnH,0,78,1,1))-COLUMN(OFFSET(tpSurvCnH,0,0,1,79)),1,1)))</f>
        <v>51.860715908499998</v>
      </c>
      <c r="CF23" s="201">
        <f ca="1">SUMPRODUCT(OFFSET(tShpCnH,0,0,1,80),N(OFFSET(tpSurvCnH,0,COLUMN(OFFSET(tpSurvCnH,0,79,1,1))-COLUMN(OFFSET(tpSurvCnH,0,0,1,80)),1,1)))</f>
        <v>43.276220404499995</v>
      </c>
      <c r="CG23" s="201">
        <f ca="1">SUMPRODUCT(OFFSET(tShpCnH,0,0,1,81),N(OFFSET(tpSurvCnH,0,COLUMN(OFFSET(tpSurvCnH,0,80,1,1))-COLUMN(OFFSET(tpSurvCnH,0,0,1,81)),1,1)))</f>
        <v>35.763631957500003</v>
      </c>
      <c r="CH23" s="201">
        <f ca="1">SUMPRODUCT(OFFSET(tShpCnH,0,0,1,82),N(OFFSET(tpSurvCnH,0,COLUMN(OFFSET(tpSurvCnH,0,81,1,1))-COLUMN(OFFSET(tpSurvCnH,0,0,1,82)),1,1)))</f>
        <v>28.964271864499999</v>
      </c>
      <c r="CI23" s="201">
        <f ca="1">SUMPRODUCT(OFFSET(tShpCnH,0,0,1,83),N(OFFSET(tpSurvCnH,0,COLUMN(OFFSET(tpSurvCnH,0,82,1,1))-COLUMN(OFFSET(tpSurvCnH,0,0,1,83)),1,1)))</f>
        <v>23.195270936499998</v>
      </c>
      <c r="CJ23" s="201">
        <f ca="1">SUMPRODUCT(OFFSET(tShpCnH,0,0,1,84),N(OFFSET(tpSurvCnH,0,COLUMN(OFFSET(tpSurvCnH,0,83,1,1))-COLUMN(OFFSET(tpSurvCnH,0,0,1,84)),1,1)))</f>
        <v>18.2509358135</v>
      </c>
      <c r="CK23" s="201">
        <f ca="1">SUMPRODUCT(OFFSET(tShpCnH,0,0,1,85),N(OFFSET(tpSurvCnH,0,COLUMN(OFFSET(tpSurvCnH,0,84,1,1))-COLUMN(OFFSET(tpSurvCnH,0,0,1,85)),1,1)))</f>
        <v>13.896051260999998</v>
      </c>
      <c r="CL23" s="201">
        <f ca="1">SUMPRODUCT(OFFSET(tShpCnH,0,0,1,86),N(OFFSET(tpSurvCnH,0,COLUMN(OFFSET(tpSurvCnH,0,85,1,1))-COLUMN(OFFSET(tpSurvCnH,0,0,1,86)),1,1)))</f>
        <v>10.138349798</v>
      </c>
      <c r="CM23" s="201">
        <f ca="1">SUMPRODUCT(OFFSET(tShpCnH,0,0,1,87),N(OFFSET(tpSurvCnH,0,COLUMN(OFFSET(tpSurvCnH,0,86,1,1))-COLUMN(OFFSET(tpSurvCnH,0,0,1,87)),1,1)))</f>
        <v>6.9857204719999997</v>
      </c>
      <c r="CN23" s="201">
        <f ca="1">SUMPRODUCT(OFFSET(tShpCnH,0,0,1,88),N(OFFSET(tpSurvCnH,0,COLUMN(OFFSET(tpSurvCnH,0,87,1,1))-COLUMN(OFFSET(tpSurvCnH,0,0,1,88)),1,1)))</f>
        <v>4.6506037039999999</v>
      </c>
      <c r="CO23" s="201">
        <f ca="1">SUMPRODUCT(OFFSET(tShpCnH,0,0,1,89),N(OFFSET(tpSurvCnH,0,COLUMN(OFFSET(tpSurvCnH,0,88,1,1))-COLUMN(OFFSET(tpSurvCnH,0,0,1,89)),1,1)))</f>
        <v>2.7484080629999998</v>
      </c>
      <c r="CP23" s="201">
        <f ca="1">SUMPRODUCT(OFFSET(tShpCnH,0,0,1,90),N(OFFSET(tpSurvCnH,0,COLUMN(OFFSET(tpSurvCnH,0,89,1,1))-COLUMN(OFFSET(tpSurvCnH,0,0,1,90)),1,1)))</f>
        <v>1.366610688</v>
      </c>
      <c r="CQ23" s="201">
        <f ca="1">SUMPRODUCT(OFFSET(tShpCnH,0,0,1,91),N(OFFSET(tpSurvCnH,0,COLUMN(OFFSET(tpSurvCnH,0,90,1,1))-COLUMN(OFFSET(tpSurvCnH,0,0,1,91)),1,1)))</f>
        <v>0.45750189199999997</v>
      </c>
      <c r="CR23" s="202">
        <f ca="1">SUMPRODUCT(OFFSET(tShpCnH,0,0,1,92),N(OFFSET(tpSurvCnH,0,COLUMN(OFFSET(tpSurvCnH,0,91,1,1))-COLUMN(OFFSET(tpSurvCnH,0,0,1,92)),1,1)))</f>
        <v>0</v>
      </c>
      <c r="CS23" s="126"/>
    </row>
    <row r="24" spans="2:97">
      <c r="B24" s="126"/>
      <c r="C24" s="23" t="str">
        <f>INDEX(_pcName,4)</f>
        <v>Centrif Unhous</v>
      </c>
      <c r="D24" s="16" t="s">
        <v>37</v>
      </c>
      <c r="E24" s="200">
        <f ca="1">SUMPRODUCT(OFFSET(tShpCnU,0,0,1,1),N(OFFSET(tpSurvCnU,0,COLUMN(OFFSET(tpSurvCnU,0,0,1,1))-COLUMN(OFFSET(tpSurvCnU,0,0,1,1)),1,1)))</f>
        <v>68.325789999999998</v>
      </c>
      <c r="F24" s="201">
        <f ca="1">SUMPRODUCT(OFFSET(tShpCnU,0,0,1,2),N(OFFSET(tpSurvCnU,0,COLUMN(OFFSET(tpSurvCnU,0,1,1,1))-COLUMN(OFFSET(tpSurvCnU,0,0,1,2)),1,1)))</f>
        <v>138.07429999999999</v>
      </c>
      <c r="G24" s="201">
        <f ca="1">SUMPRODUCT(OFFSET(tShpCnU,0,0,1,3),N(OFFSET(tpSurvCnU,0,COLUMN(OFFSET(tpSurvCnU,0,2,1,1))-COLUMN(OFFSET(tpSurvCnU,0,0,1,3)),1,1)))</f>
        <v>207.49065999999999</v>
      </c>
      <c r="H24" s="201">
        <f ca="1">SUMPRODUCT(OFFSET(tShpCnU,0,0,1,4),N(OFFSET(tpSurvCnU,0,COLUMN(OFFSET(tpSurvCnU,0,3,1,1))-COLUMN(OFFSET(tpSurvCnU,0,0,1,4)),1,1)))</f>
        <v>276.84397000000001</v>
      </c>
      <c r="I24" s="201">
        <f ca="1">SUMPRODUCT(OFFSET(tShpCnU,0,0,1,5),N(OFFSET(tpSurvCnU,0,COLUMN(OFFSET(tpSurvCnU,0,4,1,1))-COLUMN(OFFSET(tpSurvCnU,0,0,1,5)),1,1)))</f>
        <v>346.11057000000005</v>
      </c>
      <c r="J24" s="201">
        <f ca="1">SUMPRODUCT(OFFSET(tShpCnU,0,0,1,6),N(OFFSET(tpSurvCnU,0,COLUMN(OFFSET(tpSurvCnU,0,5,1,1))-COLUMN(OFFSET(tpSurvCnU,0,0,1,6)),1,1)))</f>
        <v>415.17021000000005</v>
      </c>
      <c r="K24" s="201">
        <f ca="1">SUMPRODUCT(OFFSET(tShpCnU,0,0,1,7),N(OFFSET(tpSurvCnU,0,COLUMN(OFFSET(tpSurvCnU,0,6,1,1))-COLUMN(OFFSET(tpSurvCnU,0,0,1,7)),1,1)))</f>
        <v>483.73980331300004</v>
      </c>
      <c r="L24" s="201">
        <f ca="1">SUMPRODUCT(OFFSET(tShpCnU,0,0,1,8),N(OFFSET(tpSurvCnU,0,COLUMN(OFFSET(tpSurvCnU,0,7,1,1))-COLUMN(OFFSET(tpSurvCnU,0,0,1,8)),1,1)))</f>
        <v>551.99027152099995</v>
      </c>
      <c r="M24" s="201">
        <f ca="1">SUMPRODUCT(OFFSET(tShpCnU,0,0,1,9),N(OFFSET(tpSurvCnU,0,COLUMN(OFFSET(tpSurvCnU,0,8,1,1))-COLUMN(OFFSET(tpSurvCnU,0,0,1,9)),1,1)))</f>
        <v>619.51571194500002</v>
      </c>
      <c r="N24" s="201">
        <f ca="1">SUMPRODUCT(OFFSET(tShpCnU,0,0,1,10),N(OFFSET(tpSurvCnU,0,COLUMN(OFFSET(tpSurvCnU,0,9,1,1))-COLUMN(OFFSET(tpSurvCnU,0,0,1,10)),1,1)))</f>
        <v>685.98211940700003</v>
      </c>
      <c r="O24" s="201">
        <f ca="1">SUMPRODUCT(OFFSET(tShpCnU,0,0,1,11),N(OFFSET(tpSurvCnU,0,COLUMN(OFFSET(tpSurvCnU,0,10,1,1))-COLUMN(OFFSET(tpSurvCnU,0,0,1,11)),1,1)))</f>
        <v>751.43238439100003</v>
      </c>
      <c r="P24" s="201">
        <f ca="1">SUMPRODUCT(OFFSET(tShpCnU,0,0,1,12),N(OFFSET(tpSurvCnU,0,COLUMN(OFFSET(tpSurvCnU,0,11,1,1))-COLUMN(OFFSET(tpSurvCnU,0,0,1,12)),1,1)))</f>
        <v>815.78748778800002</v>
      </c>
      <c r="Q24" s="201">
        <f ca="1">SUMPRODUCT(OFFSET(tShpCnU,0,0,1,13),N(OFFSET(tpSurvCnU,0,COLUMN(OFFSET(tpSurvCnU,0,12,1,1))-COLUMN(OFFSET(tpSurvCnU,0,0,1,13)),1,1)))</f>
        <v>879.23429072700014</v>
      </c>
      <c r="R24" s="201">
        <f ca="1">SUMPRODUCT(OFFSET(tShpCnU,0,0,1,14),N(OFFSET(tpSurvCnU,0,COLUMN(OFFSET(tpSurvCnU,0,13,1,1))-COLUMN(OFFSET(tpSurvCnU,0,0,1,14)),1,1)))</f>
        <v>942.26357364099999</v>
      </c>
      <c r="S24" s="201">
        <f ca="1">SUMPRODUCT(OFFSET(tShpCnU,0,0,1,15),N(OFFSET(tpSurvCnU,0,COLUMN(OFFSET(tpSurvCnU,0,14,1,1))-COLUMN(OFFSET(tpSurvCnU,0,0,1,15)),1,1)))</f>
        <v>1005.2119298390002</v>
      </c>
      <c r="T24" s="201">
        <f ca="1">SUMPRODUCT(OFFSET(tShpCnU,0,0,1,16),N(OFFSET(tpSurvCnU,0,COLUMN(OFFSET(tpSurvCnU,0,15,1,1))-COLUMN(OFFSET(tpSurvCnU,0,0,1,16)),1,1)))</f>
        <v>1067.879503288</v>
      </c>
      <c r="U24" s="201">
        <f ca="1">SUMPRODUCT(OFFSET(tShpCnU,0,0,1,17),N(OFFSET(tpSurvCnU,0,COLUMN(OFFSET(tpSurvCnU,0,16,1,1))-COLUMN(OFFSET(tpSurvCnU,0,0,1,17)),1,1)))</f>
        <v>1129.7746017089999</v>
      </c>
      <c r="V24" s="201">
        <f ca="1">SUMPRODUCT(OFFSET(tShpCnU,0,0,1,18),N(OFFSET(tpSurvCnU,0,COLUMN(OFFSET(tpSurvCnU,0,17,1,1))-COLUMN(OFFSET(tpSurvCnU,0,0,1,18)),1,1)))</f>
        <v>1191.2546937199998</v>
      </c>
      <c r="W24" s="201">
        <f ca="1">SUMPRODUCT(OFFSET(tShpCnU,0,0,1,19),N(OFFSET(tpSurvCnU,0,COLUMN(OFFSET(tpSurvCnU,0,18,1,1))-COLUMN(OFFSET(tpSurvCnU,0,0,1,19)),1,1)))</f>
        <v>1252.6234372210001</v>
      </c>
      <c r="X24" s="201">
        <f ca="1">SUMPRODUCT(OFFSET(tShpCnU,0,0,1,20),N(OFFSET(tpSurvCnU,0,COLUMN(OFFSET(tpSurvCnU,0,19,1,1))-COLUMN(OFFSET(tpSurvCnU,0,0,1,20)),1,1)))</f>
        <v>1312.6574065930001</v>
      </c>
      <c r="Y24" s="201">
        <f ca="1">SUMPRODUCT(OFFSET(tShpCnU,0,0,1,21),N(OFFSET(tpSurvCnU,0,COLUMN(OFFSET(tpSurvCnU,0,20,1,1))-COLUMN(OFFSET(tpSurvCnU,0,0,1,21)),1,1)))</f>
        <v>1370.5729841050002</v>
      </c>
      <c r="Z24" s="201">
        <f ca="1">SUMPRODUCT(OFFSET(tShpCnU,0,0,1,22),N(OFFSET(tpSurvCnU,0,COLUMN(OFFSET(tpSurvCnU,0,21,1,1))-COLUMN(OFFSET(tpSurvCnU,0,0,1,22)),1,1)))</f>
        <v>1426.2780856090003</v>
      </c>
      <c r="AA24" s="201">
        <f ca="1">SUMPRODUCT(OFFSET(tShpCnU,0,0,1,23),N(OFFSET(tpSurvCnU,0,COLUMN(OFFSET(tpSurvCnU,0,22,1,1))-COLUMN(OFFSET(tpSurvCnU,0,0,1,23)),1,1)))</f>
        <v>1479.5029210910006</v>
      </c>
      <c r="AB24" s="201">
        <f ca="1">SUMPRODUCT(OFFSET(tShpCnU,0,0,1,24),N(OFFSET(tpSurvCnU,0,COLUMN(OFFSET(tpSurvCnU,0,23,1,1))-COLUMN(OFFSET(tpSurvCnU,0,0,1,24)),1,1)))</f>
        <v>1531.1223138510002</v>
      </c>
      <c r="AC24" s="201">
        <f ca="1">SUMPRODUCT(OFFSET(tShpCnU,0,0,1,25),N(OFFSET(tpSurvCnU,0,COLUMN(OFFSET(tpSurvCnU,0,24,1,1))-COLUMN(OFFSET(tpSurvCnU,0,0,1,25)),1,1)))</f>
        <v>1581.3977996700003</v>
      </c>
      <c r="AD24" s="201">
        <f ca="1">SUMPRODUCT(OFFSET(tShpCnU,0,0,1,26),N(OFFSET(tpSurvCnU,0,COLUMN(OFFSET(tpSurvCnU,0,25,1,1))-COLUMN(OFFSET(tpSurvCnU,0,0,1,26)),1,1)))</f>
        <v>1630.1526289750004</v>
      </c>
      <c r="AE24" s="201">
        <f ca="1">SUMPRODUCT(OFFSET(tShpCnU,0,0,1,27),N(OFFSET(tpSurvCnU,0,COLUMN(OFFSET(tpSurvCnU,0,26,1,1))-COLUMN(OFFSET(tpSurvCnU,0,0,1,27)),1,1)))</f>
        <v>1677.6468581340002</v>
      </c>
      <c r="AF24" s="201">
        <f ca="1">SUMPRODUCT(OFFSET(tShpCnU,0,0,1,28),N(OFFSET(tpSurvCnU,0,COLUMN(OFFSET(tpSurvCnU,0,27,1,1))-COLUMN(OFFSET(tpSurvCnU,0,0,1,28)),1,1)))</f>
        <v>1723.8781888770004</v>
      </c>
      <c r="AG24" s="201">
        <f ca="1">SUMPRODUCT(OFFSET(tShpCnU,0,0,1,29),N(OFFSET(tpSurvCnU,0,COLUMN(OFFSET(tpSurvCnU,0,28,1,1))-COLUMN(OFFSET(tpSurvCnU,0,0,1,29)),1,1)))</f>
        <v>1769.0268256959998</v>
      </c>
      <c r="AH24" s="201">
        <f ca="1">SUMPRODUCT(OFFSET(tShpCnU,0,0,1,30),N(OFFSET(tpSurvCnU,0,COLUMN(OFFSET(tpSurvCnU,0,29,1,1))-COLUMN(OFFSET(tpSurvCnU,0,0,1,30)),1,1)))</f>
        <v>1812.9606438970002</v>
      </c>
      <c r="AI24" s="201">
        <f ca="1">SUMPRODUCT(OFFSET(tShpCnU,0,0,1,31),N(OFFSET(tpSurvCnU,0,COLUMN(OFFSET(tpSurvCnU,0,30,1,1))-COLUMN(OFFSET(tpSurvCnU,0,0,1,31)),1,1)))</f>
        <v>1855.7743485579997</v>
      </c>
      <c r="AJ24" s="201">
        <f ca="1">SUMPRODUCT(OFFSET(tShpCnU,0,0,1,32),N(OFFSET(tpSurvCnU,0,COLUMN(OFFSET(tpSurvCnU,0,31,1,1))-COLUMN(OFFSET(tpSurvCnU,0,0,1,32)),1,1)))</f>
        <v>1897.8223044299998</v>
      </c>
      <c r="AK24" s="201">
        <f ca="1">SUMPRODUCT(OFFSET(tShpCnU,0,0,1,33),N(OFFSET(tpSurvCnU,0,COLUMN(OFFSET(tpSurvCnU,0,32,1,1))-COLUMN(OFFSET(tpSurvCnU,0,0,1,33)),1,1)))</f>
        <v>1938.8498884689998</v>
      </c>
      <c r="AL24" s="201">
        <f ca="1">SUMPRODUCT(OFFSET(tShpCnU,0,0,1,34),N(OFFSET(tpSurvCnU,0,COLUMN(OFFSET(tpSurvCnU,0,33,1,1))-COLUMN(OFFSET(tpSurvCnU,0,0,1,34)),1,1)))</f>
        <v>1883.0825381810002</v>
      </c>
      <c r="AM24" s="201">
        <f ca="1">SUMPRODUCT(OFFSET(tShpCnU,0,0,1,35),N(OFFSET(tpSurvCnU,0,COLUMN(OFFSET(tpSurvCnU,0,34,1,1))-COLUMN(OFFSET(tpSurvCnU,0,0,1,35)),1,1)))</f>
        <v>1825.3434109300001</v>
      </c>
      <c r="AN24" s="201">
        <f ca="1">SUMPRODUCT(OFFSET(tShpCnU,0,0,1,36),N(OFFSET(tpSurvCnU,0,COLUMN(OFFSET(tpSurvCnU,0,35,1,1))-COLUMN(OFFSET(tpSurvCnU,0,0,1,36)),1,1)))</f>
        <v>1765.5790285770001</v>
      </c>
      <c r="AO24" s="201">
        <f ca="1">SUMPRODUCT(OFFSET(tShpCnU,0,0,1,37),N(OFFSET(tpSurvCnU,0,COLUMN(OFFSET(tpSurvCnU,0,36,1,1))-COLUMN(OFFSET(tpSurvCnU,0,0,1,37)),1,1)))</f>
        <v>1703.8701751759997</v>
      </c>
      <c r="AP24" s="201">
        <f ca="1">SUMPRODUCT(OFFSET(tShpCnU,0,0,1,38),N(OFFSET(tpSurvCnU,0,COLUMN(OFFSET(tpSurvCnU,0,37,1,1))-COLUMN(OFFSET(tpSurvCnU,0,0,1,38)),1,1)))</f>
        <v>1640.4745226090001</v>
      </c>
      <c r="AQ24" s="201">
        <f ca="1">SUMPRODUCT(OFFSET(tShpCnU,0,0,1,39),N(OFFSET(tpSurvCnU,0,COLUMN(OFFSET(tpSurvCnU,0,38,1,1))-COLUMN(OFFSET(tpSurvCnU,0,0,1,39)),1,1)))</f>
        <v>1575.4588565040003</v>
      </c>
      <c r="AR24" s="201">
        <f ca="1">SUMPRODUCT(OFFSET(tShpCnU,0,0,1,40),N(OFFSET(tpSurvCnU,0,COLUMN(OFFSET(tpSurvCnU,0,39,1,1))-COLUMN(OFFSET(tpSurvCnU,0,0,1,40)),1,1)))</f>
        <v>1509.2249640129999</v>
      </c>
      <c r="AS24" s="201">
        <f ca="1">SUMPRODUCT(OFFSET(tShpCnU,0,0,1,41),N(OFFSET(tpSurvCnU,0,COLUMN(OFFSET(tpSurvCnU,0,40,1,1))-COLUMN(OFFSET(tpSurvCnU,0,0,1,41)),1,1)))</f>
        <v>1442.014110784</v>
      </c>
      <c r="AT24" s="201">
        <f ca="1">SUMPRODUCT(OFFSET(tShpCnU,0,0,1,42),N(OFFSET(tpSurvCnU,0,COLUMN(OFFSET(tpSurvCnU,0,41,1,1))-COLUMN(OFFSET(tpSurvCnU,0,0,1,42)),1,1)))</f>
        <v>1374.2718748330001</v>
      </c>
      <c r="AU24" s="201">
        <f ca="1">SUMPRODUCT(OFFSET(tShpCnU,0,0,1,43),N(OFFSET(tpSurvCnU,0,COLUMN(OFFSET(tpSurvCnU,0,42,1,1))-COLUMN(OFFSET(tpSurvCnU,0,0,1,43)),1,1)))</f>
        <v>1306.4368822439999</v>
      </c>
      <c r="AV24" s="201">
        <f ca="1">SUMPRODUCT(OFFSET(tShpCnU,0,0,1,44),N(OFFSET(tpSurvCnU,0,COLUMN(OFFSET(tpSurvCnU,0,43,1,1))-COLUMN(OFFSET(tpSurvCnU,0,0,1,44)),1,1)))</f>
        <v>1238.8191062909998</v>
      </c>
      <c r="AW24" s="201">
        <f ca="1">SUMPRODUCT(OFFSET(tShpCnU,0,0,1,45),N(OFFSET(tpSurvCnU,0,COLUMN(OFFSET(tpSurvCnU,0,44,1,1))-COLUMN(OFFSET(tpSurvCnU,0,0,1,45)),1,1)))</f>
        <v>1171.823266419</v>
      </c>
      <c r="AX24" s="201">
        <f ca="1">SUMPRODUCT(OFFSET(tShpCnU,0,0,1,46),N(OFFSET(tpSurvCnU,0,COLUMN(OFFSET(tpSurvCnU,0,45,1,1))-COLUMN(OFFSET(tpSurvCnU,0,0,1,46)),1,1)))</f>
        <v>1105.6035284449999</v>
      </c>
      <c r="AY24" s="201">
        <f ca="1">SUMPRODUCT(OFFSET(tShpCnU,0,0,1,47),N(OFFSET(tpSurvCnU,0,COLUMN(OFFSET(tpSurvCnU,0,46,1,1))-COLUMN(OFFSET(tpSurvCnU,0,0,1,47)),1,1)))</f>
        <v>1040.1240626920001</v>
      </c>
      <c r="AZ24" s="201">
        <f ca="1">SUMPRODUCT(OFFSET(tShpCnU,0,0,1,48),N(OFFSET(tpSurvCnU,0,COLUMN(OFFSET(tpSurvCnU,0,47,1,1))-COLUMN(OFFSET(tpSurvCnU,0,0,1,48)),1,1)))</f>
        <v>976.27031969999996</v>
      </c>
      <c r="BA24" s="201">
        <f ca="1">SUMPRODUCT(OFFSET(tShpCnU,0,0,1,49),N(OFFSET(tpSurvCnU,0,COLUMN(OFFSET(tpSurvCnU,0,48,1,1))-COLUMN(OFFSET(tpSurvCnU,0,0,1,49)),1,1)))</f>
        <v>914.013404928</v>
      </c>
      <c r="BB24" s="201">
        <f ca="1">SUMPRODUCT(OFFSET(tShpCnU,0,0,1,50),N(OFFSET(tpSurvCnU,0,COLUMN(OFFSET(tpSurvCnU,0,49,1,1))-COLUMN(OFFSET(tpSurvCnU,0,0,1,50)),1,1)))</f>
        <v>854.00071045900006</v>
      </c>
      <c r="BC24" s="201">
        <f ca="1">SUMPRODUCT(OFFSET(tShpCnU,0,0,1,51),N(OFFSET(tpSurvCnU,0,COLUMN(OFFSET(tpSurvCnU,0,50,1,1))-COLUMN(OFFSET(tpSurvCnU,0,0,1,51)),1,1)))</f>
        <v>796.1344854969999</v>
      </c>
      <c r="BD24" s="201">
        <f ca="1">SUMPRODUCT(OFFSET(tShpCnU,0,0,1,52),N(OFFSET(tpSurvCnU,0,COLUMN(OFFSET(tpSurvCnU,0,51,1,1))-COLUMN(OFFSET(tpSurvCnU,0,0,1,52)),1,1)))</f>
        <v>740.46873568199999</v>
      </c>
      <c r="BE24" s="201">
        <f ca="1">SUMPRODUCT(OFFSET(tShpCnU,0,0,1,53),N(OFFSET(tpSurvCnU,0,COLUMN(OFFSET(tpSurvCnU,0,52,1,1))-COLUMN(OFFSET(tpSurvCnU,0,0,1,53)),1,1)))</f>
        <v>686.99873929700016</v>
      </c>
      <c r="BF24" s="201">
        <f ca="1">SUMPRODUCT(OFFSET(tShpCnU,0,0,1,54),N(OFFSET(tpSurvCnU,0,COLUMN(OFFSET(tpSurvCnU,0,53,1,1))-COLUMN(OFFSET(tpSurvCnU,0,0,1,54)),1,1)))</f>
        <v>636.20188218600003</v>
      </c>
      <c r="BG24" s="201">
        <f ca="1">SUMPRODUCT(OFFSET(tShpCnU,0,0,1,55),N(OFFSET(tpSurvCnU,0,COLUMN(OFFSET(tpSurvCnU,0,54,1,1))-COLUMN(OFFSET(tpSurvCnU,0,0,1,55)),1,1)))</f>
        <v>587.62921405500003</v>
      </c>
      <c r="BH24" s="201">
        <f ca="1">SUMPRODUCT(OFFSET(tShpCnU,0,0,1,56),N(OFFSET(tpSurvCnU,0,COLUMN(OFFSET(tpSurvCnU,0,55,1,1))-COLUMN(OFFSET(tpSurvCnU,0,0,1,56)),1,1)))</f>
        <v>541.35034341700009</v>
      </c>
      <c r="BI24" s="201">
        <f ca="1">SUMPRODUCT(OFFSET(tShpCnU,0,0,1,57),N(OFFSET(tpSurvCnU,0,COLUMN(OFFSET(tpSurvCnU,0,56,1,1))-COLUMN(OFFSET(tpSurvCnU,0,0,1,57)),1,1)))</f>
        <v>497.45274096699995</v>
      </c>
      <c r="BJ24" s="201">
        <f ca="1">SUMPRODUCT(OFFSET(tShpCnU,0,0,1,58),N(OFFSET(tpSurvCnU,0,COLUMN(OFFSET(tpSurvCnU,0,57,1,1))-COLUMN(OFFSET(tpSurvCnU,0,0,1,58)),1,1)))</f>
        <v>455.78996736000005</v>
      </c>
      <c r="BK24" s="201">
        <f ca="1">SUMPRODUCT(OFFSET(tShpCnU,0,0,1,59),N(OFFSET(tpSurvCnU,0,COLUMN(OFFSET(tpSurvCnU,0,58,1,1))-COLUMN(OFFSET(tpSurvCnU,0,0,1,59)),1,1)))</f>
        <v>416.76066142099995</v>
      </c>
      <c r="BL24" s="201">
        <f ca="1">SUMPRODUCT(OFFSET(tShpCnU,0,0,1,60),N(OFFSET(tpSurvCnU,0,COLUMN(OFFSET(tpSurvCnU,0,59,1,1))-COLUMN(OFFSET(tpSurvCnU,0,0,1,60)),1,1)))</f>
        <v>380.04278090999998</v>
      </c>
      <c r="BM24" s="201">
        <f ca="1">SUMPRODUCT(OFFSET(tShpCnU,0,0,1,61),N(OFFSET(tpSurvCnU,0,COLUMN(OFFSET(tpSurvCnU,0,60,1,1))-COLUMN(OFFSET(tpSurvCnU,0,0,1,61)),1,1)))</f>
        <v>345.80691724799999</v>
      </c>
      <c r="BN24" s="201">
        <f ca="1">SUMPRODUCT(OFFSET(tShpCnU,0,0,1,62),N(OFFSET(tpSurvCnU,0,COLUMN(OFFSET(tpSurvCnU,0,61,1,1))-COLUMN(OFFSET(tpSurvCnU,0,0,1,62)),1,1)))</f>
        <v>313.80247772899997</v>
      </c>
      <c r="BO24" s="201">
        <f ca="1">SUMPRODUCT(OFFSET(tShpCnU,0,0,1,63),N(OFFSET(tpSurvCnU,0,COLUMN(OFFSET(tpSurvCnU,0,62,1,1))-COLUMN(OFFSET(tpSurvCnU,0,0,1,63)),1,1)))</f>
        <v>284.206857324</v>
      </c>
      <c r="BP24" s="201">
        <f ca="1">SUMPRODUCT(OFFSET(tShpCnU,0,0,1,64),N(OFFSET(tpSurvCnU,0,COLUMN(OFFSET(tpSurvCnU,0,63,1,1))-COLUMN(OFFSET(tpSurvCnU,0,0,1,64)),1,1)))</f>
        <v>256.87318725900002</v>
      </c>
      <c r="BQ24" s="201">
        <f ca="1">SUMPRODUCT(OFFSET(tShpCnU,0,0,1,65),N(OFFSET(tpSurvCnU,0,COLUMN(OFFSET(tpSurvCnU,0,64,1,1))-COLUMN(OFFSET(tpSurvCnU,0,0,1,65)),1,1)))</f>
        <v>231.29886951600002</v>
      </c>
      <c r="BR24" s="201">
        <f ca="1">SUMPRODUCT(OFFSET(tShpCnU,0,0,1,66),N(OFFSET(tpSurvCnU,0,COLUMN(OFFSET(tpSurvCnU,0,65,1,1))-COLUMN(OFFSET(tpSurvCnU,0,0,1,66)),1,1)))</f>
        <v>207.82794006</v>
      </c>
      <c r="BS24" s="201">
        <f ca="1">SUMPRODUCT(OFFSET(tShpCnU,0,0,1,67),N(OFFSET(tpSurvCnU,0,COLUMN(OFFSET(tpSurvCnU,0,66,1,1))-COLUMN(OFFSET(tpSurvCnU,0,0,1,67)),1,1)))</f>
        <v>186.426545721</v>
      </c>
      <c r="BT24" s="201">
        <f ca="1">SUMPRODUCT(OFFSET(tShpCnU,0,0,1,68),N(OFFSET(tpSurvCnU,0,COLUMN(OFFSET(tpSurvCnU,0,67,1,1))-COLUMN(OFFSET(tpSurvCnU,0,0,1,68)),1,1)))</f>
        <v>166.68683846100001</v>
      </c>
      <c r="BU24" s="201">
        <f ca="1">SUMPRODUCT(OFFSET(tShpCnU,0,0,1,69),N(OFFSET(tpSurvCnU,0,COLUMN(OFFSET(tpSurvCnU,0,68,1,1))-COLUMN(OFFSET(tpSurvCnU,0,0,1,69)),1,1)))</f>
        <v>148.67439273700003</v>
      </c>
      <c r="BV24" s="201">
        <f ca="1">SUMPRODUCT(OFFSET(tShpCnU,0,0,1,70),N(OFFSET(tpSurvCnU,0,COLUMN(OFFSET(tpSurvCnU,0,69,1,1))-COLUMN(OFFSET(tpSurvCnU,0,0,1,70)),1,1)))</f>
        <v>132.25423507399998</v>
      </c>
      <c r="BW24" s="201">
        <f ca="1">SUMPRODUCT(OFFSET(tShpCnU,0,0,1,71),N(OFFSET(tpSurvCnU,0,COLUMN(OFFSET(tpSurvCnU,0,70,1,1))-COLUMN(OFFSET(tpSurvCnU,0,0,1,71)),1,1)))</f>
        <v>117.04223390599999</v>
      </c>
      <c r="BX24" s="201">
        <f ca="1">SUMPRODUCT(OFFSET(tShpCnU,0,0,1,72),N(OFFSET(tpSurvCnU,0,COLUMN(OFFSET(tpSurvCnU,0,71,1,1))-COLUMN(OFFSET(tpSurvCnU,0,0,1,72)),1,1)))</f>
        <v>102.92937781099999</v>
      </c>
      <c r="BY24" s="201">
        <f ca="1">SUMPRODUCT(OFFSET(tShpCnU,0,0,1,73),N(OFFSET(tpSurvCnU,0,COLUMN(OFFSET(tpSurvCnU,0,72,1,1))-COLUMN(OFFSET(tpSurvCnU,0,0,1,73)),1,1)))</f>
        <v>90.038344642999988</v>
      </c>
      <c r="BZ24" s="201">
        <f ca="1">SUMPRODUCT(OFFSET(tShpCnU,0,0,1,74),N(OFFSET(tpSurvCnU,0,COLUMN(OFFSET(tpSurvCnU,0,73,1,1))-COLUMN(OFFSET(tpSurvCnU,0,0,1,74)),1,1)))</f>
        <v>78.520964456999991</v>
      </c>
      <c r="CA24" s="201">
        <f ca="1">SUMPRODUCT(OFFSET(tShpCnU,0,0,1,75),N(OFFSET(tpSurvCnU,0,COLUMN(OFFSET(tpSurvCnU,0,74,1,1))-COLUMN(OFFSET(tpSurvCnU,0,0,1,75)),1,1)))</f>
        <v>68.045511183000002</v>
      </c>
      <c r="CB24" s="201">
        <f ca="1">SUMPRODUCT(OFFSET(tShpCnU,0,0,1,76),N(OFFSET(tpSurvCnU,0,COLUMN(OFFSET(tpSurvCnU,0,75,1,1))-COLUMN(OFFSET(tpSurvCnU,0,0,1,76)),1,1)))</f>
        <v>58.686240496000003</v>
      </c>
      <c r="CC24" s="201">
        <f ca="1">SUMPRODUCT(OFFSET(tShpCnU,0,0,1,77),N(OFFSET(tpSurvCnU,0,COLUMN(OFFSET(tpSurvCnU,0,76,1,1))-COLUMN(OFFSET(tpSurvCnU,0,0,1,77)),1,1)))</f>
        <v>50.170057729999996</v>
      </c>
      <c r="CD24" s="201">
        <f ca="1">SUMPRODUCT(OFFSET(tShpCnU,0,0,1,78),N(OFFSET(tpSurvCnU,0,COLUMN(OFFSET(tpSurvCnU,0,77,1,1))-COLUMN(OFFSET(tpSurvCnU,0,0,1,78)),1,1)))</f>
        <v>42.567209815000005</v>
      </c>
      <c r="CE24" s="201">
        <f ca="1">SUMPRODUCT(OFFSET(tShpCnU,0,0,1,79),N(OFFSET(tpSurvCnU,0,COLUMN(OFFSET(tpSurvCnU,0,78,1,1))-COLUMN(OFFSET(tpSurvCnU,0,0,1,79)),1,1)))</f>
        <v>35.747214983999996</v>
      </c>
      <c r="CF24" s="201">
        <f ca="1">SUMPRODUCT(OFFSET(tShpCnU,0,0,1,80),N(OFFSET(tpSurvCnU,0,COLUMN(OFFSET(tpSurvCnU,0,79,1,1))-COLUMN(OFFSET(tpSurvCnU,0,0,1,80)),1,1)))</f>
        <v>29.814072782</v>
      </c>
      <c r="CG24" s="201">
        <f ca="1">SUMPRODUCT(OFFSET(tShpCnU,0,0,1,81),N(OFFSET(tpSurvCnU,0,COLUMN(OFFSET(tpSurvCnU,0,80,1,1))-COLUMN(OFFSET(tpSurvCnU,0,0,1,81)),1,1)))</f>
        <v>24.519156441</v>
      </c>
      <c r="CH24" s="201">
        <f ca="1">SUMPRODUCT(OFFSET(tShpCnU,0,0,1,82),N(OFFSET(tpSurvCnU,0,COLUMN(OFFSET(tpSurvCnU,0,81,1,1))-COLUMN(OFFSET(tpSurvCnU,0,0,1,82)),1,1)))</f>
        <v>19.858055048000001</v>
      </c>
      <c r="CI24" s="201">
        <f ca="1">SUMPRODUCT(OFFSET(tShpCnU,0,0,1,83),N(OFFSET(tpSurvCnU,0,COLUMN(OFFSET(tpSurvCnU,0,82,1,1))-COLUMN(OFFSET(tpSurvCnU,0,0,1,83)),1,1)))</f>
        <v>15.663624885999999</v>
      </c>
      <c r="CJ24" s="201">
        <f ca="1">SUMPRODUCT(OFFSET(tShpCnU,0,0,1,84),N(OFFSET(tpSurvCnU,0,COLUMN(OFFSET(tpSurvCnU,0,83,1,1))-COLUMN(OFFSET(tpSurvCnU,0,0,1,84)),1,1)))</f>
        <v>12.056316298000002</v>
      </c>
      <c r="CK24" s="201">
        <f ca="1">SUMPRODUCT(OFFSET(tShpCnU,0,0,1,85),N(OFFSET(tpSurvCnU,0,COLUMN(OFFSET(tpSurvCnU,0,84,1,1))-COLUMN(OFFSET(tpSurvCnU,0,0,1,85)),1,1)))</f>
        <v>8.9381250140000006</v>
      </c>
      <c r="CL24" s="201">
        <f ca="1">SUMPRODUCT(OFFSET(tShpCnU,0,0,1,86),N(OFFSET(tpSurvCnU,0,COLUMN(OFFSET(tpSurvCnU,0,85,1,1))-COLUMN(OFFSET(tpSurvCnU,0,0,1,86)),1,1)))</f>
        <v>6.3346319790000001</v>
      </c>
      <c r="CM24" s="201">
        <f ca="1">SUMPRODUCT(OFFSET(tShpCnU,0,0,1,87),N(OFFSET(tpSurvCnU,0,COLUMN(OFFSET(tpSurvCnU,0,86,1,1))-COLUMN(OFFSET(tpSurvCnU,0,0,1,87)),1,1)))</f>
        <v>4.3100891210000007</v>
      </c>
      <c r="CN24" s="201">
        <f ca="1">SUMPRODUCT(OFFSET(tShpCnU,0,0,1,88),N(OFFSET(tpSurvCnU,0,COLUMN(OFFSET(tpSurvCnU,0,87,1,1))-COLUMN(OFFSET(tpSurvCnU,0,0,1,88)),1,1)))</f>
        <v>2.718836198</v>
      </c>
      <c r="CO24" s="201">
        <f ca="1">SUMPRODUCT(OFFSET(tShpCnU,0,0,1,89),N(OFFSET(tpSurvCnU,0,COLUMN(OFFSET(tpSurvCnU,0,88,1,1))-COLUMN(OFFSET(tpSurvCnU,0,0,1,89)),1,1)))</f>
        <v>1.5378247950000001</v>
      </c>
      <c r="CP24" s="201">
        <f ca="1">SUMPRODUCT(OFFSET(tShpCnU,0,0,1,90),N(OFFSET(tpSurvCnU,0,COLUMN(OFFSET(tpSurvCnU,0,89,1,1))-COLUMN(OFFSET(tpSurvCnU,0,0,1,90)),1,1)))</f>
        <v>0.76285154399999999</v>
      </c>
      <c r="CQ24" s="201">
        <f ca="1">SUMPRODUCT(OFFSET(tShpCnU,0,0,1,91),N(OFFSET(tpSurvCnU,0,COLUMN(OFFSET(tpSurvCnU,0,90,1,1))-COLUMN(OFFSET(tpSurvCnU,0,0,1,91)),1,1)))</f>
        <v>0.23638809999999999</v>
      </c>
      <c r="CR24" s="202">
        <f ca="1">SUMPRODUCT(OFFSET(tShpCnU,0,0,1,92),N(OFFSET(tpSurvCnU,0,COLUMN(OFFSET(tpSurvCnU,0,91,1,1))-COLUMN(OFFSET(tpSurvCnU,0,0,1,92)),1,1)))</f>
        <v>0</v>
      </c>
      <c r="CS24" s="126"/>
    </row>
    <row r="25" spans="2:97">
      <c r="B25" s="126"/>
      <c r="C25" s="23" t="str">
        <f>INDEX(_pcName,5)</f>
        <v>Inline-Mixed</v>
      </c>
      <c r="D25" s="16" t="s">
        <v>37</v>
      </c>
      <c r="E25" s="200">
        <f ca="1">SUMPRODUCT(OFFSET(tShpInMx,0,0,1,1),N(OFFSET(tpSurvInMx,0,COLUMN(OFFSET(tpSurvInMx,0,0,1,1))-COLUMN(OFFSET(tpSurvInMx,0,0,1,1)),1,1)))</f>
        <v>31.534979999999997</v>
      </c>
      <c r="F25" s="201">
        <f ca="1">SUMPRODUCT(OFFSET(tShpInMx,0,0,1,2),N(OFFSET(tpSurvInMx,0,COLUMN(OFFSET(tpSurvInMx,0,1,1,1))-COLUMN(OFFSET(tpSurvInMx,0,0,1,2)),1,1)))</f>
        <v>63.726599999999998</v>
      </c>
      <c r="G25" s="201">
        <f ca="1">SUMPRODUCT(OFFSET(tShpInMx,0,0,1,3),N(OFFSET(tpSurvInMx,0,COLUMN(OFFSET(tpSurvInMx,0,2,1,1))-COLUMN(OFFSET(tpSurvInMx,0,0,1,3)),1,1)))</f>
        <v>95.764919999999989</v>
      </c>
      <c r="H25" s="201">
        <f ca="1">SUMPRODUCT(OFFSET(tShpInMx,0,0,1,4),N(OFFSET(tpSurvInMx,0,COLUMN(OFFSET(tpSurvInMx,0,3,1,1))-COLUMN(OFFSET(tpSurvInMx,0,0,1,4)),1,1)))</f>
        <v>127.77413999999999</v>
      </c>
      <c r="I25" s="201">
        <f ca="1">SUMPRODUCT(OFFSET(tShpInMx,0,0,1,5),N(OFFSET(tpSurvInMx,0,COLUMN(OFFSET(tpSurvInMx,0,4,1,1))-COLUMN(OFFSET(tpSurvInMx,0,0,1,5)),1,1)))</f>
        <v>159.74333999999999</v>
      </c>
      <c r="J25" s="201">
        <f ca="1">SUMPRODUCT(OFFSET(tShpInMx,0,0,1,6),N(OFFSET(tpSurvInMx,0,COLUMN(OFFSET(tpSurvInMx,0,5,1,1))-COLUMN(OFFSET(tpSurvInMx,0,0,1,6)),1,1)))</f>
        <v>191.61702</v>
      </c>
      <c r="K25" s="201">
        <f ca="1">SUMPRODUCT(OFFSET(tShpInMx,0,0,1,7),N(OFFSET(tpSurvInMx,0,COLUMN(OFFSET(tpSurvInMx,0,6,1,1))-COLUMN(OFFSET(tpSurvInMx,0,0,1,7)),1,1)))</f>
        <v>223.27713859799999</v>
      </c>
      <c r="L25" s="201">
        <f ca="1">SUMPRODUCT(OFFSET(tShpInMx,0,0,1,8),N(OFFSET(tpSurvInMx,0,COLUMN(OFFSET(tpSurvInMx,0,7,1,1))-COLUMN(OFFSET(tpSurvInMx,0,0,1,8)),1,1)))</f>
        <v>254.78707784400001</v>
      </c>
      <c r="M25" s="201">
        <f ca="1">SUMPRODUCT(OFFSET(tShpInMx,0,0,1,9),N(OFFSET(tpSurvInMx,0,COLUMN(OFFSET(tpSurvInMx,0,8,1,1))-COLUMN(OFFSET(tpSurvInMx,0,0,1,9)),1,1)))</f>
        <v>285.930726918</v>
      </c>
      <c r="N25" s="201">
        <f ca="1">SUMPRODUCT(OFFSET(tShpInMx,0,0,1,10),N(OFFSET(tpSurvInMx,0,COLUMN(OFFSET(tpSurvInMx,0,9,1,1))-COLUMN(OFFSET(tpSurvInMx,0,0,1,10)),1,1)))</f>
        <v>316.55971061399998</v>
      </c>
      <c r="O25" s="201">
        <f ca="1">SUMPRODUCT(OFFSET(tShpInMx,0,0,1,11),N(OFFSET(tpSurvInMx,0,COLUMN(OFFSET(tpSurvInMx,0,10,1,1))-COLUMN(OFFSET(tpSurvInMx,0,0,1,11)),1,1)))</f>
        <v>346.58687344800001</v>
      </c>
      <c r="P25" s="201">
        <f ca="1">SUMPRODUCT(OFFSET(tShpInMx,0,0,1,12),N(OFFSET(tpSurvInMx,0,COLUMN(OFFSET(tpSurvInMx,0,11,1,1))-COLUMN(OFFSET(tpSurvInMx,0,0,1,12)),1,1)))</f>
        <v>376.134318216</v>
      </c>
      <c r="Q25" s="201">
        <f ca="1">SUMPRODUCT(OFFSET(tShpInMx,0,0,1,13),N(OFFSET(tpSurvInMx,0,COLUMN(OFFSET(tpSurvInMx,0,12,1,1))-COLUMN(OFFSET(tpSurvInMx,0,0,1,13)),1,1)))</f>
        <v>405.14715203399993</v>
      </c>
      <c r="R25" s="201">
        <f ca="1">SUMPRODUCT(OFFSET(tShpInMx,0,0,1,14),N(OFFSET(tpSurvInMx,0,COLUMN(OFFSET(tpSurvInMx,0,13,1,1))-COLUMN(OFFSET(tpSurvInMx,0,0,1,14)),1,1)))</f>
        <v>433.87042474799995</v>
      </c>
      <c r="S25" s="201">
        <f ca="1">SUMPRODUCT(OFFSET(tShpInMx,0,0,1,15),N(OFFSET(tpSurvInMx,0,COLUMN(OFFSET(tpSurvInMx,0,14,1,1))-COLUMN(OFFSET(tpSurvInMx,0,0,1,15)),1,1)))</f>
        <v>462.60567371399992</v>
      </c>
      <c r="T25" s="201">
        <f ca="1">SUMPRODUCT(OFFSET(tShpInMx,0,0,1,16),N(OFFSET(tpSurvInMx,0,COLUMN(OFFSET(tpSurvInMx,0,15,1,1))-COLUMN(OFFSET(tpSurvInMx,0,0,1,16)),1,1)))</f>
        <v>491.14700563199995</v>
      </c>
      <c r="U25" s="201">
        <f ca="1">SUMPRODUCT(OFFSET(tShpInMx,0,0,1,17),N(OFFSET(tpSurvInMx,0,COLUMN(OFFSET(tpSurvInMx,0,16,1,1))-COLUMN(OFFSET(tpSurvInMx,0,0,1,17)),1,1)))</f>
        <v>519.57960436799988</v>
      </c>
      <c r="V25" s="201">
        <f ca="1">SUMPRODUCT(OFFSET(tShpInMx,0,0,1,18),N(OFFSET(tpSurvInMx,0,COLUMN(OFFSET(tpSurvInMx,0,17,1,1))-COLUMN(OFFSET(tpSurvInMx,0,0,1,18)),1,1)))</f>
        <v>547.97102122799993</v>
      </c>
      <c r="W25" s="201">
        <f ca="1">SUMPRODUCT(OFFSET(tShpInMx,0,0,1,19),N(OFFSET(tpSurvInMx,0,COLUMN(OFFSET(tpSurvInMx,0,18,1,1))-COLUMN(OFFSET(tpSurvInMx,0,0,1,19)),1,1)))</f>
        <v>576.36696156599999</v>
      </c>
      <c r="X25" s="201">
        <f ca="1">SUMPRODUCT(OFFSET(tShpInMx,0,0,1,20),N(OFFSET(tpSurvInMx,0,COLUMN(OFFSET(tpSurvInMx,0,19,1,1))-COLUMN(OFFSET(tpSurvInMx,0,0,1,20)),1,1)))</f>
        <v>604.20946570199999</v>
      </c>
      <c r="Y25" s="201">
        <f ca="1">SUMPRODUCT(OFFSET(tShpInMx,0,0,1,21),N(OFFSET(tpSurvInMx,0,COLUMN(OFFSET(tpSurvInMx,0,20,1,1))-COLUMN(OFFSET(tpSurvInMx,0,0,1,21)),1,1)))</f>
        <v>631.27571822400012</v>
      </c>
      <c r="Z25" s="201">
        <f ca="1">SUMPRODUCT(OFFSET(tShpInMx,0,0,1,22),N(OFFSET(tpSurvInMx,0,COLUMN(OFFSET(tpSurvInMx,0,21,1,1))-COLUMN(OFFSET(tpSurvInMx,0,0,1,22)),1,1)))</f>
        <v>657.26355577800007</v>
      </c>
      <c r="AA25" s="201">
        <f ca="1">SUMPRODUCT(OFFSET(tShpInMx,0,0,1,23),N(OFFSET(tpSurvInMx,0,COLUMN(OFFSET(tpSurvInMx,0,22,1,1))-COLUMN(OFFSET(tpSurvInMx,0,0,1,23)),1,1)))</f>
        <v>682.10041322400014</v>
      </c>
      <c r="AB25" s="201">
        <f ca="1">SUMPRODUCT(OFFSET(tShpInMx,0,0,1,24),N(OFFSET(tpSurvInMx,0,COLUMN(OFFSET(tpSurvInMx,0,23,1,1))-COLUMN(OFFSET(tpSurvInMx,0,0,1,24)),1,1)))</f>
        <v>706.09176277799997</v>
      </c>
      <c r="AC25" s="201">
        <f ca="1">SUMPRODUCT(OFFSET(tShpInMx,0,0,1,25),N(OFFSET(tpSurvInMx,0,COLUMN(OFFSET(tpSurvInMx,0,24,1,1))-COLUMN(OFFSET(tpSurvInMx,0,0,1,25)),1,1)))</f>
        <v>729.44547105599997</v>
      </c>
      <c r="AD25" s="201">
        <f ca="1">SUMPRODUCT(OFFSET(tShpInMx,0,0,1,26),N(OFFSET(tpSurvInMx,0,COLUMN(OFFSET(tpSurvInMx,0,25,1,1))-COLUMN(OFFSET(tpSurvInMx,0,0,1,26)),1,1)))</f>
        <v>752.17902161999996</v>
      </c>
      <c r="AE25" s="201">
        <f ca="1">SUMPRODUCT(OFFSET(tShpInMx,0,0,1,27),N(OFFSET(tpSurvInMx,0,COLUMN(OFFSET(tpSurvInMx,0,26,1,1))-COLUMN(OFFSET(tpSurvInMx,0,0,1,27)),1,1)))</f>
        <v>774.24576296399994</v>
      </c>
      <c r="AF25" s="201">
        <f ca="1">SUMPRODUCT(OFFSET(tShpInMx,0,0,1,28),N(OFFSET(tpSurvInMx,0,COLUMN(OFFSET(tpSurvInMx,0,27,1,1))-COLUMN(OFFSET(tpSurvInMx,0,0,1,28)),1,1)))</f>
        <v>795.82485165000003</v>
      </c>
      <c r="AG25" s="201">
        <f ca="1">SUMPRODUCT(OFFSET(tShpInMx,0,0,1,29),N(OFFSET(tpSurvInMx,0,COLUMN(OFFSET(tpSurvInMx,0,28,1,1))-COLUMN(OFFSET(tpSurvInMx,0,0,1,29)),1,1)))</f>
        <v>816.77833551000003</v>
      </c>
      <c r="AH25" s="201">
        <f ca="1">SUMPRODUCT(OFFSET(tShpInMx,0,0,1,30),N(OFFSET(tpSurvInMx,0,COLUMN(OFFSET(tpSurvInMx,0,29,1,1))-COLUMN(OFFSET(tpSurvInMx,0,0,1,30)),1,1)))</f>
        <v>837.25543727400009</v>
      </c>
      <c r="AI25" s="201">
        <f ca="1">SUMPRODUCT(OFFSET(tShpInMx,0,0,1,31),N(OFFSET(tpSurvInMx,0,COLUMN(OFFSET(tpSurvInMx,0,30,1,1))-COLUMN(OFFSET(tpSurvInMx,0,0,1,31)),1,1)))</f>
        <v>857.13884798999993</v>
      </c>
      <c r="AJ25" s="201">
        <f ca="1">SUMPRODUCT(OFFSET(tShpInMx,0,0,1,32),N(OFFSET(tpSurvInMx,0,COLUMN(OFFSET(tpSurvInMx,0,31,1,1))-COLUMN(OFFSET(tpSurvInMx,0,0,1,32)),1,1)))</f>
        <v>876.46983229799991</v>
      </c>
      <c r="AK25" s="201">
        <f ca="1">SUMPRODUCT(OFFSET(tShpInMx,0,0,1,33),N(OFFSET(tpSurvInMx,0,COLUMN(OFFSET(tpSurvInMx,0,32,1,1))-COLUMN(OFFSET(tpSurvInMx,0,0,1,33)),1,1)))</f>
        <v>895.36551438000004</v>
      </c>
      <c r="AL25" s="201">
        <f ca="1">SUMPRODUCT(OFFSET(tShpInMx,0,0,1,34),N(OFFSET(tpSurvInMx,0,COLUMN(OFFSET(tpSurvInMx,0,33,1,1))-COLUMN(OFFSET(tpSurvInMx,0,0,1,34)),1,1)))</f>
        <v>869.70691747200021</v>
      </c>
      <c r="AM25" s="201">
        <f ca="1">SUMPRODUCT(OFFSET(tShpInMx,0,0,1,35),N(OFFSET(tpSurvInMx,0,COLUMN(OFFSET(tpSurvInMx,0,34,1,1))-COLUMN(OFFSET(tpSurvInMx,0,0,1,35)),1,1)))</f>
        <v>843.19891953599995</v>
      </c>
      <c r="AN25" s="201">
        <f ca="1">SUMPRODUCT(OFFSET(tShpInMx,0,0,1,36),N(OFFSET(tpSurvInMx,0,COLUMN(OFFSET(tpSurvInMx,0,35,1,1))-COLUMN(OFFSET(tpSurvInMx,0,0,1,36)),1,1)))</f>
        <v>815.73792805800008</v>
      </c>
      <c r="AO25" s="201">
        <f ca="1">SUMPRODUCT(OFFSET(tShpInMx,0,0,1,37),N(OFFSET(tpSurvInMx,0,COLUMN(OFFSET(tpSurvInMx,0,36,1,1))-COLUMN(OFFSET(tpSurvInMx,0,0,1,37)),1,1)))</f>
        <v>787.42192834200023</v>
      </c>
      <c r="AP25" s="201">
        <f ca="1">SUMPRODUCT(OFFSET(tShpInMx,0,0,1,38),N(OFFSET(tpSurvInMx,0,COLUMN(OFFSET(tpSurvInMx,0,37,1,1))-COLUMN(OFFSET(tpSurvInMx,0,0,1,38)),1,1)))</f>
        <v>758.18149776600001</v>
      </c>
      <c r="AQ25" s="201">
        <f ca="1">SUMPRODUCT(OFFSET(tShpInMx,0,0,1,39),N(OFFSET(tpSurvInMx,0,COLUMN(OFFSET(tpSurvInMx,0,38,1,1))-COLUMN(OFFSET(tpSurvInMx,0,0,1,39)),1,1)))</f>
        <v>728.09565877199998</v>
      </c>
      <c r="AR25" s="201">
        <f ca="1">SUMPRODUCT(OFFSET(tShpInMx,0,0,1,40),N(OFFSET(tpSurvInMx,0,COLUMN(OFFSET(tpSurvInMx,0,39,1,1))-COLUMN(OFFSET(tpSurvInMx,0,0,1,40)),1,1)))</f>
        <v>697.36267988400004</v>
      </c>
      <c r="AS25" s="201">
        <f ca="1">SUMPRODUCT(OFFSET(tShpInMx,0,0,1,41),N(OFFSET(tpSurvInMx,0,COLUMN(OFFSET(tpSurvInMx,0,40,1,1))-COLUMN(OFFSET(tpSurvInMx,0,0,1,41)),1,1)))</f>
        <v>666.27473745000009</v>
      </c>
      <c r="AT25" s="201">
        <f ca="1">SUMPRODUCT(OFFSET(tShpInMx,0,0,1,42),N(OFFSET(tpSurvInMx,0,COLUMN(OFFSET(tpSurvInMx,0,41,1,1))-COLUMN(OFFSET(tpSurvInMx,0,0,1,42)),1,1)))</f>
        <v>635.00442712199981</v>
      </c>
      <c r="AU25" s="201">
        <f ca="1">SUMPRODUCT(OFFSET(tShpInMx,0,0,1,43),N(OFFSET(tpSurvInMx,0,COLUMN(OFFSET(tpSurvInMx,0,42,1,1))-COLUMN(OFFSET(tpSurvInMx,0,0,1,43)),1,1)))</f>
        <v>603.75125475599998</v>
      </c>
      <c r="AV25" s="201">
        <f ca="1">SUMPRODUCT(OFFSET(tShpInMx,0,0,1,44),N(OFFSET(tpSurvInMx,0,COLUMN(OFFSET(tpSurvInMx,0,43,1,1))-COLUMN(OFFSET(tpSurvInMx,0,0,1,44)),1,1)))</f>
        <v>572.82993485999998</v>
      </c>
      <c r="AW25" s="201">
        <f ca="1">SUMPRODUCT(OFFSET(tShpInMx,0,0,1,45),N(OFFSET(tpSurvInMx,0,COLUMN(OFFSET(tpSurvInMx,0,44,1,1))-COLUMN(OFFSET(tpSurvInMx,0,0,1,45)),1,1)))</f>
        <v>542.15616449399988</v>
      </c>
      <c r="AX25" s="201">
        <f ca="1">SUMPRODUCT(OFFSET(tShpInMx,0,0,1,46),N(OFFSET(tpSurvInMx,0,COLUMN(OFFSET(tpSurvInMx,0,45,1,1))-COLUMN(OFFSET(tpSurvInMx,0,0,1,46)),1,1)))</f>
        <v>511.97719318200006</v>
      </c>
      <c r="AY25" s="201">
        <f ca="1">SUMPRODUCT(OFFSET(tShpInMx,0,0,1,47),N(OFFSET(tpSurvInMx,0,COLUMN(OFFSET(tpSurvInMx,0,46,1,1))-COLUMN(OFFSET(tpSurvInMx,0,0,1,47)),1,1)))</f>
        <v>482.30270242799998</v>
      </c>
      <c r="AZ25" s="201">
        <f ca="1">SUMPRODUCT(OFFSET(tShpInMx,0,0,1,48),N(OFFSET(tpSurvInMx,0,COLUMN(OFFSET(tpSurvInMx,0,47,1,1))-COLUMN(OFFSET(tpSurvInMx,0,0,1,48)),1,1)))</f>
        <v>453.33243361799998</v>
      </c>
      <c r="BA25" s="201">
        <f ca="1">SUMPRODUCT(OFFSET(tShpInMx,0,0,1,49),N(OFFSET(tpSurvInMx,0,COLUMN(OFFSET(tpSurvInMx,0,48,1,1))-COLUMN(OFFSET(tpSurvInMx,0,0,1,49)),1,1)))</f>
        <v>425.17799022599996</v>
      </c>
      <c r="BB25" s="201">
        <f ca="1">SUMPRODUCT(OFFSET(tShpInMx,0,0,1,50),N(OFFSET(tpSurvInMx,0,COLUMN(OFFSET(tpSurvInMx,0,49,1,1))-COLUMN(OFFSET(tpSurvInMx,0,0,1,50)),1,1)))</f>
        <v>397.63536446400002</v>
      </c>
      <c r="BC25" s="201">
        <f ca="1">SUMPRODUCT(OFFSET(tShpInMx,0,0,1,51),N(OFFSET(tpSurvInMx,0,COLUMN(OFFSET(tpSurvInMx,0,50,1,1))-COLUMN(OFFSET(tpSurvInMx,0,0,1,51)),1,1)))</f>
        <v>370.89036672600002</v>
      </c>
      <c r="BD25" s="201">
        <f ca="1">SUMPRODUCT(OFFSET(tShpInMx,0,0,1,52),N(OFFSET(tpSurvInMx,0,COLUMN(OFFSET(tpSurvInMx,0,51,1,1))-COLUMN(OFFSET(tpSurvInMx,0,0,1,52)),1,1)))</f>
        <v>345.11495435400008</v>
      </c>
      <c r="BE25" s="201">
        <f ca="1">SUMPRODUCT(OFFSET(tShpInMx,0,0,1,53),N(OFFSET(tpSurvInMx,0,COLUMN(OFFSET(tpSurvInMx,0,52,1,1))-COLUMN(OFFSET(tpSurvInMx,0,0,1,53)),1,1)))</f>
        <v>320.25190113000002</v>
      </c>
      <c r="BF25" s="201">
        <f ca="1">SUMPRODUCT(OFFSET(tShpInMx,0,0,1,54),N(OFFSET(tpSurvInMx,0,COLUMN(OFFSET(tpSurvInMx,0,53,1,1))-COLUMN(OFFSET(tpSurvInMx,0,0,1,54)),1,1)))</f>
        <v>296.402850108</v>
      </c>
      <c r="BG25" s="201">
        <f ca="1">SUMPRODUCT(OFFSET(tShpInMx,0,0,1,55),N(OFFSET(tpSurvInMx,0,COLUMN(OFFSET(tpSurvInMx,0,54,1,1))-COLUMN(OFFSET(tpSurvInMx,0,0,1,55)),1,1)))</f>
        <v>273.65745397799998</v>
      </c>
      <c r="BH25" s="201">
        <f ca="1">SUMPRODUCT(OFFSET(tShpInMx,0,0,1,56),N(OFFSET(tpSurvInMx,0,COLUMN(OFFSET(tpSurvInMx,0,55,1,1))-COLUMN(OFFSET(tpSurvInMx,0,0,1,56)),1,1)))</f>
        <v>251.96088526800003</v>
      </c>
      <c r="BI25" s="201">
        <f ca="1">SUMPRODUCT(OFFSET(tShpInMx,0,0,1,57),N(OFFSET(tpSurvInMx,0,COLUMN(OFFSET(tpSurvInMx,0,56,1,1))-COLUMN(OFFSET(tpSurvInMx,0,0,1,57)),1,1)))</f>
        <v>231.50742646200001</v>
      </c>
      <c r="BJ25" s="201">
        <f ca="1">SUMPRODUCT(OFFSET(tShpInMx,0,0,1,58),N(OFFSET(tpSurvInMx,0,COLUMN(OFFSET(tpSurvInMx,0,57,1,1))-COLUMN(OFFSET(tpSurvInMx,0,0,1,58)),1,1)))</f>
        <v>212.08842198599999</v>
      </c>
      <c r="BK25" s="201">
        <f ca="1">SUMPRODUCT(OFFSET(tShpInMx,0,0,1,59),N(OFFSET(tpSurvInMx,0,COLUMN(OFFSET(tpSurvInMx,0,58,1,1))-COLUMN(OFFSET(tpSurvInMx,0,0,1,59)),1,1)))</f>
        <v>193.73739570599997</v>
      </c>
      <c r="BL25" s="201">
        <f ca="1">SUMPRODUCT(OFFSET(tShpInMx,0,0,1,60),N(OFFSET(tpSurvInMx,0,COLUMN(OFFSET(tpSurvInMx,0,59,1,1))-COLUMN(OFFSET(tpSurvInMx,0,0,1,60)),1,1)))</f>
        <v>176.56669859399997</v>
      </c>
      <c r="BM25" s="201">
        <f ca="1">SUMPRODUCT(OFFSET(tShpInMx,0,0,1,61),N(OFFSET(tpSurvInMx,0,COLUMN(OFFSET(tpSurvInMx,0,60,1,1))-COLUMN(OFFSET(tpSurvInMx,0,0,1,61)),1,1)))</f>
        <v>160.396398342</v>
      </c>
      <c r="BN25" s="201">
        <f ca="1">SUMPRODUCT(OFFSET(tShpInMx,0,0,1,62),N(OFFSET(tpSurvInMx,0,COLUMN(OFFSET(tpSurvInMx,0,61,1,1))-COLUMN(OFFSET(tpSurvInMx,0,0,1,62)),1,1)))</f>
        <v>145.42433377200001</v>
      </c>
      <c r="BO25" s="201">
        <f ca="1">SUMPRODUCT(OFFSET(tShpInMx,0,0,1,63),N(OFFSET(tpSurvInMx,0,COLUMN(OFFSET(tpSurvInMx,0,62,1,1))-COLUMN(OFFSET(tpSurvInMx,0,0,1,63)),1,1)))</f>
        <v>131.43478394999997</v>
      </c>
      <c r="BP25" s="201">
        <f ca="1">SUMPRODUCT(OFFSET(tShpInMx,0,0,1,64),N(OFFSET(tpSurvInMx,0,COLUMN(OFFSET(tpSurvInMx,0,63,1,1))-COLUMN(OFFSET(tpSurvInMx,0,0,1,64)),1,1)))</f>
        <v>118.59704276399998</v>
      </c>
      <c r="BQ25" s="201">
        <f ca="1">SUMPRODUCT(OFFSET(tShpInMx,0,0,1,65),N(OFFSET(tpSurvInMx,0,COLUMN(OFFSET(tpSurvInMx,0,64,1,1))-COLUMN(OFFSET(tpSurvInMx,0,0,1,65)),1,1)))</f>
        <v>106.85422714799998</v>
      </c>
      <c r="BR25" s="201">
        <f ca="1">SUMPRODUCT(OFFSET(tShpInMx,0,0,1,66),N(OFFSET(tpSurvInMx,0,COLUMN(OFFSET(tpSurvInMx,0,65,1,1))-COLUMN(OFFSET(tpSurvInMx,0,0,1,66)),1,1)))</f>
        <v>96.042211613999996</v>
      </c>
      <c r="BS25" s="201">
        <f ca="1">SUMPRODUCT(OFFSET(tShpInMx,0,0,1,67),N(OFFSET(tpSurvInMx,0,COLUMN(OFFSET(tpSurvInMx,0,66,1,1))-COLUMN(OFFSET(tpSurvInMx,0,0,1,67)),1,1)))</f>
        <v>86.034654749999987</v>
      </c>
      <c r="BT25" s="201">
        <f ca="1">SUMPRODUCT(OFFSET(tShpInMx,0,0,1,68),N(OFFSET(tpSurvInMx,0,COLUMN(OFFSET(tpSurvInMx,0,67,1,1))-COLUMN(OFFSET(tpSurvInMx,0,0,1,68)),1,1)))</f>
        <v>76.734927330000005</v>
      </c>
      <c r="BU25" s="201">
        <f ca="1">SUMPRODUCT(OFFSET(tShpInMx,0,0,1,69),N(OFFSET(tpSurvInMx,0,COLUMN(OFFSET(tpSurvInMx,0,68,1,1))-COLUMN(OFFSET(tpSurvInMx,0,0,1,69)),1,1)))</f>
        <v>68.270714807999994</v>
      </c>
      <c r="BV25" s="201">
        <f ca="1">SUMPRODUCT(OFFSET(tShpInMx,0,0,1,70),N(OFFSET(tpSurvInMx,0,COLUMN(OFFSET(tpSurvInMx,0,69,1,1))-COLUMN(OFFSET(tpSurvInMx,0,0,1,70)),1,1)))</f>
        <v>60.488054453999993</v>
      </c>
      <c r="BW25" s="201">
        <f ca="1">SUMPRODUCT(OFFSET(tShpInMx,0,0,1,71),N(OFFSET(tpSurvInMx,0,COLUMN(OFFSET(tpSurvInMx,0,70,1,1))-COLUMN(OFFSET(tpSurvInMx,0,0,1,71)),1,1)))</f>
        <v>53.470307573999989</v>
      </c>
      <c r="BX25" s="201">
        <f ca="1">SUMPRODUCT(OFFSET(tShpInMx,0,0,1,72),N(OFFSET(tpSurvInMx,0,COLUMN(OFFSET(tpSurvInMx,0,71,1,1))-COLUMN(OFFSET(tpSurvInMx,0,0,1,72)),1,1)))</f>
        <v>47.090293361999997</v>
      </c>
      <c r="BY25" s="201">
        <f ca="1">SUMPRODUCT(OFFSET(tShpInMx,0,0,1,73),N(OFFSET(tpSurvInMx,0,COLUMN(OFFSET(tpSurvInMx,0,72,1,1))-COLUMN(OFFSET(tpSurvInMx,0,0,1,73)),1,1)))</f>
        <v>41.363815625999997</v>
      </c>
      <c r="BZ25" s="201">
        <f ca="1">SUMPRODUCT(OFFSET(tShpInMx,0,0,1,74),N(OFFSET(tpSurvInMx,0,COLUMN(OFFSET(tpSurvInMx,0,73,1,1))-COLUMN(OFFSET(tpSurvInMx,0,0,1,74)),1,1)))</f>
        <v>36.140794019999994</v>
      </c>
      <c r="CA25" s="201">
        <f ca="1">SUMPRODUCT(OFFSET(tShpInMx,0,0,1,75),N(OFFSET(tpSurvInMx,0,COLUMN(OFFSET(tpSurvInMx,0,74,1,1))-COLUMN(OFFSET(tpSurvInMx,0,0,1,75)),1,1)))</f>
        <v>31.372372847999998</v>
      </c>
      <c r="CB25" s="201">
        <f ca="1">SUMPRODUCT(OFFSET(tShpInMx,0,0,1,76),N(OFFSET(tpSurvInMx,0,COLUMN(OFFSET(tpSurvInMx,0,75,1,1))-COLUMN(OFFSET(tpSurvInMx,0,0,1,76)),1,1)))</f>
        <v>27.082929354000001</v>
      </c>
      <c r="CC25" s="201">
        <f ca="1">SUMPRODUCT(OFFSET(tShpInMx,0,0,1,77),N(OFFSET(tpSurvInMx,0,COLUMN(OFFSET(tpSurvInMx,0,76,1,1))-COLUMN(OFFSET(tpSurvInMx,0,0,1,77)),1,1)))</f>
        <v>23.124853788000003</v>
      </c>
      <c r="CD25" s="201">
        <f ca="1">SUMPRODUCT(OFFSET(tShpInMx,0,0,1,78),N(OFFSET(tpSurvInMx,0,COLUMN(OFFSET(tpSurvInMx,0,77,1,1))-COLUMN(OFFSET(tpSurvInMx,0,0,1,78)),1,1)))</f>
        <v>19.592245013999996</v>
      </c>
      <c r="CE25" s="201">
        <f ca="1">SUMPRODUCT(OFFSET(tShpInMx,0,0,1,79),N(OFFSET(tpSurvInMx,0,COLUMN(OFFSET(tpSurvInMx,0,78,1,1))-COLUMN(OFFSET(tpSurvInMx,0,0,1,79)),1,1)))</f>
        <v>16.460563212</v>
      </c>
      <c r="CF25" s="201">
        <f ca="1">SUMPRODUCT(OFFSET(tShpInMx,0,0,1,80),N(OFFSET(tpSurvInMx,0,COLUMN(OFFSET(tpSurvInMx,0,79,1,1))-COLUMN(OFFSET(tpSurvInMx,0,0,1,80)),1,1)))</f>
        <v>13.699087973999998</v>
      </c>
      <c r="CG25" s="201">
        <f ca="1">SUMPRODUCT(OFFSET(tShpInMx,0,0,1,81),N(OFFSET(tpSurvInMx,0,COLUMN(OFFSET(tpSurvInMx,0,80,1,1))-COLUMN(OFFSET(tpSurvInMx,0,0,1,81)),1,1)))</f>
        <v>11.210187401999999</v>
      </c>
      <c r="CH25" s="201">
        <f ca="1">SUMPRODUCT(OFFSET(tShpInMx,0,0,1,82),N(OFFSET(tpSurvInMx,0,COLUMN(OFFSET(tpSurvInMx,0,81,1,1))-COLUMN(OFFSET(tpSurvInMx,0,0,1,82)),1,1)))</f>
        <v>9.0398111039999982</v>
      </c>
      <c r="CI25" s="201">
        <f ca="1">SUMPRODUCT(OFFSET(tShpInMx,0,0,1,83),N(OFFSET(tpSurvInMx,0,COLUMN(OFFSET(tpSurvInMx,0,82,1,1))-COLUMN(OFFSET(tpSurvInMx,0,0,1,83)),1,1)))</f>
        <v>7.1951459159999995</v>
      </c>
      <c r="CJ25" s="201">
        <f ca="1">SUMPRODUCT(OFFSET(tShpInMx,0,0,1,84),N(OFFSET(tpSurvInMx,0,COLUMN(OFFSET(tpSurvInMx,0,83,1,1))-COLUMN(OFFSET(tpSurvInMx,0,0,1,84)),1,1)))</f>
        <v>5.6138049299999997</v>
      </c>
      <c r="CK25" s="201">
        <f ca="1">SUMPRODUCT(OFFSET(tShpInMx,0,0,1,85),N(OFFSET(tpSurvInMx,0,COLUMN(OFFSET(tpSurvInMx,0,84,1,1))-COLUMN(OFFSET(tpSurvInMx,0,0,1,85)),1,1)))</f>
        <v>4.2195076139999994</v>
      </c>
      <c r="CL25" s="201">
        <f ca="1">SUMPRODUCT(OFFSET(tShpInMx,0,0,1,86),N(OFFSET(tpSurvInMx,0,COLUMN(OFFSET(tpSurvInMx,0,85,1,1))-COLUMN(OFFSET(tpSurvInMx,0,0,1,86)),1,1)))</f>
        <v>3.0810285839999998</v>
      </c>
      <c r="CM25" s="201">
        <f ca="1">SUMPRODUCT(OFFSET(tShpInMx,0,0,1,87),N(OFFSET(tpSurvInMx,0,COLUMN(OFFSET(tpSurvInMx,0,86,1,1))-COLUMN(OFFSET(tpSurvInMx,0,0,1,87)),1,1)))</f>
        <v>2.1177357179999996</v>
      </c>
      <c r="CN25" s="201">
        <f ca="1">SUMPRODUCT(OFFSET(tShpInMx,0,0,1,88),N(OFFSET(tpSurvInMx,0,COLUMN(OFFSET(tpSurvInMx,0,87,1,1))-COLUMN(OFFSET(tpSurvInMx,0,0,1,88)),1,1)))</f>
        <v>1.3540431179999999</v>
      </c>
      <c r="CO25" s="201">
        <f ca="1">SUMPRODUCT(OFFSET(tShpInMx,0,0,1,89),N(OFFSET(tpSurvInMx,0,COLUMN(OFFSET(tpSurvInMx,0,88,1,1))-COLUMN(OFFSET(tpSurvInMx,0,0,1,89)),1,1)))</f>
        <v>0.77930891999999985</v>
      </c>
      <c r="CP25" s="201">
        <f ca="1">SUMPRODUCT(OFFSET(tShpInMx,0,0,1,90),N(OFFSET(tpSurvInMx,0,COLUMN(OFFSET(tpSurvInMx,0,89,1,1))-COLUMN(OFFSET(tpSurvInMx,0,0,1,90)),1,1)))</f>
        <v>0.37832608799999995</v>
      </c>
      <c r="CQ25" s="201">
        <f ca="1">SUMPRODUCT(OFFSET(tShpInMx,0,0,1,91),N(OFFSET(tpSurvInMx,0,COLUMN(OFFSET(tpSurvInMx,0,90,1,1))-COLUMN(OFFSET(tpSurvInMx,0,0,1,91)),1,1)))</f>
        <v>0.10473811199999998</v>
      </c>
      <c r="CR25" s="202">
        <f ca="1">SUMPRODUCT(OFFSET(tShpInMx,0,0,1,92),N(OFFSET(tpSurvInMx,0,COLUMN(OFFSET(tpSurvInMx,0,91,1,1))-COLUMN(OFFSET(tpSurvInMx,0,0,1,92)),1,1)))</f>
        <v>0</v>
      </c>
      <c r="CS25" s="126"/>
    </row>
    <row r="26" spans="2:97">
      <c r="B26" s="126"/>
      <c r="C26" s="23" t="str">
        <f>INDEX(_pcName,6)</f>
        <v>Radial</v>
      </c>
      <c r="D26" s="16" t="s">
        <v>37</v>
      </c>
      <c r="E26" s="200">
        <f ca="1">SUMPRODUCT(OFFSET(tShpRad,0,0,1,1),N(OFFSET(tpSurvRad,0,COLUMN(OFFSET(tpSurvRad,0,0,1,1))-COLUMN(OFFSET(tpSurvRad,0,0,1,1)),1,1)))</f>
        <v>47.302469999999992</v>
      </c>
      <c r="F26" s="201">
        <f ca="1">SUMPRODUCT(OFFSET(tShpRad,0,0,1,2),N(OFFSET(tpSurvRad,0,COLUMN(OFFSET(tpSurvRad,0,1,1,1))-COLUMN(OFFSET(tpSurvRad,0,0,1,2)),1,1)))</f>
        <v>95.5899</v>
      </c>
      <c r="G26" s="201">
        <f ca="1">SUMPRODUCT(OFFSET(tShpRad,0,0,1,3),N(OFFSET(tpSurvRad,0,COLUMN(OFFSET(tpSurvRad,0,2,1,1))-COLUMN(OFFSET(tpSurvRad,0,0,1,3)),1,1)))</f>
        <v>143.64738</v>
      </c>
      <c r="H26" s="201">
        <f ca="1">SUMPRODUCT(OFFSET(tShpRad,0,0,1,4),N(OFFSET(tpSurvRad,0,COLUMN(OFFSET(tpSurvRad,0,3,1,1))-COLUMN(OFFSET(tpSurvRad,0,0,1,4)),1,1)))</f>
        <v>191.66120999999998</v>
      </c>
      <c r="I26" s="201">
        <f ca="1">SUMPRODUCT(OFFSET(tShpRad,0,0,1,5),N(OFFSET(tpSurvRad,0,COLUMN(OFFSET(tpSurvRad,0,4,1,1))-COLUMN(OFFSET(tpSurvRad,0,0,1,5)),1,1)))</f>
        <v>239.61500999999998</v>
      </c>
      <c r="J26" s="201">
        <f ca="1">SUMPRODUCT(OFFSET(tShpRad,0,0,1,6),N(OFFSET(tpSurvRad,0,COLUMN(OFFSET(tpSurvRad,0,5,1,1))-COLUMN(OFFSET(tpSurvRad,0,0,1,6)),1,1)))</f>
        <v>287.42552999999998</v>
      </c>
      <c r="K26" s="201">
        <f ca="1">SUMPRODUCT(OFFSET(tShpRad,0,0,1,7),N(OFFSET(tpSurvRad,0,COLUMN(OFFSET(tpSurvRad,0,6,1,1))-COLUMN(OFFSET(tpSurvRad,0,0,1,7)),1,1)))</f>
        <v>334.82110295699999</v>
      </c>
      <c r="L26" s="201">
        <f ca="1">SUMPRODUCT(OFFSET(tShpRad,0,0,1,8),N(OFFSET(tpSurvRad,0,COLUMN(OFFSET(tpSurvRad,0,7,1,1))-COLUMN(OFFSET(tpSurvRad,0,0,1,8)),1,1)))</f>
        <v>381.99416721299997</v>
      </c>
      <c r="M26" s="201">
        <f ca="1">SUMPRODUCT(OFFSET(tShpRad,0,0,1,9),N(OFFSET(tpSurvRad,0,COLUMN(OFFSET(tpSurvRad,0,8,1,1))-COLUMN(OFFSET(tpSurvRad,0,0,1,9)),1,1)))</f>
        <v>428.55213114899999</v>
      </c>
      <c r="N26" s="201">
        <f ca="1">SUMPRODUCT(OFFSET(tShpRad,0,0,1,10),N(OFFSET(tpSurvRad,0,COLUMN(OFFSET(tpSurvRad,0,9,1,1))-COLUMN(OFFSET(tpSurvRad,0,0,1,10)),1,1)))</f>
        <v>474.459768801</v>
      </c>
      <c r="O26" s="201">
        <f ca="1">SUMPRODUCT(OFFSET(tShpRad,0,0,1,11),N(OFFSET(tpSurvRad,0,COLUMN(OFFSET(tpSurvRad,0,10,1,1))-COLUMN(OFFSET(tpSurvRad,0,0,1,11)),1,1)))</f>
        <v>519.57173911500001</v>
      </c>
      <c r="P26" s="201">
        <f ca="1">SUMPRODUCT(OFFSET(tShpRad,0,0,1,12),N(OFFSET(tpSurvRad,0,COLUMN(OFFSET(tpSurvRad,0,11,1,1))-COLUMN(OFFSET(tpSurvRad,0,0,1,12)),1,1)))</f>
        <v>564.12214118999998</v>
      </c>
      <c r="Q26" s="201">
        <f ca="1">SUMPRODUCT(OFFSET(tShpRad,0,0,1,13),N(OFFSET(tpSurvRad,0,COLUMN(OFFSET(tpSurvRad,0,12,1,1))-COLUMN(OFFSET(tpSurvRad,0,0,1,13)),1,1)))</f>
        <v>608.22354294000002</v>
      </c>
      <c r="R26" s="201">
        <f ca="1">SUMPRODUCT(OFFSET(tShpRad,0,0,1,14),N(OFFSET(tpSurvRad,0,COLUMN(OFFSET(tpSurvRad,0,13,1,1))-COLUMN(OFFSET(tpSurvRad,0,0,1,14)),1,1)))</f>
        <v>651.92029428600006</v>
      </c>
      <c r="S26" s="201">
        <f ca="1">SUMPRODUCT(OFFSET(tShpRad,0,0,1,15),N(OFFSET(tpSurvRad,0,COLUMN(OFFSET(tpSurvRad,0,14,1,1))-COLUMN(OFFSET(tpSurvRad,0,0,1,15)),1,1)))</f>
        <v>695.846078154</v>
      </c>
      <c r="T26" s="201">
        <f ca="1">SUMPRODUCT(OFFSET(tShpRad,0,0,1,16),N(OFFSET(tpSurvRad,0,COLUMN(OFFSET(tpSurvRad,0,15,1,1))-COLUMN(OFFSET(tpSurvRad,0,0,1,16)),1,1)))</f>
        <v>739.74873166199995</v>
      </c>
      <c r="U26" s="201">
        <f ca="1">SUMPRODUCT(OFFSET(tShpRad,0,0,1,17),N(OFFSET(tpSurvRad,0,COLUMN(OFFSET(tpSurvRad,0,16,1,1))-COLUMN(OFFSET(tpSurvRad,0,0,1,17)),1,1)))</f>
        <v>783.5722606889999</v>
      </c>
      <c r="V26" s="201">
        <f ca="1">SUMPRODUCT(OFFSET(tShpRad,0,0,1,18),N(OFFSET(tpSurvRad,0,COLUMN(OFFSET(tpSurvRad,0,17,1,1))-COLUMN(OFFSET(tpSurvRad,0,0,1,18)),1,1)))</f>
        <v>827.51247697499991</v>
      </c>
      <c r="W26" s="201">
        <f ca="1">SUMPRODUCT(OFFSET(tShpRad,0,0,1,19),N(OFFSET(tpSurvRad,0,COLUMN(OFFSET(tpSurvRad,0,18,1,1))-COLUMN(OFFSET(tpSurvRad,0,0,1,19)),1,1)))</f>
        <v>871.60332402000006</v>
      </c>
      <c r="X26" s="201">
        <f ca="1">SUMPRODUCT(OFFSET(tShpRad,0,0,1,20),N(OFFSET(tpSurvRad,0,COLUMN(OFFSET(tpSurvRad,0,19,1,1))-COLUMN(OFFSET(tpSurvRad,0,0,1,20)),1,1)))</f>
        <v>915.12062680499992</v>
      </c>
      <c r="Y26" s="201">
        <f ca="1">SUMPRODUCT(OFFSET(tShpRad,0,0,1,21),N(OFFSET(tpSurvRad,0,COLUMN(OFFSET(tpSurvRad,0,20,1,1))-COLUMN(OFFSET(tpSurvRad,0,0,1,21)),1,1)))</f>
        <v>957.76832673899992</v>
      </c>
      <c r="Z26" s="201">
        <f ca="1">SUMPRODUCT(OFFSET(tShpRad,0,0,1,22),N(OFFSET(tpSurvRad,0,COLUMN(OFFSET(tpSurvRad,0,21,1,1))-COLUMN(OFFSET(tpSurvRad,0,0,1,22)),1,1)))</f>
        <v>999.15246705599998</v>
      </c>
      <c r="AA26" s="201">
        <f ca="1">SUMPRODUCT(OFFSET(tShpRad,0,0,1,23),N(OFFSET(tpSurvRad,0,COLUMN(OFFSET(tpSurvRad,0,22,1,1))-COLUMN(OFFSET(tpSurvRad,0,0,1,23)),1,1)))</f>
        <v>1039.058669943</v>
      </c>
      <c r="AB26" s="201">
        <f ca="1">SUMPRODUCT(OFFSET(tShpRad,0,0,1,24),N(OFFSET(tpSurvRad,0,COLUMN(OFFSET(tpSurvRad,0,23,1,1))-COLUMN(OFFSET(tpSurvRad,0,0,1,24)),1,1)))</f>
        <v>1077.9976071269998</v>
      </c>
      <c r="AC26" s="201">
        <f ca="1">SUMPRODUCT(OFFSET(tShpRad,0,0,1,25),N(OFFSET(tpSurvRad,0,COLUMN(OFFSET(tpSurvRad,0,24,1,1))-COLUMN(OFFSET(tpSurvRad,0,0,1,25)),1,1)))</f>
        <v>1116.106607385</v>
      </c>
      <c r="AD26" s="201">
        <f ca="1">SUMPRODUCT(OFFSET(tShpRad,0,0,1,26),N(OFFSET(tpSurvRad,0,COLUMN(OFFSET(tpSurvRad,0,25,1,1))-COLUMN(OFFSET(tpSurvRad,0,0,1,26)),1,1)))</f>
        <v>1153.4899522860001</v>
      </c>
      <c r="AE26" s="201">
        <f ca="1">SUMPRODUCT(OFFSET(tShpRad,0,0,1,27),N(OFFSET(tpSurvRad,0,COLUMN(OFFSET(tpSurvRad,0,26,1,1))-COLUMN(OFFSET(tpSurvRad,0,0,1,27)),1,1)))</f>
        <v>1190.1863058210001</v>
      </c>
      <c r="AF26" s="201">
        <f ca="1">SUMPRODUCT(OFFSET(tShpRad,0,0,1,28),N(OFFSET(tpSurvRad,0,COLUMN(OFFSET(tpSurvRad,0,27,1,1))-COLUMN(OFFSET(tpSurvRad,0,0,1,28)),1,1)))</f>
        <v>1226.3296930019997</v>
      </c>
      <c r="AG26" s="201">
        <f ca="1">SUMPRODUCT(OFFSET(tShpRad,0,0,1,29),N(OFFSET(tpSurvRad,0,COLUMN(OFFSET(tpSurvRad,0,28,1,1))-COLUMN(OFFSET(tpSurvRad,0,0,1,29)),1,1)))</f>
        <v>1261.923326784</v>
      </c>
      <c r="AH26" s="201">
        <f ca="1">SUMPRODUCT(OFFSET(tShpRad,0,0,1,30),N(OFFSET(tpSurvRad,0,COLUMN(OFFSET(tpSurvRad,0,29,1,1))-COLUMN(OFFSET(tpSurvRad,0,0,1,30)),1,1)))</f>
        <v>1297.0247364810002</v>
      </c>
      <c r="AI26" s="201">
        <f ca="1">SUMPRODUCT(OFFSET(tShpRad,0,0,1,31),N(OFFSET(tpSurvRad,0,COLUMN(OFFSET(tpSurvRad,0,30,1,1))-COLUMN(OFFSET(tpSurvRad,0,0,1,31)),1,1)))</f>
        <v>1331.468468217</v>
      </c>
      <c r="AJ26" s="201">
        <f ca="1">SUMPRODUCT(OFFSET(tShpRad,0,0,1,32),N(OFFSET(tpSurvRad,0,COLUMN(OFFSET(tpSurvRad,0,31,1,1))-COLUMN(OFFSET(tpSurvRad,0,0,1,32)),1,1)))</f>
        <v>1365.3227318219997</v>
      </c>
      <c r="AK26" s="201">
        <f ca="1">SUMPRODUCT(OFFSET(tShpRad,0,0,1,33),N(OFFSET(tpSurvRad,0,COLUMN(OFFSET(tpSurvRad,0,32,1,1))-COLUMN(OFFSET(tpSurvRad,0,0,1,33)),1,1)))</f>
        <v>1398.7314650339995</v>
      </c>
      <c r="AL26" s="201">
        <f ca="1">SUMPRODUCT(OFFSET(tShpRad,0,0,1,34),N(OFFSET(tpSurvRad,0,COLUMN(OFFSET(tpSurvRad,0,33,1,1))-COLUMN(OFFSET(tpSurvRad,0,0,1,34)),1,1)))</f>
        <v>1365.4904917499994</v>
      </c>
      <c r="AM26" s="201">
        <f ca="1">SUMPRODUCT(OFFSET(tShpRad,0,0,1,35),N(OFFSET(tpSurvRad,0,COLUMN(OFFSET(tpSurvRad,0,34,1,1))-COLUMN(OFFSET(tpSurvRad,0,0,1,35)),1,1)))</f>
        <v>1330.9376104349999</v>
      </c>
      <c r="AN26" s="201">
        <f ca="1">SUMPRODUCT(OFFSET(tShpRad,0,0,1,36),N(OFFSET(tpSurvRad,0,COLUMN(OFFSET(tpSurvRad,0,35,1,1))-COLUMN(OFFSET(tpSurvRad,0,0,1,36)),1,1)))</f>
        <v>1295.0884668509993</v>
      </c>
      <c r="AO26" s="201">
        <f ca="1">SUMPRODUCT(OFFSET(tShpRad,0,0,1,37),N(OFFSET(tpSurvRad,0,COLUMN(OFFSET(tpSurvRad,0,36,1,1))-COLUMN(OFFSET(tpSurvRad,0,0,1,37)),1,1)))</f>
        <v>1258.067481561</v>
      </c>
      <c r="AP26" s="201">
        <f ca="1">SUMPRODUCT(OFFSET(tShpRad,0,0,1,38),N(OFFSET(tpSurvRad,0,COLUMN(OFFSET(tpSurvRad,0,37,1,1))-COLUMN(OFFSET(tpSurvRad,0,0,1,38)),1,1)))</f>
        <v>1219.8751662510003</v>
      </c>
      <c r="AQ26" s="201">
        <f ca="1">SUMPRODUCT(OFFSET(tShpRad,0,0,1,39),N(OFFSET(tpSurvRad,0,COLUMN(OFFSET(tpSurvRad,0,38,1,1))-COLUMN(OFFSET(tpSurvRad,0,0,1,39)),1,1)))</f>
        <v>1180.5229653030001</v>
      </c>
      <c r="AR26" s="201">
        <f ca="1">SUMPRODUCT(OFFSET(tShpRad,0,0,1,40),N(OFFSET(tpSurvRad,0,COLUMN(OFFSET(tpSurvRad,0,39,1,1))-COLUMN(OFFSET(tpSurvRad,0,0,1,40)),1,1)))</f>
        <v>1140.4168428149999</v>
      </c>
      <c r="AS26" s="201">
        <f ca="1">SUMPRODUCT(OFFSET(tShpRad,0,0,1,41),N(OFFSET(tpSurvRad,0,COLUMN(OFFSET(tpSurvRad,0,40,1,1))-COLUMN(OFFSET(tpSurvRad,0,0,1,41)),1,1)))</f>
        <v>1099.6697177999999</v>
      </c>
      <c r="AT26" s="201">
        <f ca="1">SUMPRODUCT(OFFSET(tShpRad,0,0,1,42),N(OFFSET(tpSurvRad,0,COLUMN(OFFSET(tpSurvRad,0,41,1,1))-COLUMN(OFFSET(tpSurvRad,0,0,1,42)),1,1)))</f>
        <v>1058.6773304369999</v>
      </c>
      <c r="AU26" s="201">
        <f ca="1">SUMPRODUCT(OFFSET(tShpRad,0,0,1,43),N(OFFSET(tpSurvRad,0,COLUMN(OFFSET(tpSurvRad,0,42,1,1))-COLUMN(OFFSET(tpSurvRad,0,0,1,43)),1,1)))</f>
        <v>1017.4177400309998</v>
      </c>
      <c r="AV26" s="201">
        <f ca="1">SUMPRODUCT(OFFSET(tShpRad,0,0,1,44),N(OFFSET(tpSurvRad,0,COLUMN(OFFSET(tpSurvRad,0,43,1,1))-COLUMN(OFFSET(tpSurvRad,0,0,1,44)),1,1)))</f>
        <v>976.46604074999982</v>
      </c>
      <c r="AW26" s="201">
        <f ca="1">SUMPRODUCT(OFFSET(tShpRad,0,0,1,45),N(OFFSET(tpSurvRad,0,COLUMN(OFFSET(tpSurvRad,0,44,1,1))-COLUMN(OFFSET(tpSurvRad,0,0,1,45)),1,1)))</f>
        <v>935.66619135899987</v>
      </c>
      <c r="AX26" s="201">
        <f ca="1">SUMPRODUCT(OFFSET(tShpRad,0,0,1,46),N(OFFSET(tpSurvRad,0,COLUMN(OFFSET(tpSurvRad,0,45,1,1))-COLUMN(OFFSET(tpSurvRad,0,0,1,46)),1,1)))</f>
        <v>895.00362423299998</v>
      </c>
      <c r="AY26" s="201">
        <f ca="1">SUMPRODUCT(OFFSET(tShpRad,0,0,1,47),N(OFFSET(tpSurvRad,0,COLUMN(OFFSET(tpSurvRad,0,46,1,1))-COLUMN(OFFSET(tpSurvRad,0,0,1,47)),1,1)))</f>
        <v>855.02130520499986</v>
      </c>
      <c r="AZ26" s="201">
        <f ca="1">SUMPRODUCT(OFFSET(tShpRad,0,0,1,48),N(OFFSET(tpSurvRad,0,COLUMN(OFFSET(tpSurvRad,0,47,1,1))-COLUMN(OFFSET(tpSurvRad,0,0,1,48)),1,1)))</f>
        <v>815.58912026699988</v>
      </c>
      <c r="BA26" s="201">
        <f ca="1">SUMPRODUCT(OFFSET(tShpRad,0,0,1,49),N(OFFSET(tpSurvRad,0,COLUMN(OFFSET(tpSurvRad,0,48,1,1))-COLUMN(OFFSET(tpSurvRad,0,0,1,49)),1,1)))</f>
        <v>776.94783240600009</v>
      </c>
      <c r="BB26" s="201">
        <f ca="1">SUMPRODUCT(OFFSET(tShpRad,0,0,1,50),N(OFFSET(tpSurvRad,0,COLUMN(OFFSET(tpSurvRad,0,49,1,1))-COLUMN(OFFSET(tpSurvRad,0,0,1,50)),1,1)))</f>
        <v>739.03085054999997</v>
      </c>
      <c r="BC26" s="201">
        <f ca="1">SUMPRODUCT(OFFSET(tShpRad,0,0,1,51),N(OFFSET(tpSurvRad,0,COLUMN(OFFSET(tpSurvRad,0,50,1,1))-COLUMN(OFFSET(tpSurvRad,0,0,1,51)),1,1)))</f>
        <v>701.86073084999987</v>
      </c>
      <c r="BD26" s="201">
        <f ca="1">SUMPRODUCT(OFFSET(tShpRad,0,0,1,52),N(OFFSET(tpSurvRad,0,COLUMN(OFFSET(tpSurvRad,0,51,1,1))-COLUMN(OFFSET(tpSurvRad,0,0,1,52)),1,1)))</f>
        <v>665.65425511799992</v>
      </c>
      <c r="BE26" s="201">
        <f ca="1">SUMPRODUCT(OFFSET(tShpRad,0,0,1,53),N(OFFSET(tpSurvRad,0,COLUMN(OFFSET(tpSurvRad,0,52,1,1))-COLUMN(OFFSET(tpSurvRad,0,0,1,53)),1,1)))</f>
        <v>630.18730604699999</v>
      </c>
      <c r="BF26" s="201">
        <f ca="1">SUMPRODUCT(OFFSET(tShpRad,0,0,1,54),N(OFFSET(tpSurvRad,0,COLUMN(OFFSET(tpSurvRad,0,53,1,1))-COLUMN(OFFSET(tpSurvRad,0,0,1,54)),1,1)))</f>
        <v>595.46661765299996</v>
      </c>
      <c r="BG26" s="201">
        <f ca="1">SUMPRODUCT(OFFSET(tShpRad,0,0,1,55),N(OFFSET(tpSurvRad,0,COLUMN(OFFSET(tpSurvRad,0,54,1,1))-COLUMN(OFFSET(tpSurvRad,0,0,1,55)),1,1)))</f>
        <v>561.61731794399998</v>
      </c>
      <c r="BH26" s="201">
        <f ca="1">SUMPRODUCT(OFFSET(tShpRad,0,0,1,56),N(OFFSET(tpSurvRad,0,COLUMN(OFFSET(tpSurvRad,0,55,1,1))-COLUMN(OFFSET(tpSurvRad,0,0,1,56)),1,1)))</f>
        <v>528.67263440700003</v>
      </c>
      <c r="BI26" s="201">
        <f ca="1">SUMPRODUCT(OFFSET(tShpRad,0,0,1,57),N(OFFSET(tpSurvRad,0,COLUMN(OFFSET(tpSurvRad,0,56,1,1))-COLUMN(OFFSET(tpSurvRad,0,0,1,57)),1,1)))</f>
        <v>496.92255374699994</v>
      </c>
      <c r="BJ26" s="201">
        <f ca="1">SUMPRODUCT(OFFSET(tShpRad,0,0,1,58),N(OFFSET(tpSurvRad,0,COLUMN(OFFSET(tpSurvRad,0,57,1,1))-COLUMN(OFFSET(tpSurvRad,0,0,1,58)),1,1)))</f>
        <v>466.15883745599996</v>
      </c>
      <c r="BK26" s="201">
        <f ca="1">SUMPRODUCT(OFFSET(tShpRad,0,0,1,59),N(OFFSET(tpSurvRad,0,COLUMN(OFFSET(tpSurvRad,0,58,1,1))-COLUMN(OFFSET(tpSurvRad,0,0,1,59)),1,1)))</f>
        <v>436.34354984999993</v>
      </c>
      <c r="BL26" s="201">
        <f ca="1">SUMPRODUCT(OFFSET(tShpRad,0,0,1,60),N(OFFSET(tpSurvRad,0,COLUMN(OFFSET(tpSurvRad,0,59,1,1))-COLUMN(OFFSET(tpSurvRad,0,0,1,60)),1,1)))</f>
        <v>407.40152318100002</v>
      </c>
      <c r="BM26" s="201">
        <f ca="1">SUMPRODUCT(OFFSET(tShpRad,0,0,1,61),N(OFFSET(tpSurvRad,0,COLUMN(OFFSET(tpSurvRad,0,60,1,1))-COLUMN(OFFSET(tpSurvRad,0,0,1,61)),1,1)))</f>
        <v>379.74111939899996</v>
      </c>
      <c r="BN26" s="201">
        <f ca="1">SUMPRODUCT(OFFSET(tShpRad,0,0,1,62),N(OFFSET(tpSurvRad,0,COLUMN(OFFSET(tpSurvRad,0,61,1,1))-COLUMN(OFFSET(tpSurvRad,0,0,1,62)),1,1)))</f>
        <v>353.37531800699992</v>
      </c>
      <c r="BO26" s="201">
        <f ca="1">SUMPRODUCT(OFFSET(tShpRad,0,0,1,63),N(OFFSET(tpSurvRad,0,COLUMN(OFFSET(tpSurvRad,0,62,1,1))-COLUMN(OFFSET(tpSurvRad,0,0,1,63)),1,1)))</f>
        <v>328.21718787899994</v>
      </c>
      <c r="BP26" s="201">
        <f ca="1">SUMPRODUCT(OFFSET(tShpRad,0,0,1,64),N(OFFSET(tpSurvRad,0,COLUMN(OFFSET(tpSurvRad,0,63,1,1))-COLUMN(OFFSET(tpSurvRad,0,0,1,64)),1,1)))</f>
        <v>304.49210310899997</v>
      </c>
      <c r="BQ26" s="201">
        <f ca="1">SUMPRODUCT(OFFSET(tShpRad,0,0,1,65),N(OFFSET(tpSurvRad,0,COLUMN(OFFSET(tpSurvRad,0,64,1,1))-COLUMN(OFFSET(tpSurvRad,0,0,1,65)),1,1)))</f>
        <v>282.09026206800002</v>
      </c>
      <c r="BR26" s="201">
        <f ca="1">SUMPRODUCT(OFFSET(tShpRad,0,0,1,66),N(OFFSET(tpSurvRad,0,COLUMN(OFFSET(tpSurvRad,0,65,1,1))-COLUMN(OFFSET(tpSurvRad,0,0,1,66)),1,1)))</f>
        <v>260.803997487</v>
      </c>
      <c r="BS26" s="201">
        <f ca="1">SUMPRODUCT(OFFSET(tShpRad,0,0,1,67),N(OFFSET(tpSurvRad,0,COLUMN(OFFSET(tpSurvRad,0,66,1,1))-COLUMN(OFFSET(tpSurvRad,0,0,1,67)),1,1)))</f>
        <v>240.47463154500002</v>
      </c>
      <c r="BT26" s="201">
        <f ca="1">SUMPRODUCT(OFFSET(tShpRad,0,0,1,68),N(OFFSET(tpSurvRad,0,COLUMN(OFFSET(tpSurvRad,0,67,1,1))-COLUMN(OFFSET(tpSurvRad,0,0,1,68)),1,1)))</f>
        <v>221.26126751100003</v>
      </c>
      <c r="BU26" s="201">
        <f ca="1">SUMPRODUCT(OFFSET(tShpRad,0,0,1,69),N(OFFSET(tpSurvRad,0,COLUMN(OFFSET(tpSurvRad,0,68,1,1))-COLUMN(OFFSET(tpSurvRad,0,0,1,69)),1,1)))</f>
        <v>203.11670232899999</v>
      </c>
      <c r="BV26" s="201">
        <f ca="1">SUMPRODUCT(OFFSET(tShpRad,0,0,1,70),N(OFFSET(tpSurvRad,0,COLUMN(OFFSET(tpSurvRad,0,69,1,1))-COLUMN(OFFSET(tpSurvRad,0,0,1,70)),1,1)))</f>
        <v>185.84216949599997</v>
      </c>
      <c r="BW26" s="201">
        <f ca="1">SUMPRODUCT(OFFSET(tShpRad,0,0,1,71),N(OFFSET(tpSurvRad,0,COLUMN(OFFSET(tpSurvRad,0,70,1,1))-COLUMN(OFFSET(tpSurvRad,0,0,1,71)),1,1)))</f>
        <v>169.41615083099998</v>
      </c>
      <c r="BX26" s="201">
        <f ca="1">SUMPRODUCT(OFFSET(tShpRad,0,0,1,72),N(OFFSET(tpSurvRad,0,COLUMN(OFFSET(tpSurvRad,0,71,1,1))-COLUMN(OFFSET(tpSurvRad,0,0,1,72)),1,1)))</f>
        <v>153.80056305899998</v>
      </c>
      <c r="BY26" s="201">
        <f ca="1">SUMPRODUCT(OFFSET(tShpRad,0,0,1,73),N(OFFSET(tpSurvRad,0,COLUMN(OFFSET(tpSurvRad,0,72,1,1))-COLUMN(OFFSET(tpSurvRad,0,0,1,73)),1,1)))</f>
        <v>139.051602</v>
      </c>
      <c r="BZ26" s="201">
        <f ca="1">SUMPRODUCT(OFFSET(tShpRad,0,0,1,74),N(OFFSET(tpSurvRad,0,COLUMN(OFFSET(tpSurvRad,0,73,1,1))-COLUMN(OFFSET(tpSurvRad,0,0,1,74)),1,1)))</f>
        <v>125.20986246899997</v>
      </c>
      <c r="CA26" s="201">
        <f ca="1">SUMPRODUCT(OFFSET(tShpRad,0,0,1,75),N(OFFSET(tpSurvRad,0,COLUMN(OFFSET(tpSurvRad,0,74,1,1))-COLUMN(OFFSET(tpSurvRad,0,0,1,75)),1,1)))</f>
        <v>112.15135340099998</v>
      </c>
      <c r="CB26" s="201">
        <f ca="1">SUMPRODUCT(OFFSET(tShpRad,0,0,1,76),N(OFFSET(tpSurvRad,0,COLUMN(OFFSET(tpSurvRad,0,75,1,1))-COLUMN(OFFSET(tpSurvRad,0,0,1,76)),1,1)))</f>
        <v>100.003705569</v>
      </c>
      <c r="CC26" s="201">
        <f ca="1">SUMPRODUCT(OFFSET(tShpRad,0,0,1,77),N(OFFSET(tpSurvRad,0,COLUMN(OFFSET(tpSurvRad,0,76,1,1))-COLUMN(OFFSET(tpSurvRad,0,0,1,77)),1,1)))</f>
        <v>88.444542869999992</v>
      </c>
      <c r="CD26" s="201">
        <f ca="1">SUMPRODUCT(OFFSET(tShpRad,0,0,1,78),N(OFFSET(tpSurvRad,0,COLUMN(OFFSET(tpSurvRad,0,77,1,1))-COLUMN(OFFSET(tpSurvRad,0,0,1,78)),1,1)))</f>
        <v>77.568624899999989</v>
      </c>
      <c r="CE26" s="201">
        <f ca="1">SUMPRODUCT(OFFSET(tShpRad,0,0,1,79),N(OFFSET(tpSurvRad,0,COLUMN(OFFSET(tpSurvRad,0,78,1,1))-COLUMN(OFFSET(tpSurvRad,0,0,1,79)),1,1)))</f>
        <v>67.507957169999997</v>
      </c>
      <c r="CF26" s="201">
        <f ca="1">SUMPRODUCT(OFFSET(tShpRad,0,0,1,80),N(OFFSET(tpSurvRad,0,COLUMN(OFFSET(tpSurvRad,0,79,1,1))-COLUMN(OFFSET(tpSurvRad,0,0,1,80)),1,1)))</f>
        <v>58.115374055999993</v>
      </c>
      <c r="CG26" s="201">
        <f ca="1">SUMPRODUCT(OFFSET(tShpRad,0,0,1,81),N(OFFSET(tpSurvRad,0,COLUMN(OFFSET(tpSurvRad,0,80,1,1))-COLUMN(OFFSET(tpSurvRad,0,0,1,81)),1,1)))</f>
        <v>49.469333102999997</v>
      </c>
      <c r="CH26" s="201">
        <f ca="1">SUMPRODUCT(OFFSET(tShpRad,0,0,1,82),N(OFFSET(tpSurvRad,0,COLUMN(OFFSET(tpSurvRad,0,81,1,1))-COLUMN(OFFSET(tpSurvRad,0,0,1,82)),1,1)))</f>
        <v>41.419515636</v>
      </c>
      <c r="CI26" s="201">
        <f ca="1">SUMPRODUCT(OFFSET(tShpRad,0,0,1,83),N(OFFSET(tpSurvRad,0,COLUMN(OFFSET(tpSurvRad,0,82,1,1))-COLUMN(OFFSET(tpSurvRad,0,0,1,83)),1,1)))</f>
        <v>33.996651560999993</v>
      </c>
      <c r="CJ26" s="201">
        <f ca="1">SUMPRODUCT(OFFSET(tShpRad,0,0,1,84),N(OFFSET(tpSurvRad,0,COLUMN(OFFSET(tpSurvRad,0,83,1,1))-COLUMN(OFFSET(tpSurvRad,0,0,1,84)),1,1)))</f>
        <v>27.266729759999997</v>
      </c>
      <c r="CK26" s="201">
        <f ca="1">SUMPRODUCT(OFFSET(tShpRad,0,0,1,85),N(OFFSET(tpSurvRad,0,COLUMN(OFFSET(tpSurvRad,0,84,1,1))-COLUMN(OFFSET(tpSurvRad,0,0,1,85)),1,1)))</f>
        <v>21.244268025</v>
      </c>
      <c r="CL26" s="201">
        <f ca="1">SUMPRODUCT(OFFSET(tShpRad,0,0,1,86),N(OFFSET(tpSurvRad,0,COLUMN(OFFSET(tpSurvRad,0,85,1,1))-COLUMN(OFFSET(tpSurvRad,0,0,1,86)),1,1)))</f>
        <v>15.998209397999998</v>
      </c>
      <c r="CM26" s="201">
        <f ca="1">SUMPRODUCT(OFFSET(tShpRad,0,0,1,87),N(OFFSET(tpSurvRad,0,COLUMN(OFFSET(tpSurvRad,0,86,1,1))-COLUMN(OFFSET(tpSurvRad,0,0,1,87)),1,1)))</f>
        <v>11.538825426000001</v>
      </c>
      <c r="CN26" s="201">
        <f ca="1">SUMPRODUCT(OFFSET(tShpRad,0,0,1,88),N(OFFSET(tpSurvRad,0,COLUMN(OFFSET(tpSurvRad,0,87,1,1))-COLUMN(OFFSET(tpSurvRad,0,0,1,88)),1,1)))</f>
        <v>7.796916414</v>
      </c>
      <c r="CO26" s="201">
        <f ca="1">SUMPRODUCT(OFFSET(tShpRad,0,0,1,89),N(OFFSET(tpSurvRad,0,COLUMN(OFFSET(tpSurvRad,0,88,1,1))-COLUMN(OFFSET(tpSurvRad,0,0,1,89)),1,1)))</f>
        <v>4.8084588450000005</v>
      </c>
      <c r="CP26" s="201">
        <f ca="1">SUMPRODUCT(OFFSET(tShpRad,0,0,1,90),N(OFFSET(tpSurvRad,0,COLUMN(OFFSET(tpSurvRad,0,89,1,1))-COLUMN(OFFSET(tpSurvRad,0,0,1,90)),1,1)))</f>
        <v>2.444087304</v>
      </c>
      <c r="CQ26" s="201">
        <f ca="1">SUMPRODUCT(OFFSET(tShpRad,0,0,1,91),N(OFFSET(tpSurvRad,0,COLUMN(OFFSET(tpSurvRad,0,90,1,1))-COLUMN(OFFSET(tpSurvRad,0,0,1,91)),1,1)))</f>
        <v>0.83135876399999997</v>
      </c>
      <c r="CR26" s="202">
        <f ca="1">SUMPRODUCT(OFFSET(tShpRad,0,0,1,92),N(OFFSET(tpSurvRad,0,COLUMN(OFFSET(tpSurvRad,0,91,1,1))-COLUMN(OFFSET(tpSurvRad,0,0,1,92)),1,1)))</f>
        <v>0</v>
      </c>
      <c r="CS26" s="126"/>
    </row>
    <row r="27" spans="2:97">
      <c r="B27" s="126"/>
      <c r="C27" s="15" t="str">
        <f>INDEX(_pcName,7)</f>
        <v>Power Roof Vent</v>
      </c>
      <c r="D27" s="5" t="s">
        <v>37</v>
      </c>
      <c r="E27" s="209">
        <f ca="1">SUMPRODUCT(OFFSET(tShpPRV,0,0,1,1),N(OFFSET(tpSurvPRV,0,COLUMN(OFFSET(tpSurvPRV,0,0,1,1))-COLUMN(OFFSET(tpSurvPRV,0,0,1,1)),1,1)))</f>
        <v>86.721194999999994</v>
      </c>
      <c r="F27" s="210">
        <f ca="1">SUMPRODUCT(OFFSET(tShpPRV,0,0,1,2),N(OFFSET(tpSurvPRV,0,COLUMN(OFFSET(tpSurvPRV,0,1,1,1))-COLUMN(OFFSET(tpSurvPRV,0,0,1,2)),1,1)))</f>
        <v>175.24815000000001</v>
      </c>
      <c r="G27" s="210">
        <f ca="1">SUMPRODUCT(OFFSET(tShpPRV,0,0,1,3),N(OFFSET(tpSurvPRV,0,COLUMN(OFFSET(tpSurvPRV,0,2,1,1))-COLUMN(OFFSET(tpSurvPRV,0,0,1,3)),1,1)))</f>
        <v>263.35352999999998</v>
      </c>
      <c r="H27" s="210">
        <f ca="1">SUMPRODUCT(OFFSET(tShpPRV,0,0,1,4),N(OFFSET(tpSurvPRV,0,COLUMN(OFFSET(tpSurvPRV,0,3,1,1))-COLUMN(OFFSET(tpSurvPRV,0,0,1,4)),1,1)))</f>
        <v>351.37888499999997</v>
      </c>
      <c r="I27" s="210">
        <f ca="1">SUMPRODUCT(OFFSET(tShpPRV,0,0,1,5),N(OFFSET(tpSurvPRV,0,COLUMN(OFFSET(tpSurvPRV,0,4,1,1))-COLUMN(OFFSET(tpSurvPRV,0,0,1,5)),1,1)))</f>
        <v>439.29418499999997</v>
      </c>
      <c r="J27" s="210">
        <f ca="1">SUMPRODUCT(OFFSET(tShpPRV,0,0,1,6),N(OFFSET(tpSurvPRV,0,COLUMN(OFFSET(tpSurvPRV,0,5,1,1))-COLUMN(OFFSET(tpSurvPRV,0,0,1,6)),1,1)))</f>
        <v>526.94680499999993</v>
      </c>
      <c r="K27" s="210">
        <f ca="1">SUMPRODUCT(OFFSET(tShpPRV,0,0,1,7),N(OFFSET(tpSurvPRV,0,COLUMN(OFFSET(tpSurvPRV,0,6,1,1))-COLUMN(OFFSET(tpSurvPRV,0,0,1,7)),1,1)))</f>
        <v>613.88204935199997</v>
      </c>
      <c r="L27" s="210">
        <f ca="1">SUMPRODUCT(OFFSET(tShpPRV,0,0,1,8),N(OFFSET(tpSurvPRV,0,COLUMN(OFFSET(tpSurvPRV,0,7,1,1))-COLUMN(OFFSET(tpSurvPRV,0,0,1,8)),1,1)))</f>
        <v>700.45362456300006</v>
      </c>
      <c r="M27" s="210">
        <f ca="1">SUMPRODUCT(OFFSET(tShpPRV,0,0,1,9),N(OFFSET(tpSurvPRV,0,COLUMN(OFFSET(tpSurvPRV,0,8,1,1))-COLUMN(OFFSET(tpSurvPRV,0,0,1,9)),1,1)))</f>
        <v>785.99360126099998</v>
      </c>
      <c r="N27" s="210">
        <f ca="1">SUMPRODUCT(OFFSET(tShpPRV,0,0,1,10),N(OFFSET(tpSurvPRV,0,COLUMN(OFFSET(tpSurvPRV,0,9,1,1))-COLUMN(OFFSET(tpSurvPRV,0,0,1,10)),1,1)))</f>
        <v>870.41242559700004</v>
      </c>
      <c r="O27" s="210">
        <f ca="1">SUMPRODUCT(OFFSET(tShpPRV,0,0,1,11),N(OFFSET(tpSurvPRV,0,COLUMN(OFFSET(tpSurvPRV,0,10,1,1))-COLUMN(OFFSET(tpSurvPRV,0,0,1,11)),1,1)))</f>
        <v>953.49482198850012</v>
      </c>
      <c r="P27" s="210">
        <f ca="1">SUMPRODUCT(OFFSET(tShpPRV,0,0,1,12),N(OFFSET(tpSurvPRV,0,COLUMN(OFFSET(tpSurvPRV,0,11,1,1))-COLUMN(OFFSET(tpSurvPRV,0,0,1,12)),1,1)))</f>
        <v>1035.3588063885002</v>
      </c>
      <c r="Q27" s="210">
        <f ca="1">SUMPRODUCT(OFFSET(tShpPRV,0,0,1,13),N(OFFSET(tpSurvPRV,0,COLUMN(OFFSET(tpSurvPRV,0,12,1,1))-COLUMN(OFFSET(tpSurvPRV,0,0,1,13)),1,1)))</f>
        <v>1115.9523849540001</v>
      </c>
      <c r="R27" s="210">
        <f ca="1">SUMPRODUCT(OFFSET(tShpPRV,0,0,1,14),N(OFFSET(tpSurvPRV,0,COLUMN(OFFSET(tpSurvPRV,0,13,1,1))-COLUMN(OFFSET(tpSurvPRV,0,0,1,14)),1,1)))</f>
        <v>1195.7781049335001</v>
      </c>
      <c r="S27" s="210">
        <f ca="1">SUMPRODUCT(OFFSET(tShpPRV,0,0,1,15),N(OFFSET(tpSurvPRV,0,COLUMN(OFFSET(tpSurvPRV,0,14,1,1))-COLUMN(OFFSET(tpSurvPRV,0,0,1,15)),1,1)))</f>
        <v>1275.9733410765002</v>
      </c>
      <c r="T27" s="210">
        <f ca="1">SUMPRODUCT(OFFSET(tShpPRV,0,0,1,16),N(OFFSET(tpSurvPRV,0,COLUMN(OFFSET(tpSurvPRV,0,15,1,1))-COLUMN(OFFSET(tpSurvPRV,0,0,1,16)),1,1)))</f>
        <v>1355.8656785685</v>
      </c>
      <c r="U27" s="210">
        <f ca="1">SUMPRODUCT(OFFSET(tShpPRV,0,0,1,17),N(OFFSET(tpSurvPRV,0,COLUMN(OFFSET(tpSurvPRV,0,16,1,1))-COLUMN(OFFSET(tpSurvPRV,0,0,1,17)),1,1)))</f>
        <v>1435.513902504</v>
      </c>
      <c r="V27" s="210">
        <f ca="1">SUMPRODUCT(OFFSET(tShpPRV,0,0,1,18),N(OFFSET(tpSurvPRV,0,COLUMN(OFFSET(tpSurvPRV,0,17,1,1))-COLUMN(OFFSET(tpSurvPRV,0,0,1,18)),1,1)))</f>
        <v>1515.1354101510001</v>
      </c>
      <c r="W27" s="210">
        <f ca="1">SUMPRODUCT(OFFSET(tShpPRV,0,0,1,19),N(OFFSET(tpSurvPRV,0,COLUMN(OFFSET(tpSurvPRV,0,18,1,1))-COLUMN(OFFSET(tpSurvPRV,0,0,1,19)),1,1)))</f>
        <v>1594.8652151190001</v>
      </c>
      <c r="X27" s="210">
        <f ca="1">SUMPRODUCT(OFFSET(tShpPRV,0,0,1,20),N(OFFSET(tpSurvPRV,0,COLUMN(OFFSET(tpSurvPRV,0,19,1,1))-COLUMN(OFFSET(tpSurvPRV,0,0,1,20)),1,1)))</f>
        <v>1673.2556742000004</v>
      </c>
      <c r="Y27" s="210">
        <f ca="1">SUMPRODUCT(OFFSET(tShpPRV,0,0,1,21),N(OFFSET(tpSurvPRV,0,COLUMN(OFFSET(tpSurvPRV,0,20,1,1))-COLUMN(OFFSET(tpSurvPRV,0,0,1,21)),1,1)))</f>
        <v>1749.6174599805004</v>
      </c>
      <c r="Z27" s="210">
        <f ca="1">SUMPRODUCT(OFFSET(tShpPRV,0,0,1,22),N(OFFSET(tpSurvPRV,0,COLUMN(OFFSET(tpSurvPRV,0,21,1,1))-COLUMN(OFFSET(tpSurvPRV,0,0,1,22)),1,1)))</f>
        <v>1823.4610727685003</v>
      </c>
      <c r="AA27" s="210">
        <f ca="1">SUMPRODUCT(OFFSET(tShpPRV,0,0,1,23),N(OFFSET(tpSurvPRV,0,COLUMN(OFFSET(tpSurvPRV,0,22,1,1))-COLUMN(OFFSET(tpSurvPRV,0,0,1,23)),1,1)))</f>
        <v>1894.3985487240004</v>
      </c>
      <c r="AB27" s="210">
        <f ca="1">SUMPRODUCT(OFFSET(tShpPRV,0,0,1,24),N(OFFSET(tpSurvPRV,0,COLUMN(OFFSET(tpSurvPRV,0,23,1,1))-COLUMN(OFFSET(tpSurvPRV,0,0,1,24)),1,1)))</f>
        <v>1963.4345911290002</v>
      </c>
      <c r="AC27" s="210">
        <f ca="1">SUMPRODUCT(OFFSET(tShpPRV,0,0,1,25),N(OFFSET(tpSurvPRV,0,COLUMN(OFFSET(tpSurvPRV,0,24,1,1))-COLUMN(OFFSET(tpSurvPRV,0,0,1,25)),1,1)))</f>
        <v>2030.7768447614999</v>
      </c>
      <c r="AD27" s="210">
        <f ca="1">SUMPRODUCT(OFFSET(tShpPRV,0,0,1,26),N(OFFSET(tpSurvPRV,0,COLUMN(OFFSET(tpSurvPRV,0,25,1,1))-COLUMN(OFFSET(tpSurvPRV,0,0,1,26)),1,1)))</f>
        <v>2096.9035366620001</v>
      </c>
      <c r="AE27" s="210">
        <f ca="1">SUMPRODUCT(OFFSET(tShpPRV,0,0,1,27),N(OFFSET(tpSurvPRV,0,COLUMN(OFFSET(tpSurvPRV,0,26,1,1))-COLUMN(OFFSET(tpSurvPRV,0,0,1,27)),1,1)))</f>
        <v>2161.7712271815003</v>
      </c>
      <c r="AF27" s="210">
        <f ca="1">SUMPRODUCT(OFFSET(tShpPRV,0,0,1,28),N(OFFSET(tpSurvPRV,0,COLUMN(OFFSET(tpSurvPRV,0,27,1,1))-COLUMN(OFFSET(tpSurvPRV,0,0,1,28)),1,1)))</f>
        <v>2225.6012532434997</v>
      </c>
      <c r="AG27" s="210">
        <f ca="1">SUMPRODUCT(OFFSET(tShpPRV,0,0,1,29),N(OFFSET(tpSurvPRV,0,COLUMN(OFFSET(tpSurvPRV,0,28,1,1))-COLUMN(OFFSET(tpSurvPRV,0,0,1,29)),1,1)))</f>
        <v>2288.2812611174995</v>
      </c>
      <c r="AH27" s="210">
        <f ca="1">SUMPRODUCT(OFFSET(tShpPRV,0,0,1,30),N(OFFSET(tpSurvPRV,0,COLUMN(OFFSET(tpSurvPRV,0,29,1,1))-COLUMN(OFFSET(tpSurvPRV,0,0,1,30)),1,1)))</f>
        <v>2349.8851616789998</v>
      </c>
      <c r="AI27" s="210">
        <f ca="1">SUMPRODUCT(OFFSET(tShpPRV,0,0,1,31),N(OFFSET(tpSurvPRV,0,COLUMN(OFFSET(tpSurvPRV,0,30,1,1))-COLUMN(OFFSET(tpSurvPRV,0,0,1,31)),1,1)))</f>
        <v>2410.5218070449996</v>
      </c>
      <c r="AJ27" s="210">
        <f ca="1">SUMPRODUCT(OFFSET(tShpPRV,0,0,1,32),N(OFFSET(tpSurvPRV,0,COLUMN(OFFSET(tpSurvPRV,0,31,1,1))-COLUMN(OFFSET(tpSurvPRV,0,0,1,32)),1,1)))</f>
        <v>2470.1107095224993</v>
      </c>
      <c r="AK27" s="210">
        <f ca="1">SUMPRODUCT(OFFSET(tShpPRV,0,0,1,33),N(OFFSET(tpSurvPRV,0,COLUMN(OFFSET(tpSurvPRV,0,32,1,1))-COLUMN(OFFSET(tpSurvPRV,0,0,1,33)),1,1)))</f>
        <v>2529.0128062979993</v>
      </c>
      <c r="AL27" s="210">
        <f ca="1">SUMPRODUCT(OFFSET(tShpPRV,0,0,1,34),N(OFFSET(tpSurvPRV,0,COLUMN(OFFSET(tpSurvPRV,0,33,1,1))-COLUMN(OFFSET(tpSurvPRV,0,0,1,34)),1,1)))</f>
        <v>2465.5510514744997</v>
      </c>
      <c r="AM27" s="210">
        <f ca="1">SUMPRODUCT(OFFSET(tShpPRV,0,0,1,35),N(OFFSET(tpSurvPRV,0,COLUMN(OFFSET(tpSurvPRV,0,34,1,1))-COLUMN(OFFSET(tpSurvPRV,0,0,1,35)),1,1)))</f>
        <v>2399.864510637</v>
      </c>
      <c r="AN27" s="210">
        <f ca="1">SUMPRODUCT(OFFSET(tShpPRV,0,0,1,36),N(OFFSET(tpSurvPRV,0,COLUMN(OFFSET(tpSurvPRV,0,35,1,1))-COLUMN(OFFSET(tpSurvPRV,0,0,1,36)),1,1)))</f>
        <v>2331.9824272799997</v>
      </c>
      <c r="AO27" s="210">
        <f ca="1">SUMPRODUCT(OFFSET(tShpPRV,0,0,1,37),N(OFFSET(tpSurvPRV,0,COLUMN(OFFSET(tpSurvPRV,0,36,1,1))-COLUMN(OFFSET(tpSurvPRV,0,0,1,37)),1,1)))</f>
        <v>2261.7857023244997</v>
      </c>
      <c r="AP27" s="210">
        <f ca="1">SUMPRODUCT(OFFSET(tShpPRV,0,0,1,38),N(OFFSET(tpSurvPRV,0,COLUMN(OFFSET(tpSurvPRV,0,37,1,1))-COLUMN(OFFSET(tpSurvPRV,0,0,1,38)),1,1)))</f>
        <v>2189.4255795224999</v>
      </c>
      <c r="AQ27" s="210">
        <f ca="1">SUMPRODUCT(OFFSET(tShpPRV,0,0,1,39),N(OFFSET(tpSurvPRV,0,COLUMN(OFFSET(tpSurvPRV,0,38,1,1))-COLUMN(OFFSET(tpSurvPRV,0,0,1,39)),1,1)))</f>
        <v>2114.9543871225001</v>
      </c>
      <c r="AR27" s="210">
        <f ca="1">SUMPRODUCT(OFFSET(tShpPRV,0,0,1,40),N(OFFSET(tpSurvPRV,0,COLUMN(OFFSET(tpSurvPRV,0,39,1,1))-COLUMN(OFFSET(tpSurvPRV,0,0,1,40)),1,1)))</f>
        <v>2039.2213707359999</v>
      </c>
      <c r="AS27" s="210">
        <f ca="1">SUMPRODUCT(OFFSET(tShpPRV,0,0,1,41),N(OFFSET(tpSurvPRV,0,COLUMN(OFFSET(tpSurvPRV,0,40,1,1))-COLUMN(OFFSET(tpSurvPRV,0,0,1,41)),1,1)))</f>
        <v>1962.5238091140002</v>
      </c>
      <c r="AT27" s="210">
        <f ca="1">SUMPRODUCT(OFFSET(tShpPRV,0,0,1,42),N(OFFSET(tpSurvPRV,0,COLUMN(OFFSET(tpSurvPRV,0,41,1,1))-COLUMN(OFFSET(tpSurvPRV,0,0,1,42)),1,1)))</f>
        <v>1885.4079586814998</v>
      </c>
      <c r="AU27" s="210">
        <f ca="1">SUMPRODUCT(OFFSET(tShpPRV,0,0,1,43),N(OFFSET(tpSurvPRV,0,COLUMN(OFFSET(tpSurvPRV,0,42,1,1))-COLUMN(OFFSET(tpSurvPRV,0,0,1,43)),1,1)))</f>
        <v>1807.8487525229998</v>
      </c>
      <c r="AV27" s="210">
        <f ca="1">SUMPRODUCT(OFFSET(tShpPRV,0,0,1,44),N(OFFSET(tpSurvPRV,0,COLUMN(OFFSET(tpSurvPRV,0,43,1,1))-COLUMN(OFFSET(tpSurvPRV,0,0,1,44)),1,1)))</f>
        <v>1730.7038384625</v>
      </c>
      <c r="AW27" s="210">
        <f ca="1">SUMPRODUCT(OFFSET(tShpPRV,0,0,1,45),N(OFFSET(tpSurvPRV,0,COLUMN(OFFSET(tpSurvPRV,0,44,1,1))-COLUMN(OFFSET(tpSurvPRV,0,0,1,45)),1,1)))</f>
        <v>1654.0694578980001</v>
      </c>
      <c r="AX27" s="210">
        <f ca="1">SUMPRODUCT(OFFSET(tShpPRV,0,0,1,46),N(OFFSET(tpSurvPRV,0,COLUMN(OFFSET(tpSurvPRV,0,45,1,1))-COLUMN(OFFSET(tpSurvPRV,0,0,1,46)),1,1)))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SUMPRODUCT(OFFSET(tShpPRV,0,0,1,48),N(OFFSET(tpSurvPRV,0,COLUMN(OFFSET(tpSurvPRV,0,47,1,1))-COLUMN(OFFSET(tpSurvPRV,0,0,1,48)),1,1)))</f>
        <v>1430.5766366760001</v>
      </c>
      <c r="BA27" s="210">
        <f ca="1">SUMPRODUCT(OFFSET(tShpPRV,0,0,1,49),N(OFFSET(tpSurvPRV,0,COLUMN(OFFSET(tpSurvPRV,0,48,1,1))-COLUMN(OFFSET(tpSurvPRV,0,0,1,49)),1,1)))</f>
        <v>1358.9105438534998</v>
      </c>
      <c r="BB27" s="210">
        <f ca="1">SUMPRODUCT(OFFSET(tShpPRV,0,0,1,50),N(OFFSET(tpSurvPRV,0,COLUMN(OFFSET(tpSurvPRV,0,49,1,1))-COLUMN(OFFSET(tpSurvPRV,0,0,1,50)),1,1)))</f>
        <v>1288.734967674</v>
      </c>
      <c r="BC27" s="210">
        <f ca="1">SUMPRODUCT(OFFSET(tShpPRV,0,0,1,51),N(OFFSET(tpSurvPRV,0,COLUMN(OFFSET(tpSurvPRV,0,50,1,1))-COLUMN(OFFSET(tpSurvPRV,0,0,1,51)),1,1)))</f>
        <v>1220.1961309394999</v>
      </c>
      <c r="BD27" s="210">
        <f ca="1">SUMPRODUCT(OFFSET(tShpPRV,0,0,1,52),N(OFFSET(tpSurvPRV,0,COLUMN(OFFSET(tpSurvPRV,0,51,1,1))-COLUMN(OFFSET(tpSurvPRV,0,0,1,52)),1,1)))</f>
        <v>1153.6239004124998</v>
      </c>
      <c r="BE27" s="210">
        <f ca="1">SUMPRODUCT(OFFSET(tShpPRV,0,0,1,53),N(OFFSET(tpSurvPRV,0,COLUMN(OFFSET(tpSurvPRV,0,52,1,1))-COLUMN(OFFSET(tpSurvPRV,0,0,1,53)),1,1)))</f>
        <v>1088.9343794834999</v>
      </c>
      <c r="BF27" s="210">
        <f ca="1">SUMPRODUCT(OFFSET(tShpPRV,0,0,1,54),N(OFFSET(tpSurvPRV,0,COLUMN(OFFSET(tpSurvPRV,0,53,1,1))-COLUMN(OFFSET(tpSurvPRV,0,0,1,54)),1,1)))</f>
        <v>1026.2116305870002</v>
      </c>
      <c r="BG27" s="210">
        <f ca="1">SUMPRODUCT(OFFSET(tShpPRV,0,0,1,55),N(OFFSET(tpSurvPRV,0,COLUMN(OFFSET(tpSurvPRV,0,54,1,1))-COLUMN(OFFSET(tpSurvPRV,0,0,1,55)),1,1)))</f>
        <v>965.56970970899988</v>
      </c>
      <c r="BH27" s="210">
        <f ca="1">SUMPRODUCT(OFFSET(tShpPRV,0,0,1,56),N(OFFSET(tpSurvPRV,0,COLUMN(OFFSET(tpSurvPRV,0,55,1,1))-COLUMN(OFFSET(tpSurvPRV,0,0,1,56)),1,1)))</f>
        <v>906.96169568400001</v>
      </c>
      <c r="BI27" s="210">
        <f ca="1">SUMPRODUCT(OFFSET(tShpPRV,0,0,1,57),N(OFFSET(tpSurvPRV,0,COLUMN(OFFSET(tpSurvPRV,0,56,1,1))-COLUMN(OFFSET(tpSurvPRV,0,0,1,57)),1,1)))</f>
        <v>850.6569981854999</v>
      </c>
      <c r="BJ27" s="210">
        <f ca="1">SUMPRODUCT(OFFSET(tShpPRV,0,0,1,58),N(OFFSET(tpSurvPRV,0,COLUMN(OFFSET(tpSurvPRV,0,57,1,1))-COLUMN(OFFSET(tpSurvPRV,0,0,1,58)),1,1)))</f>
        <v>796.63254560999997</v>
      </c>
      <c r="BK27" s="210">
        <f ca="1">SUMPRODUCT(OFFSET(tShpPRV,0,0,1,59),N(OFFSET(tpSurvPRV,0,COLUMN(OFFSET(tpSurvPRV,0,58,1,1))-COLUMN(OFFSET(tpSurvPRV,0,0,1,59)),1,1)))</f>
        <v>744.33059924849999</v>
      </c>
      <c r="BL27" s="210">
        <f ca="1">SUMPRODUCT(OFFSET(tShpPRV,0,0,1,60),N(OFFSET(tpSurvPRV,0,COLUMN(OFFSET(tpSurvPRV,0,59,1,1))-COLUMN(OFFSET(tpSurvPRV,0,0,1,60)),1,1)))</f>
        <v>693.98657311500006</v>
      </c>
      <c r="BM27" s="210">
        <f ca="1">SUMPRODUCT(OFFSET(tShpPRV,0,0,1,61),N(OFFSET(tpSurvPRV,0,COLUMN(OFFSET(tpSurvPRV,0,60,1,1))-COLUMN(OFFSET(tpSurvPRV,0,0,1,61)),1,1)))</f>
        <v>646.03351957649988</v>
      </c>
      <c r="BN27" s="210">
        <f ca="1">SUMPRODUCT(OFFSET(tShpPRV,0,0,1,62),N(OFFSET(tpSurvPRV,0,COLUMN(OFFSET(tpSurvPRV,0,61,1,1))-COLUMN(OFFSET(tpSurvPRV,0,0,1,62)),1,1)))</f>
        <v>600.64000664250011</v>
      </c>
      <c r="BO27" s="210">
        <f ca="1">SUMPRODUCT(OFFSET(tShpPRV,0,0,1,63),N(OFFSET(tpSurvPRV,0,COLUMN(OFFSET(tpSurvPRV,0,62,1,1))-COLUMN(OFFSET(tpSurvPRV,0,0,1,63)),1,1)))</f>
        <v>557.67238475850002</v>
      </c>
      <c r="BP27" s="210">
        <f ca="1">SUMPRODUCT(OFFSET(tShpPRV,0,0,1,64),N(OFFSET(tpSurvPRV,0,COLUMN(OFFSET(tpSurvPRV,0,63,1,1))-COLUMN(OFFSET(tpSurvPRV,0,0,1,64)),1,1)))</f>
        <v>516.96554365500003</v>
      </c>
      <c r="BQ27" s="210">
        <f ca="1">SUMPRODUCT(OFFSET(tShpPRV,0,0,1,65),N(OFFSET(tpSurvPRV,0,COLUMN(OFFSET(tpSurvPRV,0,64,1,1))-COLUMN(OFFSET(tpSurvPRV,0,0,1,65)),1,1)))</f>
        <v>478.61863460400002</v>
      </c>
      <c r="BR27" s="210">
        <f ca="1">SUMPRODUCT(OFFSET(tShpPRV,0,0,1,66),N(OFFSET(tpSurvPRV,0,COLUMN(OFFSET(tpSurvPRV,0,65,1,1))-COLUMN(OFFSET(tpSurvPRV,0,0,1,66)),1,1)))</f>
        <v>442.10878323150001</v>
      </c>
      <c r="BS27" s="210">
        <f ca="1">SUMPRODUCT(OFFSET(tShpPRV,0,0,1,67),N(OFFSET(tpSurvPRV,0,COLUMN(OFFSET(tpSurvPRV,0,66,1,1))-COLUMN(OFFSET(tpSurvPRV,0,0,1,67)),1,1)))</f>
        <v>407.57184203999992</v>
      </c>
      <c r="BT27" s="210">
        <f ca="1">SUMPRODUCT(OFFSET(tShpPRV,0,0,1,68),N(OFFSET(tpSurvPRV,0,COLUMN(OFFSET(tpSurvPRV,0,67,1,1))-COLUMN(OFFSET(tpSurvPRV,0,0,1,68)),1,1)))</f>
        <v>374.79314429700003</v>
      </c>
      <c r="BU27" s="210">
        <f ca="1">SUMPRODUCT(OFFSET(tShpPRV,0,0,1,69),N(OFFSET(tpSurvPRV,0,COLUMN(OFFSET(tpSurvPRV,0,68,1,1))-COLUMN(OFFSET(tpSurvPRV,0,0,1,69)),1,1)))</f>
        <v>343.68692560950001</v>
      </c>
      <c r="BV27" s="210">
        <f ca="1">SUMPRODUCT(OFFSET(tShpPRV,0,0,1,70),N(OFFSET(tpSurvPRV,0,COLUMN(OFFSET(tpSurvPRV,0,69,1,1))-COLUMN(OFFSET(tpSurvPRV,0,0,1,70)),1,1)))</f>
        <v>314.37410862000002</v>
      </c>
      <c r="BW27" s="210">
        <f ca="1">SUMPRODUCT(OFFSET(tShpPRV,0,0,1,71),N(OFFSET(tpSurvPRV,0,COLUMN(OFFSET(tpSurvPRV,0,70,1,1))-COLUMN(OFFSET(tpSurvPRV,0,0,1,71)),1,1)))</f>
        <v>286.60189371000001</v>
      </c>
      <c r="BX27" s="210">
        <f ca="1">SUMPRODUCT(OFFSET(tShpPRV,0,0,1,72),N(OFFSET(tpSurvPRV,0,COLUMN(OFFSET(tpSurvPRV,0,71,1,1))-COLUMN(OFFSET(tpSurvPRV,0,0,1,72)),1,1)))</f>
        <v>260.26575438600003</v>
      </c>
      <c r="BY27" s="210">
        <f ca="1">SUMPRODUCT(OFFSET(tShpPRV,0,0,1,73),N(OFFSET(tpSurvPRV,0,COLUMN(OFFSET(tpSurvPRV,0,72,1,1))-COLUMN(OFFSET(tpSurvPRV,0,0,1,73)),1,1)))</f>
        <v>235.25390816400002</v>
      </c>
      <c r="BZ27" s="210">
        <f ca="1">SUMPRODUCT(OFFSET(tShpPRV,0,0,1,74),N(OFFSET(tpSurvPRV,0,COLUMN(OFFSET(tpSurvPRV,0,73,1,1))-COLUMN(OFFSET(tpSurvPRV,0,0,1,74)),1,1)))</f>
        <v>211.51346462400002</v>
      </c>
      <c r="CA27" s="210">
        <f ca="1">SUMPRODUCT(OFFSET(tShpPRV,0,0,1,75),N(OFFSET(tpSurvPRV,0,COLUMN(OFFSET(tpSurvPRV,0,74,1,1))-COLUMN(OFFSET(tpSurvPRV,0,0,1,75)),1,1)))</f>
        <v>188.96604424500003</v>
      </c>
      <c r="CB27" s="210">
        <f ca="1">SUMPRODUCT(OFFSET(tShpPRV,0,0,1,76),N(OFFSET(tpSurvPRV,0,COLUMN(OFFSET(tpSurvPRV,0,75,1,1))-COLUMN(OFFSET(tpSurvPRV,0,0,1,76)),1,1)))</f>
        <v>167.868972117</v>
      </c>
      <c r="CC27" s="210">
        <f ca="1">SUMPRODUCT(OFFSET(tShpPRV,0,0,1,77),N(OFFSET(tpSurvPRV,0,COLUMN(OFFSET(tpSurvPRV,0,76,1,1))-COLUMN(OFFSET(tpSurvPRV,0,0,1,77)),1,1)))</f>
        <v>147.79618811099999</v>
      </c>
      <c r="CD27" s="210">
        <f ca="1">SUMPRODUCT(OFFSET(tShpPRV,0,0,1,78),N(OFFSET(tpSurvPRV,0,COLUMN(OFFSET(tpSurvPRV,0,77,1,1))-COLUMN(OFFSET(tpSurvPRV,0,0,1,78)),1,1)))</f>
        <v>128.99491517550001</v>
      </c>
      <c r="CE27" s="210">
        <f ca="1">SUMPRODUCT(OFFSET(tShpPRV,0,0,1,79),N(OFFSET(tpSurvPRV,0,COLUMN(OFFSET(tpSurvPRV,0,78,1,1))-COLUMN(OFFSET(tpSurvPRV,0,0,1,79)),1,1)))</f>
        <v>111.5182345365</v>
      </c>
      <c r="CF27" s="210">
        <f ca="1">SUMPRODUCT(OFFSET(tShpPRV,0,0,1,80),N(OFFSET(tpSurvPRV,0,COLUMN(OFFSET(tpSurvPRV,0,79,1,1))-COLUMN(OFFSET(tpSurvPRV,0,0,1,80)),1,1)))</f>
        <v>95.320642972499996</v>
      </c>
      <c r="CG27" s="210">
        <f ca="1">SUMPRODUCT(OFFSET(tShpPRV,0,0,1,81),N(OFFSET(tpSurvPRV,0,COLUMN(OFFSET(tpSurvPRV,0,80,1,1))-COLUMN(OFFSET(tpSurvPRV,0,0,1,81)),1,1)))</f>
        <v>80.449444465499994</v>
      </c>
      <c r="CH27" s="210">
        <f ca="1">SUMPRODUCT(OFFSET(tShpPRV,0,0,1,82),N(OFFSET(tpSurvPRV,0,COLUMN(OFFSET(tpSurvPRV,0,81,1,1))-COLUMN(OFFSET(tpSurvPRV,0,0,1,82)),1,1)))</f>
        <v>66.811334056500002</v>
      </c>
      <c r="CI27" s="210">
        <f ca="1">SUMPRODUCT(OFFSET(tShpPRV,0,0,1,83),N(OFFSET(tpSurvPRV,0,COLUMN(OFFSET(tpSurvPRV,0,82,1,1))-COLUMN(OFFSET(tpSurvPRV,0,0,1,83)),1,1)))</f>
        <v>54.275199973500001</v>
      </c>
      <c r="CJ27" s="210">
        <f ca="1">SUMPRODUCT(OFFSET(tShpPRV,0,0,1,84),N(OFFSET(tpSurvPRV,0,COLUMN(OFFSET(tpSurvPRV,0,83,1,1))-COLUMN(OFFSET(tpSurvPRV,0,0,1,84)),1,1)))</f>
        <v>43.107985866</v>
      </c>
      <c r="CK27" s="210">
        <f ca="1">SUMPRODUCT(OFFSET(tShpPRV,0,0,1,85),N(OFFSET(tpSurvPRV,0,COLUMN(OFFSET(tpSurvPRV,0,84,1,1))-COLUMN(OFFSET(tpSurvPRV,0,0,1,85)),1,1)))</f>
        <v>33.277476094499995</v>
      </c>
      <c r="CL27" s="210">
        <f ca="1">SUMPRODUCT(OFFSET(tShpPRV,0,0,1,86),N(OFFSET(tpSurvPRV,0,COLUMN(OFFSET(tpSurvPRV,0,85,1,1))-COLUMN(OFFSET(tpSurvPRV,0,0,1,86)),1,1)))</f>
        <v>24.703943813999999</v>
      </c>
      <c r="CM27" s="210">
        <f ca="1">SUMPRODUCT(OFFSET(tShpPRV,0,0,1,87),N(OFFSET(tpSurvPRV,0,COLUMN(OFFSET(tpSurvPRV,0,86,1,1))-COLUMN(OFFSET(tpSurvPRV,0,0,1,87)),1,1)))</f>
        <v>17.6106965265</v>
      </c>
      <c r="CN27" s="210">
        <f ca="1">SUMPRODUCT(OFFSET(tShpPRV,0,0,1,88),N(OFFSET(tpSurvPRV,0,COLUMN(OFFSET(tpSurvPRV,0,87,1,1))-COLUMN(OFFSET(tpSurvPRV,0,0,1,88)),1,1)))</f>
        <v>11.579548662000001</v>
      </c>
      <c r="CO27" s="210">
        <f ca="1">SUMPRODUCT(OFFSET(tShpPRV,0,0,1,89),N(OFFSET(tpSurvPRV,0,COLUMN(OFFSET(tpSurvPRV,0,88,1,1))-COLUMN(OFFSET(tpSurvPRV,0,0,1,89)),1,1)))</f>
        <v>6.8433383699999997</v>
      </c>
      <c r="CP27" s="210">
        <f ca="1">SUMPRODUCT(OFFSET(tShpPRV,0,0,1,90),N(OFFSET(tpSurvPRV,0,COLUMN(OFFSET(tpSurvPRV,0,89,1,1))-COLUMN(OFFSET(tpSurvPRV,0,0,1,90)),1,1)))</f>
        <v>3.3947445839999997</v>
      </c>
      <c r="CQ27" s="210">
        <f ca="1">SUMPRODUCT(OFFSET(tShpPRV,0,0,1,91),N(OFFSET(tpSurvPRV,0,COLUMN(OFFSET(tpSurvPRV,0,90,1,1))-COLUMN(OFFSET(tpSurvPRV,0,0,1,91)),1,1)))</f>
        <v>1.056109296</v>
      </c>
      <c r="CR27" s="211">
        <f ca="1">SUMPRODUCT(OFFSET(tShpPRV,0,0,1,92),N(OFFSET(tpSurvPRV,0,COLUMN(OFFSET(tpSurvPRV,0,91,1,1))-COLUMN(OFFSET(tpSurvPRV,0,0,1,92)),1,1)))</f>
        <v>0</v>
      </c>
      <c r="CS27" s="126"/>
    </row>
    <row r="28" spans="2:97">
      <c r="B28" s="126"/>
      <c r="C28" s="126"/>
      <c r="D28" s="126"/>
      <c r="E28" s="118"/>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6"/>
      <c r="AN28" s="126"/>
      <c r="AO28" s="126"/>
      <c r="AP28" s="126"/>
      <c r="AQ28" s="126"/>
      <c r="AR28" s="126"/>
      <c r="AS28" s="126"/>
      <c r="AT28" s="126"/>
      <c r="AU28" s="126"/>
      <c r="AV28" s="126"/>
      <c r="AW28" s="126"/>
      <c r="AX28" s="126"/>
      <c r="AY28" s="126"/>
      <c r="AZ28" s="126"/>
      <c r="BA28" s="126"/>
      <c r="BB28" s="126"/>
      <c r="BC28" s="126"/>
      <c r="BD28" s="126"/>
      <c r="BE28" s="126"/>
      <c r="BF28" s="126"/>
      <c r="BG28" s="126"/>
      <c r="BH28" s="126"/>
      <c r="BI28" s="126"/>
      <c r="BJ28" s="126"/>
      <c r="BK28" s="126"/>
      <c r="BL28" s="126"/>
      <c r="BM28" s="126"/>
      <c r="BN28" s="126"/>
      <c r="BO28" s="126"/>
      <c r="BP28" s="126"/>
      <c r="BQ28" s="126"/>
      <c r="BR28" s="126"/>
      <c r="BS28" s="126"/>
      <c r="BT28" s="126"/>
      <c r="BU28" s="126"/>
      <c r="BV28" s="126"/>
      <c r="BW28" s="126"/>
      <c r="BX28" s="126"/>
      <c r="BY28" s="126"/>
      <c r="BZ28" s="126"/>
      <c r="CA28" s="126"/>
      <c r="CB28" s="126"/>
      <c r="CC28" s="126"/>
      <c r="CD28" s="126"/>
      <c r="CE28" s="126"/>
      <c r="CF28" s="126"/>
      <c r="CG28" s="126"/>
      <c r="CH28" s="126"/>
      <c r="CI28" s="126"/>
      <c r="CJ28" s="126"/>
      <c r="CK28" s="126"/>
      <c r="CL28" s="126"/>
      <c r="CM28" s="126"/>
      <c r="CN28" s="126"/>
      <c r="CO28" s="126"/>
      <c r="CP28" s="126"/>
      <c r="CQ28" s="126"/>
      <c r="CR28" s="126"/>
      <c r="CS28" s="126"/>
    </row>
    <row r="29" spans="2:97">
      <c r="B29" s="126"/>
      <c r="C29" s="8" t="s">
        <v>105</v>
      </c>
      <c r="D29" s="9"/>
      <c r="E29" s="139">
        <f t="array" ref="E29:AK29">_yS</f>
        <v>2018</v>
      </c>
      <c r="F29" s="10">
        <v>2019</v>
      </c>
      <c r="G29" s="10">
        <v>2020</v>
      </c>
      <c r="H29" s="10">
        <v>2021</v>
      </c>
      <c r="I29" s="10">
        <v>2022</v>
      </c>
      <c r="J29" s="10">
        <v>2023</v>
      </c>
      <c r="K29" s="10">
        <v>2024</v>
      </c>
      <c r="L29" s="10">
        <v>2025</v>
      </c>
      <c r="M29" s="10">
        <v>2026</v>
      </c>
      <c r="N29" s="10">
        <v>2027</v>
      </c>
      <c r="O29" s="10">
        <v>2028</v>
      </c>
      <c r="P29" s="10">
        <v>2029</v>
      </c>
      <c r="Q29" s="10">
        <v>2030</v>
      </c>
      <c r="R29" s="10">
        <v>2031</v>
      </c>
      <c r="S29" s="10">
        <v>2032</v>
      </c>
      <c r="T29" s="10">
        <v>2033</v>
      </c>
      <c r="U29" s="10">
        <v>2034</v>
      </c>
      <c r="V29" s="10">
        <v>2035</v>
      </c>
      <c r="W29" s="10">
        <v>2036</v>
      </c>
      <c r="X29" s="10">
        <v>2037</v>
      </c>
      <c r="Y29" s="10">
        <v>2038</v>
      </c>
      <c r="Z29" s="10">
        <v>2039</v>
      </c>
      <c r="AA29" s="10">
        <v>2040</v>
      </c>
      <c r="AB29" s="10">
        <v>2041</v>
      </c>
      <c r="AC29" s="10">
        <v>2042</v>
      </c>
      <c r="AD29" s="10">
        <v>2043</v>
      </c>
      <c r="AE29" s="10">
        <v>2044</v>
      </c>
      <c r="AF29" s="10">
        <v>2045</v>
      </c>
      <c r="AG29" s="10">
        <v>2046</v>
      </c>
      <c r="AH29" s="10">
        <v>2047</v>
      </c>
      <c r="AI29" s="10">
        <v>2048</v>
      </c>
      <c r="AJ29" s="10">
        <v>2049</v>
      </c>
      <c r="AK29" s="11">
        <v>2050</v>
      </c>
      <c r="AL29" s="126"/>
      <c r="AM29" s="126"/>
      <c r="AN29" s="126"/>
      <c r="AO29" s="126"/>
      <c r="AP29" s="126"/>
      <c r="AQ29" s="126"/>
      <c r="AR29" s="126"/>
      <c r="AS29" s="126"/>
      <c r="AT29" s="126"/>
      <c r="AU29" s="126"/>
      <c r="AV29" s="126"/>
      <c r="AW29" s="126"/>
      <c r="AX29" s="126"/>
      <c r="AY29" s="126"/>
      <c r="AZ29" s="126"/>
      <c r="BA29" s="126"/>
      <c r="BB29" s="126"/>
      <c r="BC29" s="126"/>
      <c r="BD29" s="126"/>
      <c r="BE29" s="126"/>
      <c r="BF29" s="126"/>
      <c r="BG29" s="126"/>
      <c r="BH29" s="126"/>
      <c r="BI29" s="126"/>
      <c r="BJ29" s="126"/>
      <c r="BK29" s="126"/>
      <c r="BL29" s="126"/>
      <c r="BM29" s="126"/>
      <c r="BN29" s="126"/>
      <c r="BO29" s="126"/>
      <c r="BP29" s="126"/>
      <c r="BQ29" s="126"/>
      <c r="BR29" s="126"/>
      <c r="BS29" s="126"/>
      <c r="BT29" s="126"/>
      <c r="BU29" s="126"/>
      <c r="BV29" s="126"/>
      <c r="BW29" s="126"/>
      <c r="BX29" s="126"/>
      <c r="BY29" s="126"/>
      <c r="BZ29" s="126"/>
      <c r="CA29" s="126"/>
      <c r="CB29" s="126"/>
      <c r="CC29" s="126"/>
      <c r="CD29" s="126"/>
      <c r="CE29" s="126"/>
      <c r="CF29" s="126"/>
      <c r="CG29" s="126"/>
      <c r="CH29" s="126"/>
      <c r="CI29" s="126"/>
      <c r="CJ29" s="126"/>
      <c r="CK29" s="126"/>
      <c r="CL29" s="126"/>
      <c r="CM29" s="126"/>
      <c r="CN29" s="126"/>
      <c r="CO29" s="126"/>
      <c r="CP29" s="126"/>
      <c r="CQ29" s="126"/>
      <c r="CR29" s="126"/>
      <c r="CS29" s="126"/>
    </row>
    <row r="30" spans="2:97">
      <c r="B30" s="126"/>
      <c r="C30" s="12" t="str">
        <f>INDEX(_pcName,1)</f>
        <v>Axial Housed</v>
      </c>
      <c r="D30" s="16" t="s">
        <v>35</v>
      </c>
      <c r="E30" s="212">
        <v>0.06</v>
      </c>
      <c r="F30" s="213">
        <f t="array" ref="F30:AK30">$E$30</f>
        <v>0.06</v>
      </c>
      <c r="G30" s="213">
        <v>0.06</v>
      </c>
      <c r="H30" s="213">
        <v>0.06</v>
      </c>
      <c r="I30" s="213">
        <v>0.06</v>
      </c>
      <c r="J30" s="213">
        <v>0.06</v>
      </c>
      <c r="K30" s="213">
        <v>0.06</v>
      </c>
      <c r="L30" s="213">
        <v>0.06</v>
      </c>
      <c r="M30" s="213">
        <v>0.06</v>
      </c>
      <c r="N30" s="213">
        <v>0.06</v>
      </c>
      <c r="O30" s="213">
        <v>0.06</v>
      </c>
      <c r="P30" s="213">
        <v>0.06</v>
      </c>
      <c r="Q30" s="213">
        <v>0.06</v>
      </c>
      <c r="R30" s="213">
        <v>0.06</v>
      </c>
      <c r="S30" s="213">
        <v>0.06</v>
      </c>
      <c r="T30" s="213">
        <v>0.06</v>
      </c>
      <c r="U30" s="213">
        <v>0.06</v>
      </c>
      <c r="V30" s="213">
        <v>0.06</v>
      </c>
      <c r="W30" s="213">
        <v>0.06</v>
      </c>
      <c r="X30" s="213">
        <v>0.06</v>
      </c>
      <c r="Y30" s="213">
        <v>0.06</v>
      </c>
      <c r="Z30" s="213">
        <v>0.06</v>
      </c>
      <c r="AA30" s="213">
        <v>0.06</v>
      </c>
      <c r="AB30" s="213">
        <v>0.06</v>
      </c>
      <c r="AC30" s="213">
        <v>0.06</v>
      </c>
      <c r="AD30" s="213">
        <v>0.06</v>
      </c>
      <c r="AE30" s="213">
        <v>0.06</v>
      </c>
      <c r="AF30" s="213">
        <v>0.06</v>
      </c>
      <c r="AG30" s="213">
        <v>0.06</v>
      </c>
      <c r="AH30" s="213">
        <v>0.06</v>
      </c>
      <c r="AI30" s="213">
        <v>0.06</v>
      </c>
      <c r="AJ30" s="213">
        <v>0.06</v>
      </c>
      <c r="AK30" s="214">
        <v>0.06</v>
      </c>
      <c r="AL30" s="126"/>
      <c r="AM30" s="126"/>
      <c r="AN30" s="126"/>
      <c r="AO30" s="126"/>
      <c r="AP30" s="126"/>
      <c r="AQ30" s="126"/>
      <c r="AR30" s="126"/>
      <c r="AS30" s="126"/>
      <c r="AT30" s="126"/>
      <c r="AU30" s="126"/>
      <c r="AV30" s="126"/>
      <c r="AW30" s="126"/>
      <c r="AX30" s="126"/>
      <c r="AY30" s="126"/>
      <c r="AZ30" s="126"/>
      <c r="BA30" s="126"/>
      <c r="BB30" s="126"/>
      <c r="BC30" s="126"/>
      <c r="BD30" s="126"/>
      <c r="BE30" s="126"/>
      <c r="BF30" s="126"/>
      <c r="BG30" s="126"/>
      <c r="BH30" s="126"/>
      <c r="BI30" s="126"/>
      <c r="BJ30" s="126"/>
      <c r="BK30" s="126"/>
      <c r="BL30" s="126"/>
      <c r="BM30" s="126"/>
      <c r="BN30" s="126"/>
      <c r="BO30" s="126"/>
      <c r="BP30" s="126"/>
      <c r="BQ30" s="126"/>
      <c r="BR30" s="126"/>
      <c r="BS30" s="126"/>
      <c r="BT30" s="126"/>
      <c r="BU30" s="126"/>
      <c r="BV30" s="126"/>
      <c r="BW30" s="126"/>
      <c r="BX30" s="126"/>
      <c r="BY30" s="126"/>
      <c r="BZ30" s="126"/>
      <c r="CA30" s="126"/>
      <c r="CB30" s="126"/>
      <c r="CC30" s="126"/>
      <c r="CD30" s="126"/>
      <c r="CE30" s="126"/>
      <c r="CF30" s="126"/>
      <c r="CG30" s="126"/>
      <c r="CH30" s="126"/>
      <c r="CI30" s="126"/>
      <c r="CJ30" s="126"/>
      <c r="CK30" s="126"/>
      <c r="CL30" s="126"/>
      <c r="CM30" s="126"/>
      <c r="CN30" s="126"/>
      <c r="CO30" s="126"/>
      <c r="CP30" s="126"/>
      <c r="CQ30" s="126"/>
      <c r="CR30" s="126"/>
      <c r="CS30" s="126"/>
    </row>
    <row r="31" spans="2:97">
      <c r="B31" s="126"/>
      <c r="C31" s="12" t="str">
        <f>INDEX(_pcName,2)</f>
        <v>Axial Unhoused</v>
      </c>
      <c r="D31" s="16" t="s">
        <v>35</v>
      </c>
      <c r="E31" s="212">
        <v>0.31</v>
      </c>
      <c r="F31" s="213">
        <f t="array" ref="F31:AK31">$E$31</f>
        <v>0.31</v>
      </c>
      <c r="G31" s="213">
        <v>0.31</v>
      </c>
      <c r="H31" s="213">
        <v>0.31</v>
      </c>
      <c r="I31" s="213">
        <v>0.31</v>
      </c>
      <c r="J31" s="213">
        <v>0.31</v>
      </c>
      <c r="K31" s="213">
        <v>0.31</v>
      </c>
      <c r="L31" s="213">
        <v>0.31</v>
      </c>
      <c r="M31" s="213">
        <v>0.31</v>
      </c>
      <c r="N31" s="213">
        <v>0.31</v>
      </c>
      <c r="O31" s="213">
        <v>0.31</v>
      </c>
      <c r="P31" s="213">
        <v>0.31</v>
      </c>
      <c r="Q31" s="213">
        <v>0.31</v>
      </c>
      <c r="R31" s="213">
        <v>0.31</v>
      </c>
      <c r="S31" s="213">
        <v>0.31</v>
      </c>
      <c r="T31" s="213">
        <v>0.31</v>
      </c>
      <c r="U31" s="213">
        <v>0.31</v>
      </c>
      <c r="V31" s="213">
        <v>0.31</v>
      </c>
      <c r="W31" s="213">
        <v>0.31</v>
      </c>
      <c r="X31" s="213">
        <v>0.31</v>
      </c>
      <c r="Y31" s="213">
        <v>0.31</v>
      </c>
      <c r="Z31" s="213">
        <v>0.31</v>
      </c>
      <c r="AA31" s="213">
        <v>0.31</v>
      </c>
      <c r="AB31" s="213">
        <v>0.31</v>
      </c>
      <c r="AC31" s="213">
        <v>0.31</v>
      </c>
      <c r="AD31" s="213">
        <v>0.31</v>
      </c>
      <c r="AE31" s="213">
        <v>0.31</v>
      </c>
      <c r="AF31" s="213">
        <v>0.31</v>
      </c>
      <c r="AG31" s="213">
        <v>0.31</v>
      </c>
      <c r="AH31" s="213">
        <v>0.31</v>
      </c>
      <c r="AI31" s="213">
        <v>0.31</v>
      </c>
      <c r="AJ31" s="213">
        <v>0.31</v>
      </c>
      <c r="AK31" s="214">
        <v>0.31</v>
      </c>
      <c r="AL31" s="126"/>
      <c r="AM31" s="126"/>
      <c r="AN31" s="126"/>
      <c r="AO31" s="126"/>
      <c r="AP31" s="126"/>
      <c r="AQ31" s="126"/>
      <c r="AR31" s="126"/>
      <c r="AS31" s="126"/>
      <c r="AT31" s="126"/>
      <c r="AU31" s="126"/>
      <c r="AV31" s="126"/>
      <c r="AW31" s="126"/>
      <c r="AX31" s="126"/>
      <c r="AY31" s="126"/>
      <c r="AZ31" s="126"/>
      <c r="BA31" s="126"/>
      <c r="BB31" s="126"/>
      <c r="BC31" s="126"/>
      <c r="BD31" s="126"/>
      <c r="BE31" s="126"/>
      <c r="BF31" s="126"/>
      <c r="BG31" s="126"/>
      <c r="BH31" s="126"/>
      <c r="BI31" s="126"/>
      <c r="BJ31" s="126"/>
      <c r="BK31" s="126"/>
      <c r="BL31" s="126"/>
      <c r="BM31" s="126"/>
      <c r="BN31" s="126"/>
      <c r="BO31" s="126"/>
      <c r="BP31" s="126"/>
      <c r="BQ31" s="126"/>
      <c r="BR31" s="126"/>
      <c r="BS31" s="126"/>
      <c r="BT31" s="126"/>
      <c r="BU31" s="126"/>
      <c r="BV31" s="126"/>
      <c r="BW31" s="126"/>
      <c r="BX31" s="126"/>
      <c r="BY31" s="126"/>
      <c r="BZ31" s="126"/>
      <c r="CA31" s="126"/>
      <c r="CB31" s="126"/>
      <c r="CC31" s="126"/>
      <c r="CD31" s="126"/>
      <c r="CE31" s="126"/>
      <c r="CF31" s="126"/>
      <c r="CG31" s="126"/>
      <c r="CH31" s="126"/>
      <c r="CI31" s="126"/>
      <c r="CJ31" s="126"/>
      <c r="CK31" s="126"/>
      <c r="CL31" s="126"/>
      <c r="CM31" s="126"/>
      <c r="CN31" s="126"/>
      <c r="CO31" s="126"/>
      <c r="CP31" s="126"/>
      <c r="CQ31" s="126"/>
      <c r="CR31" s="126"/>
      <c r="CS31" s="126"/>
    </row>
    <row r="32" spans="2:97">
      <c r="B32" s="126"/>
      <c r="C32" s="12" t="str">
        <f>INDEX(_pcName,3)</f>
        <v>Centrif Housed</v>
      </c>
      <c r="D32" s="16" t="s">
        <v>35</v>
      </c>
      <c r="E32" s="212">
        <v>0.185</v>
      </c>
      <c r="F32" s="213">
        <f t="array" ref="F32:AK32">$E$32</f>
        <v>0.185</v>
      </c>
      <c r="G32" s="213">
        <v>0.185</v>
      </c>
      <c r="H32" s="213">
        <v>0.185</v>
      </c>
      <c r="I32" s="213">
        <v>0.185</v>
      </c>
      <c r="J32" s="213">
        <v>0.185</v>
      </c>
      <c r="K32" s="213">
        <v>0.185</v>
      </c>
      <c r="L32" s="213">
        <v>0.185</v>
      </c>
      <c r="M32" s="213">
        <v>0.185</v>
      </c>
      <c r="N32" s="213">
        <v>0.185</v>
      </c>
      <c r="O32" s="213">
        <v>0.185</v>
      </c>
      <c r="P32" s="213">
        <v>0.185</v>
      </c>
      <c r="Q32" s="213">
        <v>0.185</v>
      </c>
      <c r="R32" s="213">
        <v>0.185</v>
      </c>
      <c r="S32" s="213">
        <v>0.185</v>
      </c>
      <c r="T32" s="213">
        <v>0.185</v>
      </c>
      <c r="U32" s="213">
        <v>0.185</v>
      </c>
      <c r="V32" s="213">
        <v>0.185</v>
      </c>
      <c r="W32" s="213">
        <v>0.185</v>
      </c>
      <c r="X32" s="213">
        <v>0.185</v>
      </c>
      <c r="Y32" s="213">
        <v>0.185</v>
      </c>
      <c r="Z32" s="213">
        <v>0.185</v>
      </c>
      <c r="AA32" s="213">
        <v>0.185</v>
      </c>
      <c r="AB32" s="213">
        <v>0.185</v>
      </c>
      <c r="AC32" s="213">
        <v>0.185</v>
      </c>
      <c r="AD32" s="213">
        <v>0.185</v>
      </c>
      <c r="AE32" s="213">
        <v>0.185</v>
      </c>
      <c r="AF32" s="213">
        <v>0.185</v>
      </c>
      <c r="AG32" s="213">
        <v>0.185</v>
      </c>
      <c r="AH32" s="213">
        <v>0.185</v>
      </c>
      <c r="AI32" s="213">
        <v>0.185</v>
      </c>
      <c r="AJ32" s="213">
        <v>0.185</v>
      </c>
      <c r="AK32" s="214">
        <v>0.185</v>
      </c>
      <c r="AL32" s="126"/>
      <c r="AM32" s="126"/>
      <c r="AN32" s="126"/>
      <c r="AO32" s="126"/>
      <c r="AP32" s="126"/>
      <c r="AQ32" s="126"/>
      <c r="AR32" s="126"/>
      <c r="AS32" s="126"/>
      <c r="AT32" s="126"/>
      <c r="AU32" s="126"/>
      <c r="AV32" s="126"/>
      <c r="AW32" s="126"/>
      <c r="AX32" s="126"/>
      <c r="AY32" s="126"/>
      <c r="AZ32" s="126"/>
      <c r="BA32" s="126"/>
      <c r="BB32" s="126"/>
      <c r="BC32" s="126"/>
      <c r="BD32" s="126"/>
      <c r="BE32" s="126"/>
      <c r="BF32" s="126"/>
      <c r="BG32" s="126"/>
      <c r="BH32" s="126"/>
      <c r="BI32" s="126"/>
      <c r="BJ32" s="126"/>
      <c r="BK32" s="126"/>
      <c r="BL32" s="126"/>
      <c r="BM32" s="126"/>
      <c r="BN32" s="126"/>
      <c r="BO32" s="126"/>
      <c r="BP32" s="126"/>
      <c r="BQ32" s="126"/>
      <c r="BR32" s="126"/>
      <c r="BS32" s="126"/>
      <c r="BT32" s="126"/>
      <c r="BU32" s="126"/>
      <c r="BV32" s="126"/>
      <c r="BW32" s="126"/>
      <c r="BX32" s="126"/>
      <c r="BY32" s="126"/>
      <c r="BZ32" s="126"/>
      <c r="CA32" s="126"/>
      <c r="CB32" s="126"/>
      <c r="CC32" s="126"/>
      <c r="CD32" s="126"/>
      <c r="CE32" s="126"/>
      <c r="CF32" s="126"/>
      <c r="CG32" s="126"/>
      <c r="CH32" s="126"/>
      <c r="CI32" s="126"/>
      <c r="CJ32" s="126"/>
      <c r="CK32" s="126"/>
      <c r="CL32" s="126"/>
      <c r="CM32" s="126"/>
      <c r="CN32" s="126"/>
      <c r="CO32" s="126"/>
      <c r="CP32" s="126"/>
      <c r="CQ32" s="126"/>
      <c r="CR32" s="126"/>
      <c r="CS32" s="126"/>
    </row>
    <row r="33" spans="2:97">
      <c r="B33" s="126"/>
      <c r="C33" s="12" t="str">
        <f>INDEX(_pcName,4)</f>
        <v>Centrif Unhous</v>
      </c>
      <c r="D33" s="16" t="s">
        <v>35</v>
      </c>
      <c r="E33" s="212">
        <v>0.13</v>
      </c>
      <c r="F33" s="213">
        <f t="array" ref="F33:AK33">$E$33</f>
        <v>0.13</v>
      </c>
      <c r="G33" s="213">
        <v>0.13</v>
      </c>
      <c r="H33" s="213">
        <v>0.13</v>
      </c>
      <c r="I33" s="213">
        <v>0.13</v>
      </c>
      <c r="J33" s="213">
        <v>0.13</v>
      </c>
      <c r="K33" s="213">
        <v>0.13</v>
      </c>
      <c r="L33" s="213">
        <v>0.13</v>
      </c>
      <c r="M33" s="213">
        <v>0.13</v>
      </c>
      <c r="N33" s="213">
        <v>0.13</v>
      </c>
      <c r="O33" s="213">
        <v>0.13</v>
      </c>
      <c r="P33" s="213">
        <v>0.13</v>
      </c>
      <c r="Q33" s="213">
        <v>0.13</v>
      </c>
      <c r="R33" s="213">
        <v>0.13</v>
      </c>
      <c r="S33" s="213">
        <v>0.13</v>
      </c>
      <c r="T33" s="213">
        <v>0.13</v>
      </c>
      <c r="U33" s="213">
        <v>0.13</v>
      </c>
      <c r="V33" s="213">
        <v>0.13</v>
      </c>
      <c r="W33" s="213">
        <v>0.13</v>
      </c>
      <c r="X33" s="213">
        <v>0.13</v>
      </c>
      <c r="Y33" s="213">
        <v>0.13</v>
      </c>
      <c r="Z33" s="213">
        <v>0.13</v>
      </c>
      <c r="AA33" s="213">
        <v>0.13</v>
      </c>
      <c r="AB33" s="213">
        <v>0.13</v>
      </c>
      <c r="AC33" s="213">
        <v>0.13</v>
      </c>
      <c r="AD33" s="213">
        <v>0.13</v>
      </c>
      <c r="AE33" s="213">
        <v>0.13</v>
      </c>
      <c r="AF33" s="213">
        <v>0.13</v>
      </c>
      <c r="AG33" s="213">
        <v>0.13</v>
      </c>
      <c r="AH33" s="213">
        <v>0.13</v>
      </c>
      <c r="AI33" s="213">
        <v>0.13</v>
      </c>
      <c r="AJ33" s="213">
        <v>0.13</v>
      </c>
      <c r="AK33" s="214">
        <v>0.13</v>
      </c>
      <c r="AL33" s="126"/>
      <c r="AM33" s="126"/>
      <c r="AN33" s="126"/>
      <c r="AO33" s="126"/>
      <c r="AP33" s="126"/>
      <c r="AQ33" s="126"/>
      <c r="AR33" s="126"/>
      <c r="AS33" s="126"/>
      <c r="AT33" s="126"/>
      <c r="AU33" s="126"/>
      <c r="AV33" s="126"/>
      <c r="AW33" s="126"/>
      <c r="AX33" s="126"/>
      <c r="AY33" s="126"/>
      <c r="AZ33" s="126"/>
      <c r="BA33" s="126"/>
      <c r="BB33" s="126"/>
      <c r="BC33" s="126"/>
      <c r="BD33" s="126"/>
      <c r="BE33" s="126"/>
      <c r="BF33" s="126"/>
      <c r="BG33" s="126"/>
      <c r="BH33" s="126"/>
      <c r="BI33" s="126"/>
      <c r="BJ33" s="126"/>
      <c r="BK33" s="126"/>
      <c r="BL33" s="126"/>
      <c r="BM33" s="126"/>
      <c r="BN33" s="126"/>
      <c r="BO33" s="126"/>
      <c r="BP33" s="126"/>
      <c r="BQ33" s="126"/>
      <c r="BR33" s="126"/>
      <c r="BS33" s="126"/>
      <c r="BT33" s="126"/>
      <c r="BU33" s="126"/>
      <c r="BV33" s="126"/>
      <c r="BW33" s="126"/>
      <c r="BX33" s="126"/>
      <c r="BY33" s="126"/>
      <c r="BZ33" s="126"/>
      <c r="CA33" s="126"/>
      <c r="CB33" s="126"/>
      <c r="CC33" s="126"/>
      <c r="CD33" s="126"/>
      <c r="CE33" s="126"/>
      <c r="CF33" s="126"/>
      <c r="CG33" s="126"/>
      <c r="CH33" s="126"/>
      <c r="CI33" s="126"/>
      <c r="CJ33" s="126"/>
      <c r="CK33" s="126"/>
      <c r="CL33" s="126"/>
      <c r="CM33" s="126"/>
      <c r="CN33" s="126"/>
      <c r="CO33" s="126"/>
      <c r="CP33" s="126"/>
      <c r="CQ33" s="126"/>
      <c r="CR33" s="126"/>
      <c r="CS33" s="126"/>
    </row>
    <row r="34" spans="2:97">
      <c r="B34" s="126"/>
      <c r="C34" s="12" t="str">
        <f>INDEX(_pcName,5)</f>
        <v>Inline-Mixed</v>
      </c>
      <c r="D34" s="16" t="s">
        <v>35</v>
      </c>
      <c r="E34" s="212">
        <v>0.06</v>
      </c>
      <c r="F34" s="213">
        <f t="array" ref="F34:AK34">$E$34</f>
        <v>0.06</v>
      </c>
      <c r="G34" s="213">
        <v>0.06</v>
      </c>
      <c r="H34" s="213">
        <v>0.06</v>
      </c>
      <c r="I34" s="213">
        <v>0.06</v>
      </c>
      <c r="J34" s="213">
        <v>0.06</v>
      </c>
      <c r="K34" s="213">
        <v>0.06</v>
      </c>
      <c r="L34" s="213">
        <v>0.06</v>
      </c>
      <c r="M34" s="213">
        <v>0.06</v>
      </c>
      <c r="N34" s="213">
        <v>0.06</v>
      </c>
      <c r="O34" s="213">
        <v>0.06</v>
      </c>
      <c r="P34" s="213">
        <v>0.06</v>
      </c>
      <c r="Q34" s="213">
        <v>0.06</v>
      </c>
      <c r="R34" s="213">
        <v>0.06</v>
      </c>
      <c r="S34" s="213">
        <v>0.06</v>
      </c>
      <c r="T34" s="213">
        <v>0.06</v>
      </c>
      <c r="U34" s="213">
        <v>0.06</v>
      </c>
      <c r="V34" s="213">
        <v>0.06</v>
      </c>
      <c r="W34" s="213">
        <v>0.06</v>
      </c>
      <c r="X34" s="213">
        <v>0.06</v>
      </c>
      <c r="Y34" s="213">
        <v>0.06</v>
      </c>
      <c r="Z34" s="213">
        <v>0.06</v>
      </c>
      <c r="AA34" s="213">
        <v>0.06</v>
      </c>
      <c r="AB34" s="213">
        <v>0.06</v>
      </c>
      <c r="AC34" s="213">
        <v>0.06</v>
      </c>
      <c r="AD34" s="213">
        <v>0.06</v>
      </c>
      <c r="AE34" s="213">
        <v>0.06</v>
      </c>
      <c r="AF34" s="213">
        <v>0.06</v>
      </c>
      <c r="AG34" s="213">
        <v>0.06</v>
      </c>
      <c r="AH34" s="213">
        <v>0.06</v>
      </c>
      <c r="AI34" s="213">
        <v>0.06</v>
      </c>
      <c r="AJ34" s="213">
        <v>0.06</v>
      </c>
      <c r="AK34" s="214">
        <v>0.06</v>
      </c>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c r="BO34" s="126"/>
      <c r="BP34" s="126"/>
      <c r="BQ34" s="126"/>
      <c r="BR34" s="126"/>
      <c r="BS34" s="126"/>
      <c r="BT34" s="126"/>
      <c r="BU34" s="126"/>
      <c r="BV34" s="126"/>
      <c r="BW34" s="126"/>
      <c r="BX34" s="126"/>
      <c r="BY34" s="126"/>
      <c r="BZ34" s="126"/>
      <c r="CA34" s="126"/>
      <c r="CB34" s="126"/>
      <c r="CC34" s="126"/>
      <c r="CD34" s="126"/>
      <c r="CE34" s="126"/>
      <c r="CF34" s="126"/>
      <c r="CG34" s="126"/>
      <c r="CH34" s="126"/>
      <c r="CI34" s="126"/>
      <c r="CJ34" s="126"/>
      <c r="CK34" s="126"/>
      <c r="CL34" s="126"/>
      <c r="CM34" s="126"/>
      <c r="CN34" s="126"/>
      <c r="CO34" s="126"/>
      <c r="CP34" s="126"/>
      <c r="CQ34" s="126"/>
      <c r="CR34" s="126"/>
      <c r="CS34" s="126"/>
    </row>
    <row r="35" spans="2:97">
      <c r="B35" s="126"/>
      <c r="C35" s="12" t="str">
        <f>INDEX(_pcName,6)</f>
        <v>Radial</v>
      </c>
      <c r="D35" s="16" t="s">
        <v>35</v>
      </c>
      <c r="E35" s="212">
        <v>0.09</v>
      </c>
      <c r="F35" s="213">
        <f t="array" ref="F35:AK35">$E$35</f>
        <v>0.09</v>
      </c>
      <c r="G35" s="213">
        <v>0.09</v>
      </c>
      <c r="H35" s="213">
        <v>0.09</v>
      </c>
      <c r="I35" s="213">
        <v>0.09</v>
      </c>
      <c r="J35" s="213">
        <v>0.09</v>
      </c>
      <c r="K35" s="213">
        <v>0.09</v>
      </c>
      <c r="L35" s="213">
        <v>0.09</v>
      </c>
      <c r="M35" s="213">
        <v>0.09</v>
      </c>
      <c r="N35" s="213">
        <v>0.09</v>
      </c>
      <c r="O35" s="213">
        <v>0.09</v>
      </c>
      <c r="P35" s="213">
        <v>0.09</v>
      </c>
      <c r="Q35" s="213">
        <v>0.09</v>
      </c>
      <c r="R35" s="213">
        <v>0.09</v>
      </c>
      <c r="S35" s="213">
        <v>0.09</v>
      </c>
      <c r="T35" s="213">
        <v>0.09</v>
      </c>
      <c r="U35" s="213">
        <v>0.09</v>
      </c>
      <c r="V35" s="213">
        <v>0.09</v>
      </c>
      <c r="W35" s="213">
        <v>0.09</v>
      </c>
      <c r="X35" s="213">
        <v>0.09</v>
      </c>
      <c r="Y35" s="213">
        <v>0.09</v>
      </c>
      <c r="Z35" s="213">
        <v>0.09</v>
      </c>
      <c r="AA35" s="213">
        <v>0.09</v>
      </c>
      <c r="AB35" s="213">
        <v>0.09</v>
      </c>
      <c r="AC35" s="213">
        <v>0.09</v>
      </c>
      <c r="AD35" s="213">
        <v>0.09</v>
      </c>
      <c r="AE35" s="213">
        <v>0.09</v>
      </c>
      <c r="AF35" s="213">
        <v>0.09</v>
      </c>
      <c r="AG35" s="213">
        <v>0.09</v>
      </c>
      <c r="AH35" s="213">
        <v>0.09</v>
      </c>
      <c r="AI35" s="213">
        <v>0.09</v>
      </c>
      <c r="AJ35" s="213">
        <v>0.09</v>
      </c>
      <c r="AK35" s="214">
        <v>0.09</v>
      </c>
      <c r="AL35" s="126"/>
      <c r="AM35" s="126"/>
      <c r="AN35" s="126"/>
      <c r="AO35" s="126"/>
      <c r="AP35" s="126"/>
      <c r="AQ35" s="126"/>
      <c r="AR35" s="126"/>
      <c r="AS35" s="126"/>
      <c r="AT35" s="126"/>
      <c r="AU35" s="126"/>
      <c r="AV35" s="126"/>
      <c r="AW35" s="126"/>
      <c r="AX35" s="126"/>
      <c r="AY35" s="126"/>
      <c r="AZ35" s="126"/>
      <c r="BA35" s="126"/>
      <c r="BB35" s="126"/>
      <c r="BC35" s="126"/>
      <c r="BD35" s="126"/>
      <c r="BE35" s="126"/>
      <c r="BF35" s="126"/>
      <c r="BG35" s="126"/>
      <c r="BH35" s="126"/>
      <c r="BI35" s="126"/>
      <c r="BJ35" s="126"/>
      <c r="BK35" s="126"/>
      <c r="BL35" s="126"/>
      <c r="BM35" s="126"/>
      <c r="BN35" s="126"/>
      <c r="BO35" s="126"/>
      <c r="BP35" s="126"/>
      <c r="BQ35" s="126"/>
      <c r="BR35" s="126"/>
      <c r="BS35" s="126"/>
      <c r="BT35" s="126"/>
      <c r="BU35" s="126"/>
      <c r="BV35" s="126"/>
      <c r="BW35" s="126"/>
      <c r="BX35" s="126"/>
      <c r="BY35" s="126"/>
      <c r="BZ35" s="126"/>
      <c r="CA35" s="126"/>
      <c r="CB35" s="126"/>
      <c r="CC35" s="126"/>
      <c r="CD35" s="126"/>
      <c r="CE35" s="126"/>
      <c r="CF35" s="126"/>
      <c r="CG35" s="126"/>
      <c r="CH35" s="126"/>
      <c r="CI35" s="126"/>
      <c r="CJ35" s="126"/>
      <c r="CK35" s="126"/>
      <c r="CL35" s="126"/>
      <c r="CM35" s="126"/>
      <c r="CN35" s="126"/>
      <c r="CO35" s="126"/>
      <c r="CP35" s="126"/>
      <c r="CQ35" s="126"/>
      <c r="CR35" s="126"/>
      <c r="CS35" s="126"/>
    </row>
    <row r="36" spans="2:97">
      <c r="B36" s="126"/>
      <c r="C36" s="4" t="str">
        <f>INDEX(_pcName,7)</f>
        <v>Power Roof Vent</v>
      </c>
      <c r="D36" s="5" t="s">
        <v>35</v>
      </c>
      <c r="E36" s="215">
        <v>0.16500000000000001</v>
      </c>
      <c r="F36" s="216">
        <f t="array" ref="F36:AK36">$E$36</f>
        <v>0.16500000000000001</v>
      </c>
      <c r="G36" s="216">
        <v>0.16500000000000001</v>
      </c>
      <c r="H36" s="216">
        <v>0.16500000000000001</v>
      </c>
      <c r="I36" s="216">
        <v>0.16500000000000001</v>
      </c>
      <c r="J36" s="216">
        <v>0.16500000000000001</v>
      </c>
      <c r="K36" s="216">
        <v>0.16500000000000001</v>
      </c>
      <c r="L36" s="216">
        <v>0.16500000000000001</v>
      </c>
      <c r="M36" s="216">
        <v>0.16500000000000001</v>
      </c>
      <c r="N36" s="216">
        <v>0.16500000000000001</v>
      </c>
      <c r="O36" s="216">
        <v>0.16500000000000001</v>
      </c>
      <c r="P36" s="216">
        <v>0.16500000000000001</v>
      </c>
      <c r="Q36" s="216">
        <v>0.16500000000000001</v>
      </c>
      <c r="R36" s="216">
        <v>0.16500000000000001</v>
      </c>
      <c r="S36" s="216">
        <v>0.16500000000000001</v>
      </c>
      <c r="T36" s="216">
        <v>0.16500000000000001</v>
      </c>
      <c r="U36" s="216">
        <v>0.16500000000000001</v>
      </c>
      <c r="V36" s="216">
        <v>0.16500000000000001</v>
      </c>
      <c r="W36" s="216">
        <v>0.16500000000000001</v>
      </c>
      <c r="X36" s="216">
        <v>0.16500000000000001</v>
      </c>
      <c r="Y36" s="216">
        <v>0.16500000000000001</v>
      </c>
      <c r="Z36" s="216">
        <v>0.16500000000000001</v>
      </c>
      <c r="AA36" s="216">
        <v>0.16500000000000001</v>
      </c>
      <c r="AB36" s="216">
        <v>0.16500000000000001</v>
      </c>
      <c r="AC36" s="216">
        <v>0.16500000000000001</v>
      </c>
      <c r="AD36" s="216">
        <v>0.16500000000000001</v>
      </c>
      <c r="AE36" s="216">
        <v>0.16500000000000001</v>
      </c>
      <c r="AF36" s="216">
        <v>0.16500000000000001</v>
      </c>
      <c r="AG36" s="216">
        <v>0.16500000000000001</v>
      </c>
      <c r="AH36" s="216">
        <v>0.16500000000000001</v>
      </c>
      <c r="AI36" s="216">
        <v>0.16500000000000001</v>
      </c>
      <c r="AJ36" s="216">
        <v>0.16500000000000001</v>
      </c>
      <c r="AK36" s="217">
        <v>0.16500000000000001</v>
      </c>
      <c r="AL36" s="126"/>
      <c r="AM36" s="126"/>
      <c r="AN36" s="126"/>
      <c r="AO36" s="126"/>
      <c r="AP36" s="126"/>
      <c r="AQ36" s="126"/>
      <c r="AR36" s="126"/>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c r="BO36" s="126"/>
      <c r="BP36" s="126"/>
      <c r="BQ36" s="126"/>
      <c r="BR36" s="126"/>
      <c r="BS36" s="126"/>
      <c r="BT36" s="126"/>
      <c r="BU36" s="126"/>
      <c r="BV36" s="126"/>
      <c r="BW36" s="126"/>
      <c r="BX36" s="126"/>
      <c r="BY36" s="126"/>
      <c r="BZ36" s="126"/>
      <c r="CA36" s="126"/>
      <c r="CB36" s="126"/>
      <c r="CC36" s="126"/>
      <c r="CD36" s="126"/>
      <c r="CE36" s="126"/>
      <c r="CF36" s="126"/>
      <c r="CG36" s="126"/>
      <c r="CH36" s="126"/>
      <c r="CI36" s="126"/>
      <c r="CJ36" s="126"/>
      <c r="CK36" s="126"/>
      <c r="CL36" s="126"/>
      <c r="CM36" s="126"/>
      <c r="CN36" s="126"/>
      <c r="CO36" s="126"/>
      <c r="CP36" s="126"/>
      <c r="CQ36" s="126"/>
      <c r="CR36" s="126"/>
      <c r="CS36" s="126"/>
    </row>
    <row r="37" spans="2:97">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126"/>
      <c r="BN37" s="126"/>
      <c r="BO37" s="126"/>
      <c r="BP37" s="126"/>
      <c r="BQ37" s="126"/>
      <c r="BR37" s="126"/>
      <c r="BS37" s="126"/>
      <c r="BT37" s="126"/>
      <c r="BU37" s="126"/>
      <c r="BV37" s="126"/>
      <c r="BW37" s="126"/>
      <c r="BX37" s="126"/>
      <c r="BY37" s="126"/>
      <c r="BZ37" s="126"/>
      <c r="CA37" s="126"/>
      <c r="CB37" s="126"/>
      <c r="CC37" s="126"/>
      <c r="CD37" s="126"/>
      <c r="CE37" s="126"/>
      <c r="CF37" s="126"/>
      <c r="CG37" s="126"/>
      <c r="CH37" s="126"/>
      <c r="CI37" s="126"/>
      <c r="CJ37" s="126"/>
      <c r="CK37" s="126"/>
      <c r="CL37" s="126"/>
      <c r="CM37" s="126"/>
      <c r="CN37" s="126"/>
      <c r="CO37" s="126"/>
      <c r="CP37" s="126"/>
      <c r="CQ37" s="126"/>
      <c r="CR37" s="126"/>
      <c r="CS37" s="126"/>
    </row>
    <row r="40" spans="2:97">
      <c r="C40" s="218" t="s">
        <v>85</v>
      </c>
      <c r="D40" s="219"/>
      <c r="E40" s="219"/>
      <c r="F40" s="219"/>
      <c r="G40" s="219"/>
      <c r="H40" s="219"/>
      <c r="I40" s="219"/>
      <c r="J40" s="219"/>
      <c r="K40" s="219"/>
      <c r="L40" s="219"/>
      <c r="M40" s="220"/>
      <c r="N40" s="219"/>
      <c r="O40" s="219"/>
      <c r="P40" s="219"/>
      <c r="Q40" s="219"/>
      <c r="R40" s="219"/>
      <c r="S40" s="219"/>
      <c r="T40" s="219"/>
    </row>
    <row r="41" spans="2:97" ht="15" customHeight="1">
      <c r="C41" s="253" t="s">
        <v>149</v>
      </c>
      <c r="D41" s="253"/>
      <c r="E41" s="253"/>
      <c r="F41" s="253"/>
      <c r="G41" s="253"/>
      <c r="H41" s="253"/>
      <c r="I41" s="253"/>
      <c r="J41" s="253"/>
      <c r="K41" s="253"/>
      <c r="L41" s="253"/>
      <c r="M41" s="253"/>
      <c r="N41" s="253"/>
      <c r="O41" s="253"/>
      <c r="P41" s="253"/>
      <c r="Q41" s="253"/>
      <c r="R41" s="253"/>
      <c r="S41" s="253"/>
      <c r="T41" s="253"/>
    </row>
    <row r="42" spans="2:97">
      <c r="C42" s="253"/>
      <c r="D42" s="253"/>
      <c r="E42" s="253"/>
      <c r="F42" s="253"/>
      <c r="G42" s="253"/>
      <c r="H42" s="253"/>
      <c r="I42" s="253"/>
      <c r="J42" s="253"/>
      <c r="K42" s="253"/>
      <c r="L42" s="253"/>
      <c r="M42" s="253"/>
      <c r="N42" s="253"/>
      <c r="O42" s="253"/>
      <c r="P42" s="253"/>
      <c r="Q42" s="253"/>
      <c r="R42" s="253"/>
      <c r="S42" s="253"/>
      <c r="T42" s="253"/>
    </row>
    <row r="43" spans="2:97">
      <c r="C43" s="253"/>
      <c r="D43" s="253"/>
      <c r="E43" s="253"/>
      <c r="F43" s="253"/>
      <c r="G43" s="253"/>
      <c r="H43" s="253"/>
      <c r="I43" s="253"/>
      <c r="J43" s="253"/>
      <c r="K43" s="253"/>
      <c r="L43" s="253"/>
      <c r="M43" s="253"/>
      <c r="N43" s="253"/>
      <c r="O43" s="253"/>
      <c r="P43" s="253"/>
      <c r="Q43" s="253"/>
      <c r="R43" s="253"/>
      <c r="S43" s="253"/>
      <c r="T43" s="253"/>
    </row>
    <row r="44" spans="2:97">
      <c r="C44" s="253"/>
      <c r="D44" s="253"/>
      <c r="E44" s="253"/>
      <c r="F44" s="253"/>
      <c r="G44" s="253"/>
      <c r="H44" s="253"/>
      <c r="I44" s="253"/>
      <c r="J44" s="253"/>
      <c r="K44" s="253"/>
      <c r="L44" s="253"/>
      <c r="M44" s="253"/>
      <c r="N44" s="253"/>
      <c r="O44" s="253"/>
      <c r="P44" s="253"/>
      <c r="Q44" s="253"/>
      <c r="R44" s="253"/>
      <c r="S44" s="253"/>
      <c r="T44" s="253"/>
    </row>
    <row r="45" spans="2:97">
      <c r="C45" s="253"/>
      <c r="D45" s="253"/>
      <c r="E45" s="253"/>
      <c r="F45" s="253"/>
      <c r="G45" s="253"/>
      <c r="H45" s="253"/>
      <c r="I45" s="253"/>
      <c r="J45" s="253"/>
      <c r="K45" s="253"/>
      <c r="L45" s="253"/>
      <c r="M45" s="253"/>
      <c r="N45" s="253"/>
      <c r="O45" s="253"/>
      <c r="P45" s="253"/>
      <c r="Q45" s="253"/>
      <c r="R45" s="253"/>
      <c r="S45" s="253"/>
      <c r="T45" s="253"/>
    </row>
    <row r="46" spans="2:97">
      <c r="C46" s="253"/>
      <c r="D46" s="253"/>
      <c r="E46" s="253"/>
      <c r="F46" s="253"/>
      <c r="G46" s="253"/>
      <c r="H46" s="253"/>
      <c r="I46" s="253"/>
      <c r="J46" s="253"/>
      <c r="K46" s="253"/>
      <c r="L46" s="253"/>
      <c r="M46" s="253"/>
      <c r="N46" s="253"/>
      <c r="O46" s="253"/>
      <c r="P46" s="253"/>
      <c r="Q46" s="253"/>
      <c r="R46" s="253"/>
      <c r="S46" s="253"/>
      <c r="T46" s="253"/>
    </row>
    <row r="47" spans="2:97">
      <c r="C47" s="253"/>
      <c r="D47" s="253"/>
      <c r="E47" s="253"/>
      <c r="F47" s="253"/>
      <c r="G47" s="253"/>
      <c r="H47" s="253"/>
      <c r="I47" s="253"/>
      <c r="J47" s="253"/>
      <c r="K47" s="253"/>
      <c r="L47" s="253"/>
      <c r="M47" s="253"/>
      <c r="N47" s="253"/>
      <c r="O47" s="253"/>
      <c r="P47" s="253"/>
      <c r="Q47" s="253"/>
      <c r="R47" s="253"/>
      <c r="S47" s="253"/>
      <c r="T47" s="253"/>
    </row>
    <row r="48" spans="2:97">
      <c r="C48" s="253"/>
      <c r="D48" s="253"/>
      <c r="E48" s="253"/>
      <c r="F48" s="253"/>
      <c r="G48" s="253"/>
      <c r="H48" s="253"/>
      <c r="I48" s="253"/>
      <c r="J48" s="253"/>
      <c r="K48" s="253"/>
      <c r="L48" s="253"/>
      <c r="M48" s="253"/>
      <c r="N48" s="253"/>
      <c r="O48" s="253"/>
      <c r="P48" s="253"/>
      <c r="Q48" s="253"/>
      <c r="R48" s="253"/>
      <c r="S48" s="253"/>
      <c r="T48" s="253"/>
    </row>
    <row r="49" spans="3:20">
      <c r="C49" s="253"/>
      <c r="D49" s="253"/>
      <c r="E49" s="253"/>
      <c r="F49" s="253"/>
      <c r="G49" s="253"/>
      <c r="H49" s="253"/>
      <c r="I49" s="253"/>
      <c r="J49" s="253"/>
      <c r="K49" s="253"/>
      <c r="L49" s="253"/>
      <c r="M49" s="253"/>
      <c r="N49" s="253"/>
      <c r="O49" s="253"/>
      <c r="P49" s="253"/>
      <c r="Q49" s="253"/>
      <c r="R49" s="253"/>
      <c r="S49" s="253"/>
      <c r="T49" s="253"/>
    </row>
    <row r="50" spans="3:20">
      <c r="C50" s="253"/>
      <c r="D50" s="253"/>
      <c r="E50" s="253"/>
      <c r="F50" s="253"/>
      <c r="G50" s="253"/>
      <c r="H50" s="253"/>
      <c r="I50" s="253"/>
      <c r="J50" s="253"/>
      <c r="K50" s="253"/>
      <c r="L50" s="253"/>
      <c r="M50" s="253"/>
      <c r="N50" s="253"/>
      <c r="O50" s="253"/>
      <c r="P50" s="253"/>
      <c r="Q50" s="253"/>
      <c r="R50" s="253"/>
      <c r="S50" s="253"/>
      <c r="T50" s="253"/>
    </row>
    <row r="51" spans="3:20">
      <c r="C51" s="253"/>
      <c r="D51" s="253"/>
      <c r="E51" s="253"/>
      <c r="F51" s="253"/>
      <c r="G51" s="253"/>
      <c r="H51" s="253"/>
      <c r="I51" s="253"/>
      <c r="J51" s="253"/>
      <c r="K51" s="253"/>
      <c r="L51" s="253"/>
      <c r="M51" s="253"/>
      <c r="N51" s="253"/>
      <c r="O51" s="253"/>
      <c r="P51" s="253"/>
      <c r="Q51" s="253"/>
      <c r="R51" s="253"/>
      <c r="S51" s="253"/>
      <c r="T51" s="253"/>
    </row>
    <row r="52" spans="3:20">
      <c r="C52" s="253"/>
      <c r="D52" s="253"/>
      <c r="E52" s="253"/>
      <c r="F52" s="253"/>
      <c r="G52" s="253"/>
      <c r="H52" s="253"/>
      <c r="I52" s="253"/>
      <c r="J52" s="253"/>
      <c r="K52" s="253"/>
      <c r="L52" s="253"/>
      <c r="M52" s="253"/>
      <c r="N52" s="253"/>
      <c r="O52" s="253"/>
      <c r="P52" s="253"/>
      <c r="Q52" s="253"/>
      <c r="R52" s="253"/>
      <c r="S52" s="253"/>
      <c r="T52" s="253"/>
    </row>
    <row r="53" spans="3:20">
      <c r="C53" s="253"/>
      <c r="D53" s="253"/>
      <c r="E53" s="253"/>
      <c r="F53" s="253"/>
      <c r="G53" s="253"/>
      <c r="H53" s="253"/>
      <c r="I53" s="253"/>
      <c r="J53" s="253"/>
      <c r="K53" s="253"/>
      <c r="L53" s="253"/>
      <c r="M53" s="253"/>
      <c r="N53" s="253"/>
      <c r="O53" s="253"/>
      <c r="P53" s="253"/>
      <c r="Q53" s="253"/>
      <c r="R53" s="253"/>
      <c r="S53" s="253"/>
      <c r="T53" s="253"/>
    </row>
    <row r="54" spans="3:20">
      <c r="C54" s="253"/>
      <c r="D54" s="253"/>
      <c r="E54" s="253"/>
      <c r="F54" s="253"/>
      <c r="G54" s="253"/>
      <c r="H54" s="253"/>
      <c r="I54" s="253"/>
      <c r="J54" s="253"/>
      <c r="K54" s="253"/>
      <c r="L54" s="253"/>
      <c r="M54" s="253"/>
      <c r="N54" s="253"/>
      <c r="O54" s="253"/>
      <c r="P54" s="253"/>
      <c r="Q54" s="253"/>
      <c r="R54" s="253"/>
      <c r="S54" s="253"/>
      <c r="T54" s="253"/>
    </row>
    <row r="55" spans="3:20">
      <c r="C55" s="253"/>
      <c r="D55" s="253"/>
      <c r="E55" s="253"/>
      <c r="F55" s="253"/>
      <c r="G55" s="253"/>
      <c r="H55" s="253"/>
      <c r="I55" s="253"/>
      <c r="J55" s="253"/>
      <c r="K55" s="253"/>
      <c r="L55" s="253"/>
      <c r="M55" s="253"/>
      <c r="N55" s="253"/>
      <c r="O55" s="253"/>
      <c r="P55" s="253"/>
      <c r="Q55" s="253"/>
      <c r="R55" s="253"/>
      <c r="S55" s="253"/>
      <c r="T55" s="253"/>
    </row>
    <row r="56" spans="3:20">
      <c r="C56" s="253"/>
      <c r="D56" s="253"/>
      <c r="E56" s="253"/>
      <c r="F56" s="253"/>
      <c r="G56" s="253"/>
      <c r="H56" s="253"/>
      <c r="I56" s="253"/>
      <c r="J56" s="253"/>
      <c r="K56" s="253"/>
      <c r="L56" s="253"/>
      <c r="M56" s="253"/>
      <c r="N56" s="253"/>
      <c r="O56" s="253"/>
      <c r="P56" s="253"/>
      <c r="Q56" s="253"/>
      <c r="R56" s="253"/>
      <c r="S56" s="253"/>
      <c r="T56" s="253"/>
    </row>
    <row r="57" spans="3:20">
      <c r="C57" s="253"/>
      <c r="D57" s="253"/>
      <c r="E57" s="253"/>
      <c r="F57" s="253"/>
      <c r="G57" s="253"/>
      <c r="H57" s="253"/>
      <c r="I57" s="253"/>
      <c r="J57" s="253"/>
      <c r="K57" s="253"/>
      <c r="L57" s="253"/>
      <c r="M57" s="253"/>
      <c r="N57" s="253"/>
      <c r="O57" s="253"/>
      <c r="P57" s="253"/>
      <c r="Q57" s="253"/>
      <c r="R57" s="253"/>
      <c r="S57" s="253"/>
      <c r="T57" s="253"/>
    </row>
    <row r="58" spans="3:20">
      <c r="C58" s="253"/>
      <c r="D58" s="253"/>
      <c r="E58" s="253"/>
      <c r="F58" s="253"/>
      <c r="G58" s="253"/>
      <c r="H58" s="253"/>
      <c r="I58" s="253"/>
      <c r="J58" s="253"/>
      <c r="K58" s="253"/>
      <c r="L58" s="253"/>
      <c r="M58" s="253"/>
      <c r="N58" s="253"/>
      <c r="O58" s="253"/>
      <c r="P58" s="253"/>
      <c r="Q58" s="253"/>
      <c r="R58" s="253"/>
      <c r="S58" s="253"/>
      <c r="T58" s="253"/>
    </row>
    <row r="59" spans="3:20">
      <c r="C59" s="253"/>
      <c r="D59" s="253"/>
      <c r="E59" s="253"/>
      <c r="F59" s="253"/>
      <c r="G59" s="253"/>
      <c r="H59" s="253"/>
      <c r="I59" s="253"/>
      <c r="J59" s="253"/>
      <c r="K59" s="253"/>
      <c r="L59" s="253"/>
      <c r="M59" s="253"/>
      <c r="N59" s="253"/>
      <c r="O59" s="253"/>
      <c r="P59" s="253"/>
      <c r="Q59" s="253"/>
      <c r="R59" s="253"/>
      <c r="S59" s="253"/>
      <c r="T59" s="253"/>
    </row>
    <row r="60" spans="3:20">
      <c r="C60" s="253"/>
      <c r="D60" s="253"/>
      <c r="E60" s="253"/>
      <c r="F60" s="253"/>
      <c r="G60" s="253"/>
      <c r="H60" s="253"/>
      <c r="I60" s="253"/>
      <c r="J60" s="253"/>
      <c r="K60" s="253"/>
      <c r="L60" s="253"/>
      <c r="M60" s="253"/>
      <c r="N60" s="253"/>
      <c r="O60" s="253"/>
      <c r="P60" s="253"/>
      <c r="Q60" s="253"/>
      <c r="R60" s="253"/>
      <c r="S60" s="253"/>
      <c r="T60" s="253"/>
    </row>
    <row r="61" spans="3:20">
      <c r="C61" s="253"/>
      <c r="D61" s="253"/>
      <c r="E61" s="253"/>
      <c r="F61" s="253"/>
      <c r="G61" s="253"/>
      <c r="H61" s="253"/>
      <c r="I61" s="253"/>
      <c r="J61" s="253"/>
      <c r="K61" s="253"/>
      <c r="L61" s="253"/>
      <c r="M61" s="253"/>
      <c r="N61" s="253"/>
      <c r="O61" s="253"/>
      <c r="P61" s="253"/>
      <c r="Q61" s="253"/>
      <c r="R61" s="253"/>
      <c r="S61" s="253"/>
      <c r="T61" s="253"/>
    </row>
    <row r="62" spans="3:20">
      <c r="C62" s="253"/>
      <c r="D62" s="253"/>
      <c r="E62" s="253"/>
      <c r="F62" s="253"/>
      <c r="G62" s="253"/>
      <c r="H62" s="253"/>
      <c r="I62" s="253"/>
      <c r="J62" s="253"/>
      <c r="K62" s="253"/>
      <c r="L62" s="253"/>
      <c r="M62" s="253"/>
      <c r="N62" s="253"/>
      <c r="O62" s="253"/>
      <c r="P62" s="253"/>
      <c r="Q62" s="253"/>
      <c r="R62" s="253"/>
      <c r="S62" s="253"/>
      <c r="T62" s="253"/>
    </row>
    <row r="63" spans="3:20">
      <c r="C63" s="253"/>
      <c r="D63" s="253"/>
      <c r="E63" s="253"/>
      <c r="F63" s="253"/>
      <c r="G63" s="253"/>
      <c r="H63" s="253"/>
      <c r="I63" s="253"/>
      <c r="J63" s="253"/>
      <c r="K63" s="253"/>
      <c r="L63" s="253"/>
      <c r="M63" s="253"/>
      <c r="N63" s="253"/>
      <c r="O63" s="253"/>
      <c r="P63" s="253"/>
      <c r="Q63" s="253"/>
      <c r="R63" s="253"/>
      <c r="S63" s="253"/>
      <c r="T63" s="253"/>
    </row>
    <row r="64" spans="3:20">
      <c r="C64" s="253"/>
      <c r="D64" s="253"/>
      <c r="E64" s="253"/>
      <c r="F64" s="253"/>
      <c r="G64" s="253"/>
      <c r="H64" s="253"/>
      <c r="I64" s="253"/>
      <c r="J64" s="253"/>
      <c r="K64" s="253"/>
      <c r="L64" s="253"/>
      <c r="M64" s="253"/>
      <c r="N64" s="253"/>
      <c r="O64" s="253"/>
      <c r="P64" s="253"/>
      <c r="Q64" s="253"/>
      <c r="R64" s="253"/>
      <c r="S64" s="253"/>
      <c r="T64" s="253"/>
    </row>
    <row r="65" spans="3:20">
      <c r="C65" s="253"/>
      <c r="D65" s="253"/>
      <c r="E65" s="253"/>
      <c r="F65" s="253"/>
      <c r="G65" s="253"/>
      <c r="H65" s="253"/>
      <c r="I65" s="253"/>
      <c r="J65" s="253"/>
      <c r="K65" s="253"/>
      <c r="L65" s="253"/>
      <c r="M65" s="253"/>
      <c r="N65" s="253"/>
      <c r="O65" s="253"/>
      <c r="P65" s="253"/>
      <c r="Q65" s="253"/>
      <c r="R65" s="253"/>
      <c r="S65" s="253"/>
      <c r="T65" s="253"/>
    </row>
    <row r="66" spans="3:20">
      <c r="C66" s="253"/>
      <c r="D66" s="253"/>
      <c r="E66" s="253"/>
      <c r="F66" s="253"/>
      <c r="G66" s="253"/>
      <c r="H66" s="253"/>
      <c r="I66" s="253"/>
      <c r="J66" s="253"/>
      <c r="K66" s="253"/>
      <c r="L66" s="253"/>
      <c r="M66" s="253"/>
      <c r="N66" s="253"/>
      <c r="O66" s="253"/>
      <c r="P66" s="253"/>
      <c r="Q66" s="253"/>
      <c r="R66" s="253"/>
      <c r="S66" s="253"/>
      <c r="T66" s="253"/>
    </row>
    <row r="67" spans="3:20">
      <c r="C67" s="253"/>
      <c r="D67" s="253"/>
      <c r="E67" s="253"/>
      <c r="F67" s="253"/>
      <c r="G67" s="253"/>
      <c r="H67" s="253"/>
      <c r="I67" s="253"/>
      <c r="J67" s="253"/>
      <c r="K67" s="253"/>
      <c r="L67" s="253"/>
      <c r="M67" s="253"/>
      <c r="N67" s="253"/>
      <c r="O67" s="253"/>
      <c r="P67" s="253"/>
      <c r="Q67" s="253"/>
      <c r="R67" s="253"/>
      <c r="S67" s="253"/>
      <c r="T67" s="253"/>
    </row>
    <row r="68" spans="3:20">
      <c r="C68" s="253"/>
      <c r="D68" s="253"/>
      <c r="E68" s="253"/>
      <c r="F68" s="253"/>
      <c r="G68" s="253"/>
      <c r="H68" s="253"/>
      <c r="I68" s="253"/>
      <c r="J68" s="253"/>
      <c r="K68" s="253"/>
      <c r="L68" s="253"/>
      <c r="M68" s="253"/>
      <c r="N68" s="253"/>
      <c r="O68" s="253"/>
      <c r="P68" s="253"/>
      <c r="Q68" s="253"/>
      <c r="R68" s="253"/>
      <c r="S68" s="253"/>
      <c r="T68" s="253"/>
    </row>
    <row r="69" spans="3:20">
      <c r="C69" s="253"/>
      <c r="D69" s="253"/>
      <c r="E69" s="253"/>
      <c r="F69" s="253"/>
      <c r="G69" s="253"/>
      <c r="H69" s="253"/>
      <c r="I69" s="253"/>
      <c r="J69" s="253"/>
      <c r="K69" s="253"/>
      <c r="L69" s="253"/>
      <c r="M69" s="253"/>
      <c r="N69" s="253"/>
      <c r="O69" s="253"/>
      <c r="P69" s="253"/>
      <c r="Q69" s="253"/>
      <c r="R69" s="253"/>
      <c r="S69" s="253"/>
      <c r="T69" s="253"/>
    </row>
    <row r="70" spans="3:20">
      <c r="C70" s="253"/>
      <c r="D70" s="253"/>
      <c r="E70" s="253"/>
      <c r="F70" s="253"/>
      <c r="G70" s="253"/>
      <c r="H70" s="253"/>
      <c r="I70" s="253"/>
      <c r="J70" s="253"/>
      <c r="K70" s="253"/>
      <c r="L70" s="253"/>
      <c r="M70" s="253"/>
      <c r="N70" s="253"/>
      <c r="O70" s="253"/>
      <c r="P70" s="253"/>
      <c r="Q70" s="253"/>
      <c r="R70" s="253"/>
      <c r="S70" s="253"/>
      <c r="T70" s="253"/>
    </row>
    <row r="71" spans="3:20">
      <c r="C71" s="253"/>
      <c r="D71" s="253"/>
      <c r="E71" s="253"/>
      <c r="F71" s="253"/>
      <c r="G71" s="253"/>
      <c r="H71" s="253"/>
      <c r="I71" s="253"/>
      <c r="J71" s="253"/>
      <c r="K71" s="253"/>
      <c r="L71" s="253"/>
      <c r="M71" s="253"/>
      <c r="N71" s="253"/>
      <c r="O71" s="253"/>
      <c r="P71" s="253"/>
      <c r="Q71" s="253"/>
      <c r="R71" s="253"/>
      <c r="S71" s="253"/>
      <c r="T71" s="253"/>
    </row>
    <row r="72" spans="3:20">
      <c r="C72" s="253"/>
      <c r="D72" s="253"/>
      <c r="E72" s="253"/>
      <c r="F72" s="253"/>
      <c r="G72" s="253"/>
      <c r="H72" s="253"/>
      <c r="I72" s="253"/>
      <c r="J72" s="253"/>
      <c r="K72" s="253"/>
      <c r="L72" s="253"/>
      <c r="M72" s="253"/>
      <c r="N72" s="253"/>
      <c r="O72" s="253"/>
      <c r="P72" s="253"/>
      <c r="Q72" s="253"/>
      <c r="R72" s="253"/>
      <c r="S72" s="253"/>
      <c r="T72" s="253"/>
    </row>
    <row r="73" spans="3:20">
      <c r="C73" s="253"/>
      <c r="D73" s="253"/>
      <c r="E73" s="253"/>
      <c r="F73" s="253"/>
      <c r="G73" s="253"/>
      <c r="H73" s="253"/>
      <c r="I73" s="253"/>
      <c r="J73" s="253"/>
      <c r="K73" s="253"/>
      <c r="L73" s="253"/>
      <c r="M73" s="253"/>
      <c r="N73" s="253"/>
      <c r="O73" s="253"/>
      <c r="P73" s="253"/>
      <c r="Q73" s="253"/>
      <c r="R73" s="253"/>
      <c r="S73" s="253"/>
      <c r="T73" s="253"/>
    </row>
    <row r="74" spans="3:20">
      <c r="C74" s="253"/>
      <c r="D74" s="253"/>
      <c r="E74" s="253"/>
      <c r="F74" s="253"/>
      <c r="G74" s="253"/>
      <c r="H74" s="253"/>
      <c r="I74" s="253"/>
      <c r="J74" s="253"/>
      <c r="K74" s="253"/>
      <c r="L74" s="253"/>
      <c r="M74" s="253"/>
      <c r="N74" s="253"/>
      <c r="O74" s="253"/>
      <c r="P74" s="253"/>
      <c r="Q74" s="253"/>
      <c r="R74" s="253"/>
      <c r="S74" s="253"/>
      <c r="T74" s="253"/>
    </row>
    <row r="75" spans="3:20">
      <c r="C75" s="253"/>
      <c r="D75" s="253"/>
      <c r="E75" s="253"/>
      <c r="F75" s="253"/>
      <c r="G75" s="253"/>
      <c r="H75" s="253"/>
      <c r="I75" s="253"/>
      <c r="J75" s="253"/>
      <c r="K75" s="253"/>
      <c r="L75" s="253"/>
      <c r="M75" s="253"/>
      <c r="N75" s="253"/>
      <c r="O75" s="253"/>
      <c r="P75" s="253"/>
      <c r="Q75" s="253"/>
      <c r="R75" s="253"/>
      <c r="S75" s="253"/>
      <c r="T75" s="253"/>
    </row>
    <row r="76" spans="3:20">
      <c r="C76" s="253"/>
      <c r="D76" s="253"/>
      <c r="E76" s="253"/>
      <c r="F76" s="253"/>
      <c r="G76" s="253"/>
      <c r="H76" s="253"/>
      <c r="I76" s="253"/>
      <c r="J76" s="253"/>
      <c r="K76" s="253"/>
      <c r="L76" s="253"/>
      <c r="M76" s="253"/>
      <c r="N76" s="253"/>
      <c r="O76" s="253"/>
      <c r="P76" s="253"/>
      <c r="Q76" s="253"/>
      <c r="R76" s="253"/>
      <c r="S76" s="253"/>
      <c r="T76" s="253"/>
    </row>
    <row r="77" spans="3:20" ht="46.5" customHeight="1">
      <c r="C77" s="253"/>
      <c r="D77" s="253"/>
      <c r="E77" s="253"/>
      <c r="F77" s="253"/>
      <c r="G77" s="253"/>
      <c r="H77" s="253"/>
      <c r="I77" s="253"/>
      <c r="J77" s="253"/>
      <c r="K77" s="253"/>
      <c r="L77" s="253"/>
      <c r="M77" s="253"/>
      <c r="N77" s="253"/>
      <c r="O77" s="253"/>
      <c r="P77" s="253"/>
      <c r="Q77" s="253"/>
      <c r="R77" s="253"/>
      <c r="S77" s="253"/>
      <c r="T77" s="253"/>
    </row>
    <row r="78" spans="3:20">
      <c r="C78" s="253"/>
      <c r="D78" s="253"/>
      <c r="E78" s="253"/>
      <c r="F78" s="253"/>
      <c r="G78" s="253"/>
      <c r="H78" s="253"/>
      <c r="I78" s="253"/>
      <c r="J78" s="253"/>
      <c r="K78" s="253"/>
      <c r="L78" s="253"/>
      <c r="M78" s="253"/>
      <c r="N78" s="253"/>
      <c r="O78" s="253"/>
      <c r="P78" s="253"/>
      <c r="Q78" s="253"/>
      <c r="R78" s="253"/>
      <c r="S78" s="253"/>
      <c r="T78" s="253"/>
    </row>
    <row r="79" spans="3:20">
      <c r="C79" s="253"/>
      <c r="D79" s="253"/>
      <c r="E79" s="253"/>
      <c r="F79" s="253"/>
      <c r="G79" s="253"/>
      <c r="H79" s="253"/>
      <c r="I79" s="253"/>
      <c r="J79" s="253"/>
      <c r="K79" s="253"/>
      <c r="L79" s="253"/>
      <c r="M79" s="253"/>
      <c r="N79" s="253"/>
      <c r="O79" s="253"/>
      <c r="P79" s="253"/>
      <c r="Q79" s="253"/>
      <c r="R79" s="253"/>
      <c r="S79" s="253"/>
      <c r="T79" s="253"/>
    </row>
    <row r="80" spans="3:20">
      <c r="C80" s="253"/>
      <c r="D80" s="253"/>
      <c r="E80" s="253"/>
      <c r="F80" s="253"/>
      <c r="G80" s="253"/>
      <c r="H80" s="253"/>
      <c r="I80" s="253"/>
      <c r="J80" s="253"/>
      <c r="K80" s="253"/>
      <c r="L80" s="253"/>
      <c r="M80" s="253"/>
      <c r="N80" s="253"/>
      <c r="O80" s="253"/>
      <c r="P80" s="253"/>
      <c r="Q80" s="253"/>
      <c r="R80" s="253"/>
      <c r="S80" s="253"/>
      <c r="T80" s="253"/>
    </row>
  </sheetData>
  <mergeCells count="1">
    <mergeCell ref="C41:T80"/>
  </mergeCells>
  <conditionalFormatting sqref="E30:E36">
    <cfRule type="containsBlanks" dxfId="735" priority="19" stopIfTrue="1">
      <formula>LEN(TRIM(E30))=0</formula>
    </cfRule>
    <cfRule type="expression" dxfId="734" priority="20" stopIfTrue="1">
      <formula>SUM($E$30:$E$36)&lt;&gt;1</formula>
    </cfRule>
    <cfRule type="notContainsBlanks" dxfId="733" priority="21" stopIfTrue="1">
      <formula>LEN(TRIM(E30))&gt;0</formula>
    </cfRule>
  </conditionalFormatting>
  <conditionalFormatting sqref="F30:F36">
    <cfRule type="containsBlanks" dxfId="732" priority="22" stopIfTrue="1">
      <formula>LEN(TRIM(F30))=0</formula>
    </cfRule>
    <cfRule type="expression" dxfId="731" priority="23" stopIfTrue="1">
      <formula>SUM($F$30:$F$36)&lt;&gt;1</formula>
    </cfRule>
    <cfRule type="notContainsBlanks" dxfId="730" priority="24" stopIfTrue="1">
      <formula>LEN(TRIM(F30))&gt;0</formula>
    </cfRule>
  </conditionalFormatting>
  <conditionalFormatting sqref="G30:G36">
    <cfRule type="containsBlanks" dxfId="729" priority="25" stopIfTrue="1">
      <formula>LEN(TRIM(G30))=0</formula>
    </cfRule>
    <cfRule type="expression" dxfId="728" priority="26" stopIfTrue="1">
      <formula>SUM($G$30:$G$36)&lt;&gt;1</formula>
    </cfRule>
    <cfRule type="notContainsBlanks" dxfId="727" priority="27" stopIfTrue="1">
      <formula>LEN(TRIM(G30))&gt;0</formula>
    </cfRule>
  </conditionalFormatting>
  <conditionalFormatting sqref="H30:H36">
    <cfRule type="containsBlanks" dxfId="726" priority="28" stopIfTrue="1">
      <formula>LEN(TRIM(H30))=0</formula>
    </cfRule>
    <cfRule type="expression" dxfId="725" priority="29" stopIfTrue="1">
      <formula>SUM($H$30:$H$36)&lt;&gt;1</formula>
    </cfRule>
    <cfRule type="notContainsBlanks" dxfId="724" priority="30" stopIfTrue="1">
      <formula>LEN(TRIM(H30))&gt;0</formula>
    </cfRule>
  </conditionalFormatting>
  <conditionalFormatting sqref="I30:I36">
    <cfRule type="containsBlanks" dxfId="723" priority="31" stopIfTrue="1">
      <formula>LEN(TRIM(I30))=0</formula>
    </cfRule>
    <cfRule type="expression" dxfId="722" priority="32" stopIfTrue="1">
      <formula>SUM($I$30:$I$36)&lt;&gt;1</formula>
    </cfRule>
    <cfRule type="notContainsBlanks" dxfId="721" priority="33" stopIfTrue="1">
      <formula>LEN(TRIM(I30))&gt;0</formula>
    </cfRule>
  </conditionalFormatting>
  <conditionalFormatting sqref="J30:J36">
    <cfRule type="containsBlanks" dxfId="720" priority="34" stopIfTrue="1">
      <formula>LEN(TRIM(J30))=0</formula>
    </cfRule>
    <cfRule type="expression" dxfId="719" priority="35" stopIfTrue="1">
      <formula>SUM($J$30:$J$36)&lt;&gt;1</formula>
    </cfRule>
    <cfRule type="notContainsBlanks" dxfId="718" priority="36" stopIfTrue="1">
      <formula>LEN(TRIM(J30))&gt;0</formula>
    </cfRule>
  </conditionalFormatting>
  <conditionalFormatting sqref="K30:K36">
    <cfRule type="containsBlanks" dxfId="717" priority="37" stopIfTrue="1">
      <formula>LEN(TRIM(K30))=0</formula>
    </cfRule>
    <cfRule type="expression" dxfId="716" priority="38" stopIfTrue="1">
      <formula>SUM($K$30:$K$36)&lt;&gt;1</formula>
    </cfRule>
    <cfRule type="notContainsBlanks" dxfId="715" priority="39" stopIfTrue="1">
      <formula>LEN(TRIM(K30))&gt;0</formula>
    </cfRule>
  </conditionalFormatting>
  <conditionalFormatting sqref="L30:L36">
    <cfRule type="containsBlanks" dxfId="714" priority="40" stopIfTrue="1">
      <formula>LEN(TRIM(L30))=0</formula>
    </cfRule>
    <cfRule type="expression" dxfId="713" priority="41" stopIfTrue="1">
      <formula>SUM($L$30:$L$36)&lt;&gt;1</formula>
    </cfRule>
    <cfRule type="notContainsBlanks" dxfId="712" priority="42" stopIfTrue="1">
      <formula>LEN(TRIM(L30))&gt;0</formula>
    </cfRule>
  </conditionalFormatting>
  <conditionalFormatting sqref="M30:M36">
    <cfRule type="containsBlanks" dxfId="711" priority="43" stopIfTrue="1">
      <formula>LEN(TRIM(M30))=0</formula>
    </cfRule>
    <cfRule type="expression" dxfId="710" priority="44" stopIfTrue="1">
      <formula>SUM($M$30:$M$36)&lt;&gt;1</formula>
    </cfRule>
    <cfRule type="notContainsBlanks" dxfId="709" priority="45" stopIfTrue="1">
      <formula>LEN(TRIM(M30))&gt;0</formula>
    </cfRule>
  </conditionalFormatting>
  <conditionalFormatting sqref="N30:N36">
    <cfRule type="containsBlanks" dxfId="708" priority="46" stopIfTrue="1">
      <formula>LEN(TRIM(N30))=0</formula>
    </cfRule>
    <cfRule type="expression" dxfId="707" priority="47" stopIfTrue="1">
      <formula>SUM($N$30:$N$36)&lt;&gt;1</formula>
    </cfRule>
    <cfRule type="notContainsBlanks" dxfId="706" priority="48" stopIfTrue="1">
      <formula>LEN(TRIM(N30))&gt;0</formula>
    </cfRule>
  </conditionalFormatting>
  <conditionalFormatting sqref="O30:O36">
    <cfRule type="containsBlanks" dxfId="705" priority="49" stopIfTrue="1">
      <formula>LEN(TRIM(O30))=0</formula>
    </cfRule>
    <cfRule type="expression" dxfId="704" priority="50" stopIfTrue="1">
      <formula>SUM($O$30:$O$36)&lt;&gt;1</formula>
    </cfRule>
    <cfRule type="notContainsBlanks" dxfId="703" priority="51" stopIfTrue="1">
      <formula>LEN(TRIM(O30))&gt;0</formula>
    </cfRule>
  </conditionalFormatting>
  <conditionalFormatting sqref="P30:P36">
    <cfRule type="containsBlanks" dxfId="702" priority="52" stopIfTrue="1">
      <formula>LEN(TRIM(P30))=0</formula>
    </cfRule>
    <cfRule type="expression" dxfId="701" priority="53" stopIfTrue="1">
      <formula>SUM($P$30:$P$36)&lt;&gt;1</formula>
    </cfRule>
    <cfRule type="notContainsBlanks" dxfId="700" priority="54" stopIfTrue="1">
      <formula>LEN(TRIM(P30))&gt;0</formula>
    </cfRule>
  </conditionalFormatting>
  <conditionalFormatting sqref="Q30:Q36">
    <cfRule type="containsBlanks" dxfId="699" priority="55" stopIfTrue="1">
      <formula>LEN(TRIM(Q30))=0</formula>
    </cfRule>
    <cfRule type="expression" dxfId="698" priority="56" stopIfTrue="1">
      <formula>SUM($Q$30:$Q$36)&lt;&gt;1</formula>
    </cfRule>
    <cfRule type="notContainsBlanks" dxfId="697" priority="57" stopIfTrue="1">
      <formula>LEN(TRIM(Q30))&gt;0</formula>
    </cfRule>
  </conditionalFormatting>
  <conditionalFormatting sqref="R30:R36">
    <cfRule type="containsBlanks" dxfId="696" priority="58" stopIfTrue="1">
      <formula>LEN(TRIM(R30))=0</formula>
    </cfRule>
  </conditionalFormatting>
  <conditionalFormatting sqref="R30:R36">
    <cfRule type="expression" dxfId="695" priority="59" stopIfTrue="1">
      <formula>SUM($R$30:$R$36)&lt;&gt;1</formula>
    </cfRule>
  </conditionalFormatting>
  <conditionalFormatting sqref="R30:R36">
    <cfRule type="notContainsBlanks" dxfId="694" priority="60" stopIfTrue="1">
      <formula>LEN(TRIM(R30))&gt;0</formula>
    </cfRule>
  </conditionalFormatting>
  <conditionalFormatting sqref="S30:S36">
    <cfRule type="containsBlanks" dxfId="693" priority="61" stopIfTrue="1">
      <formula>LEN(TRIM(S30))=0</formula>
    </cfRule>
  </conditionalFormatting>
  <conditionalFormatting sqref="S30:S36">
    <cfRule type="expression" dxfId="692" priority="62" stopIfTrue="1">
      <formula>SUM($S$30:$S$36)&lt;&gt;1</formula>
    </cfRule>
  </conditionalFormatting>
  <conditionalFormatting sqref="S30:S36">
    <cfRule type="notContainsBlanks" dxfId="691" priority="63" stopIfTrue="1">
      <formula>LEN(TRIM(S30))&gt;0</formula>
    </cfRule>
  </conditionalFormatting>
  <conditionalFormatting sqref="T30:T36">
    <cfRule type="containsBlanks" dxfId="690" priority="64" stopIfTrue="1">
      <formula>LEN(TRIM(T30))=0</formula>
    </cfRule>
  </conditionalFormatting>
  <conditionalFormatting sqref="T30:T36">
    <cfRule type="expression" dxfId="689" priority="65" stopIfTrue="1">
      <formula>SUM($T$30:$T$36)&lt;&gt;1</formula>
    </cfRule>
  </conditionalFormatting>
  <conditionalFormatting sqref="T30:T36">
    <cfRule type="notContainsBlanks" dxfId="688" priority="66" stopIfTrue="1">
      <formula>LEN(TRIM(T30))&gt;0</formula>
    </cfRule>
  </conditionalFormatting>
  <conditionalFormatting sqref="U30:U36">
    <cfRule type="containsBlanks" dxfId="687" priority="67" stopIfTrue="1">
      <formula>LEN(TRIM(U30))=0</formula>
    </cfRule>
  </conditionalFormatting>
  <conditionalFormatting sqref="U30:U36">
    <cfRule type="expression" dxfId="686" priority="68" stopIfTrue="1">
      <formula>SUM($U$30:$U$36)&lt;&gt;1</formula>
    </cfRule>
  </conditionalFormatting>
  <conditionalFormatting sqref="U30:U36">
    <cfRule type="notContainsBlanks" dxfId="685" priority="69" stopIfTrue="1">
      <formula>LEN(TRIM(U30))&gt;0</formula>
    </cfRule>
  </conditionalFormatting>
  <conditionalFormatting sqref="V30:V36">
    <cfRule type="containsBlanks" dxfId="684" priority="70" stopIfTrue="1">
      <formula>LEN(TRIM(V30))=0</formula>
    </cfRule>
  </conditionalFormatting>
  <conditionalFormatting sqref="V30:V36">
    <cfRule type="expression" dxfId="683" priority="71" stopIfTrue="1">
      <formula>SUM($V$30:$V$36)&lt;&gt;1</formula>
    </cfRule>
  </conditionalFormatting>
  <conditionalFormatting sqref="V30:V36">
    <cfRule type="notContainsBlanks" dxfId="682" priority="72" stopIfTrue="1">
      <formula>LEN(TRIM(V30))&gt;0</formula>
    </cfRule>
  </conditionalFormatting>
  <conditionalFormatting sqref="W30:W36">
    <cfRule type="containsBlanks" dxfId="681" priority="73" stopIfTrue="1">
      <formula>LEN(TRIM(W30))=0</formula>
    </cfRule>
  </conditionalFormatting>
  <conditionalFormatting sqref="W30:W36">
    <cfRule type="expression" dxfId="680" priority="74" stopIfTrue="1">
      <formula>SUM($W$30:$W$36)&lt;&gt;1</formula>
    </cfRule>
  </conditionalFormatting>
  <conditionalFormatting sqref="W30:W36">
    <cfRule type="notContainsBlanks" dxfId="679" priority="75" stopIfTrue="1">
      <formula>LEN(TRIM(W30))&gt;0</formula>
    </cfRule>
  </conditionalFormatting>
  <conditionalFormatting sqref="X30:X36">
    <cfRule type="containsBlanks" dxfId="678" priority="76" stopIfTrue="1">
      <formula>LEN(TRIM(X30))=0</formula>
    </cfRule>
  </conditionalFormatting>
  <conditionalFormatting sqref="X30:X36">
    <cfRule type="expression" dxfId="677" priority="77" stopIfTrue="1">
      <formula>SUM($X$30:$X$36)&lt;&gt;1</formula>
    </cfRule>
  </conditionalFormatting>
  <conditionalFormatting sqref="X30:X36">
    <cfRule type="notContainsBlanks" dxfId="676" priority="78" stopIfTrue="1">
      <formula>LEN(TRIM(X30))&gt;0</formula>
    </cfRule>
  </conditionalFormatting>
  <conditionalFormatting sqref="Y30:Y36">
    <cfRule type="containsBlanks" dxfId="675" priority="79" stopIfTrue="1">
      <formula>LEN(TRIM(Y30))=0</formula>
    </cfRule>
  </conditionalFormatting>
  <conditionalFormatting sqref="Y30:Y36">
    <cfRule type="expression" dxfId="674" priority="80" stopIfTrue="1">
      <formula>SUM($Y$30:$Y$36)&lt;&gt;1</formula>
    </cfRule>
  </conditionalFormatting>
  <conditionalFormatting sqref="Y30:Y36">
    <cfRule type="notContainsBlanks" dxfId="673" priority="81" stopIfTrue="1">
      <formula>LEN(TRIM(Y30))&gt;0</formula>
    </cfRule>
  </conditionalFormatting>
  <conditionalFormatting sqref="Z30:Z36">
    <cfRule type="containsBlanks" dxfId="672" priority="82" stopIfTrue="1">
      <formula>LEN(TRIM(Z30))=0</formula>
    </cfRule>
  </conditionalFormatting>
  <conditionalFormatting sqref="Z30:Z36">
    <cfRule type="expression" dxfId="671" priority="83" stopIfTrue="1">
      <formula>SUM($Z$30:$Z$36)&lt;&gt;1</formula>
    </cfRule>
  </conditionalFormatting>
  <conditionalFormatting sqref="Z30:Z36">
    <cfRule type="notContainsBlanks" dxfId="670" priority="84" stopIfTrue="1">
      <formula>LEN(TRIM(Z30))&gt;0</formula>
    </cfRule>
  </conditionalFormatting>
  <conditionalFormatting sqref="AA30:AA36">
    <cfRule type="containsBlanks" dxfId="669" priority="85" stopIfTrue="1">
      <formula>LEN(TRIM(AA30))=0</formula>
    </cfRule>
  </conditionalFormatting>
  <conditionalFormatting sqref="AA30:AA36">
    <cfRule type="expression" dxfId="668" priority="86" stopIfTrue="1">
      <formula>SUM($AA$30:$AA$36)&lt;&gt;1</formula>
    </cfRule>
  </conditionalFormatting>
  <conditionalFormatting sqref="AA30:AA36">
    <cfRule type="notContainsBlanks" dxfId="667" priority="87" stopIfTrue="1">
      <formula>LEN(TRIM(AA30))&gt;0</formula>
    </cfRule>
  </conditionalFormatting>
  <conditionalFormatting sqref="AB30:AB36">
    <cfRule type="containsBlanks" dxfId="666" priority="88" stopIfTrue="1">
      <formula>LEN(TRIM(AB30))=0</formula>
    </cfRule>
  </conditionalFormatting>
  <conditionalFormatting sqref="AB30:AB36">
    <cfRule type="expression" dxfId="665" priority="89" stopIfTrue="1">
      <formula>SUM($AB$30:$AB$36)&lt;&gt;1</formula>
    </cfRule>
  </conditionalFormatting>
  <conditionalFormatting sqref="AB30:AB36">
    <cfRule type="notContainsBlanks" dxfId="664" priority="90" stopIfTrue="1">
      <formula>LEN(TRIM(AB30))&gt;0</formula>
    </cfRule>
  </conditionalFormatting>
  <conditionalFormatting sqref="AC30:AC36">
    <cfRule type="containsBlanks" dxfId="663" priority="91" stopIfTrue="1">
      <formula>LEN(TRIM(AC30))=0</formula>
    </cfRule>
  </conditionalFormatting>
  <conditionalFormatting sqref="AC30:AC36">
    <cfRule type="expression" dxfId="662" priority="92" stopIfTrue="1">
      <formula>SUM($AC$30:$AC$36)&lt;&gt;1</formula>
    </cfRule>
  </conditionalFormatting>
  <conditionalFormatting sqref="AC30:AC36">
    <cfRule type="notContainsBlanks" dxfId="661" priority="93" stopIfTrue="1">
      <formula>LEN(TRIM(AC30))&gt;0</formula>
    </cfRule>
  </conditionalFormatting>
  <conditionalFormatting sqref="AD30:AD36">
    <cfRule type="containsBlanks" dxfId="660" priority="94" stopIfTrue="1">
      <formula>LEN(TRIM(AD30))=0</formula>
    </cfRule>
  </conditionalFormatting>
  <conditionalFormatting sqref="AD30:AD36">
    <cfRule type="expression" dxfId="659" priority="95" stopIfTrue="1">
      <formula>SUM($AD$30:$AD$36)&lt;&gt;1</formula>
    </cfRule>
  </conditionalFormatting>
  <conditionalFormatting sqref="AD30:AD36">
    <cfRule type="notContainsBlanks" dxfId="658" priority="96" stopIfTrue="1">
      <formula>LEN(TRIM(AD30))&gt;0</formula>
    </cfRule>
  </conditionalFormatting>
  <conditionalFormatting sqref="AE30:AE36">
    <cfRule type="containsBlanks" dxfId="657" priority="97" stopIfTrue="1">
      <formula>LEN(TRIM(AE30))=0</formula>
    </cfRule>
  </conditionalFormatting>
  <conditionalFormatting sqref="AE30:AE36">
    <cfRule type="expression" dxfId="656" priority="98" stopIfTrue="1">
      <formula>SUM($AE$30:$AE$36)&lt;&gt;1</formula>
    </cfRule>
  </conditionalFormatting>
  <conditionalFormatting sqref="AE30:AE36">
    <cfRule type="notContainsBlanks" dxfId="655" priority="99" stopIfTrue="1">
      <formula>LEN(TRIM(AE30))&gt;0</formula>
    </cfRule>
  </conditionalFormatting>
  <conditionalFormatting sqref="AF30:AF36">
    <cfRule type="containsBlanks" dxfId="654" priority="100" stopIfTrue="1">
      <formula>LEN(TRIM(AF30))=0</formula>
    </cfRule>
  </conditionalFormatting>
  <conditionalFormatting sqref="AF30:AF36">
    <cfRule type="expression" dxfId="653" priority="101" stopIfTrue="1">
      <formula>SUM($AF$30:$AF$36)&lt;&gt;1</formula>
    </cfRule>
  </conditionalFormatting>
  <conditionalFormatting sqref="AF30:AF36">
    <cfRule type="notContainsBlanks" dxfId="652" priority="102" stopIfTrue="1">
      <formula>LEN(TRIM(AF30))&gt;0</formula>
    </cfRule>
  </conditionalFormatting>
  <conditionalFormatting sqref="AG30:AG36">
    <cfRule type="containsBlanks" dxfId="651" priority="103" stopIfTrue="1">
      <formula>LEN(TRIM(AG30))=0</formula>
    </cfRule>
  </conditionalFormatting>
  <conditionalFormatting sqref="AG30:AG36">
    <cfRule type="expression" dxfId="650" priority="104" stopIfTrue="1">
      <formula>SUM($AG$30:$AG$36)&lt;&gt;1</formula>
    </cfRule>
  </conditionalFormatting>
  <conditionalFormatting sqref="AG30:AG36">
    <cfRule type="notContainsBlanks" dxfId="649" priority="105" stopIfTrue="1">
      <formula>LEN(TRIM(AG30))&gt;0</formula>
    </cfRule>
  </conditionalFormatting>
  <conditionalFormatting sqref="AH30:AH36">
    <cfRule type="containsBlanks" dxfId="648" priority="106" stopIfTrue="1">
      <formula>LEN(TRIM(AH30))=0</formula>
    </cfRule>
  </conditionalFormatting>
  <conditionalFormatting sqref="AH30:AH36">
    <cfRule type="expression" dxfId="647" priority="107" stopIfTrue="1">
      <formula>SUM($AH$30:$AH$36)&lt;&gt;1</formula>
    </cfRule>
  </conditionalFormatting>
  <conditionalFormatting sqref="AH30:AH36">
    <cfRule type="notContainsBlanks" dxfId="646" priority="108" stopIfTrue="1">
      <formula>LEN(TRIM(AH30))&gt;0</formula>
    </cfRule>
  </conditionalFormatting>
  <conditionalFormatting sqref="AI30:AI36">
    <cfRule type="containsBlanks" dxfId="645" priority="109" stopIfTrue="1">
      <formula>LEN(TRIM(AI30))=0</formula>
    </cfRule>
  </conditionalFormatting>
  <conditionalFormatting sqref="AI30:AI36">
    <cfRule type="expression" dxfId="644" priority="110" stopIfTrue="1">
      <formula>SUM($AI$30:$AI$36)&lt;&gt;1</formula>
    </cfRule>
  </conditionalFormatting>
  <conditionalFormatting sqref="AI30:AI36">
    <cfRule type="notContainsBlanks" dxfId="643" priority="111" stopIfTrue="1">
      <formula>LEN(TRIM(AI30))&gt;0</formula>
    </cfRule>
  </conditionalFormatting>
  <conditionalFormatting sqref="AJ30:AJ36">
    <cfRule type="containsBlanks" dxfId="642" priority="112" stopIfTrue="1">
      <formula>LEN(TRIM(AJ30))=0</formula>
    </cfRule>
  </conditionalFormatting>
  <conditionalFormatting sqref="AJ30:AJ36">
    <cfRule type="expression" dxfId="641" priority="113" stopIfTrue="1">
      <formula>SUM($AJ$30:$AJ$36)&lt;&gt;1</formula>
    </cfRule>
  </conditionalFormatting>
  <conditionalFormatting sqref="AJ30:AJ36">
    <cfRule type="notContainsBlanks" dxfId="640" priority="114" stopIfTrue="1">
      <formula>LEN(TRIM(AJ30))&gt;0</formula>
    </cfRule>
  </conditionalFormatting>
  <conditionalFormatting sqref="AK30:AK36">
    <cfRule type="containsBlanks" dxfId="639" priority="115" stopIfTrue="1">
      <formula>LEN(TRIM(AK30))=0</formula>
    </cfRule>
  </conditionalFormatting>
  <conditionalFormatting sqref="AK30:AK36">
    <cfRule type="expression" dxfId="638" priority="116" stopIfTrue="1">
      <formula>SUM($AK$30:$AK$36)&lt;&gt;1</formula>
    </cfRule>
  </conditionalFormatting>
  <conditionalFormatting sqref="AK30:AK36">
    <cfRule type="notContainsBlanks" dxfId="637" priority="117" stopIfTrue="1">
      <formula>LEN(TRIM(AK30))&gt;0</formula>
    </cfRule>
  </conditionalFormatting>
  <conditionalFormatting sqref="E19:CR19">
    <cfRule type="containsBlanks" dxfId="636" priority="118" stopIfTrue="1">
      <formula>LEN(TRIM(E19))=0</formula>
    </cfRule>
    <cfRule type="notContainsBlanks" dxfId="635" priority="119" stopIfTrue="1">
      <formula>LEN(TRIM(E19))&gt;0</formula>
    </cfRule>
  </conditionalFormatting>
  <conditionalFormatting sqref="E21:CR21">
    <cfRule type="containsBlanks" dxfId="634" priority="120" stopIfTrue="1">
      <formula>LEN(TRIM(E21))=0</formula>
    </cfRule>
    <cfRule type="notContainsBlanks" dxfId="633" priority="121" stopIfTrue="1">
      <formula>LEN(TRIM(E21))&gt;0</formula>
    </cfRule>
  </conditionalFormatting>
  <conditionalFormatting sqref="E22:CR22">
    <cfRule type="containsBlanks" dxfId="632" priority="122" stopIfTrue="1">
      <formula>LEN(TRIM(E22))=0</formula>
    </cfRule>
    <cfRule type="notContainsBlanks" dxfId="631" priority="123" stopIfTrue="1">
      <formula>LEN(TRIM(E22))&gt;0</formula>
    </cfRule>
  </conditionalFormatting>
  <conditionalFormatting sqref="E23:CR23">
    <cfRule type="containsBlanks" dxfId="630" priority="124" stopIfTrue="1">
      <formula>LEN(TRIM(E23))=0</formula>
    </cfRule>
    <cfRule type="notContainsBlanks" dxfId="629" priority="125" stopIfTrue="1">
      <formula>LEN(TRIM(E23))&gt;0</formula>
    </cfRule>
  </conditionalFormatting>
  <conditionalFormatting sqref="E24:CR24">
    <cfRule type="containsBlanks" dxfId="628" priority="126" stopIfTrue="1">
      <formula>LEN(TRIM(E24))=0</formula>
    </cfRule>
    <cfRule type="notContainsBlanks" dxfId="627" priority="127" stopIfTrue="1">
      <formula>LEN(TRIM(E24))&gt;0</formula>
    </cfRule>
  </conditionalFormatting>
  <conditionalFormatting sqref="E25:CR25">
    <cfRule type="containsBlanks" dxfId="626" priority="128" stopIfTrue="1">
      <formula>LEN(TRIM(E25))=0</formula>
    </cfRule>
    <cfRule type="notContainsBlanks" dxfId="625" priority="129" stopIfTrue="1">
      <formula>LEN(TRIM(E25))&gt;0</formula>
    </cfRule>
  </conditionalFormatting>
  <conditionalFormatting sqref="E26:CR26">
    <cfRule type="containsBlanks" dxfId="624" priority="130" stopIfTrue="1">
      <formula>LEN(TRIM(E26))=0</formula>
    </cfRule>
    <cfRule type="notContainsBlanks" dxfId="623" priority="131" stopIfTrue="1">
      <formula>LEN(TRIM(E26))&gt;0</formula>
    </cfRule>
  </conditionalFormatting>
  <conditionalFormatting sqref="E27:CR27">
    <cfRule type="containsBlanks" dxfId="622" priority="132" stopIfTrue="1">
      <formula>LEN(TRIM(E27))=0</formula>
    </cfRule>
    <cfRule type="notContainsBlanks" dxfId="621" priority="133" stopIfTrue="1">
      <formula>LEN(TRIM(E27))&gt;0</formula>
    </cfRule>
  </conditionalFormatting>
  <conditionalFormatting sqref="E5:AK5">
    <cfRule type="containsBlanks" dxfId="620" priority="134" stopIfTrue="1">
      <formula>LEN(TRIM(E5))=0</formula>
    </cfRule>
    <cfRule type="notContainsBlanks" dxfId="619" priority="135" stopIfTrue="1">
      <formula>LEN(TRIM(E5))&gt;0</formula>
    </cfRule>
  </conditionalFormatting>
  <conditionalFormatting sqref="E6:AK6">
    <cfRule type="containsBlanks" dxfId="618" priority="136" stopIfTrue="1">
      <formula>LEN(TRIM(E6))=0</formula>
    </cfRule>
    <cfRule type="notContainsBlanks" dxfId="617" priority="137" stopIfTrue="1">
      <formula>LEN(TRIM(E6))&gt;0</formula>
    </cfRule>
  </conditionalFormatting>
  <conditionalFormatting sqref="E7:AK7">
    <cfRule type="containsBlanks" dxfId="616" priority="138" stopIfTrue="1">
      <formula>LEN(TRIM(E7))=0</formula>
    </cfRule>
  </conditionalFormatting>
  <conditionalFormatting sqref="E7:AK7">
    <cfRule type="notContainsBlanks" dxfId="615" priority="139" stopIfTrue="1">
      <formula>LEN(TRIM(E7))&gt;0</formula>
    </cfRule>
  </conditionalFormatting>
  <conditionalFormatting sqref="F8:AK8">
    <cfRule type="containsBlanks" dxfId="614" priority="140" stopIfTrue="1">
      <formula>LEN(TRIM(F8))=0</formula>
    </cfRule>
  </conditionalFormatting>
  <conditionalFormatting sqref="F8:AK8">
    <cfRule type="notContainsBlanks" dxfId="613" priority="141" stopIfTrue="1">
      <formula>LEN(TRIM(F8))&gt;0</formula>
    </cfRule>
  </conditionalFormatting>
  <conditionalFormatting sqref="E10:AK10">
    <cfRule type="containsBlanks" dxfId="612" priority="142" stopIfTrue="1">
      <formula>LEN(TRIM(E10))=0</formula>
    </cfRule>
  </conditionalFormatting>
  <conditionalFormatting sqref="E10:AK10">
    <cfRule type="notContainsBlanks" dxfId="611" priority="143" stopIfTrue="1">
      <formula>LEN(TRIM(E10))&gt;0</formula>
    </cfRule>
  </conditionalFormatting>
  <conditionalFormatting sqref="E11:AK11">
    <cfRule type="containsBlanks" dxfId="610" priority="144" stopIfTrue="1">
      <formula>LEN(TRIM(E11))=0</formula>
    </cfRule>
  </conditionalFormatting>
  <conditionalFormatting sqref="E11:AK11">
    <cfRule type="notContainsBlanks" dxfId="609" priority="145" stopIfTrue="1">
      <formula>LEN(TRIM(E11))&gt;0</formula>
    </cfRule>
  </conditionalFormatting>
  <conditionalFormatting sqref="E12:AK12">
    <cfRule type="containsBlanks" dxfId="608" priority="146" stopIfTrue="1">
      <formula>LEN(TRIM(E12))=0</formula>
    </cfRule>
  </conditionalFormatting>
  <conditionalFormatting sqref="E12:AK12">
    <cfRule type="notContainsBlanks" dxfId="607" priority="147" stopIfTrue="1">
      <formula>LEN(TRIM(E12))&gt;0</formula>
    </cfRule>
  </conditionalFormatting>
  <conditionalFormatting sqref="E13:AK13">
    <cfRule type="containsBlanks" dxfId="606" priority="148" stopIfTrue="1">
      <formula>LEN(TRIM(E13))=0</formula>
    </cfRule>
  </conditionalFormatting>
  <conditionalFormatting sqref="E13:AK13">
    <cfRule type="notContainsBlanks" dxfId="605" priority="149" stopIfTrue="1">
      <formula>LEN(TRIM(E13))&gt;0</formula>
    </cfRule>
  </conditionalFormatting>
  <conditionalFormatting sqref="E14:AK14">
    <cfRule type="containsBlanks" dxfId="604" priority="150" stopIfTrue="1">
      <formula>LEN(TRIM(E14))=0</formula>
    </cfRule>
  </conditionalFormatting>
  <conditionalFormatting sqref="E14:AK14">
    <cfRule type="notContainsBlanks" dxfId="603" priority="151" stopIfTrue="1">
      <formula>LEN(TRIM(E14))&gt;0</formula>
    </cfRule>
  </conditionalFormatting>
  <conditionalFormatting sqref="E15:AK15">
    <cfRule type="containsBlanks" dxfId="602" priority="152" stopIfTrue="1">
      <formula>LEN(TRIM(E15))=0</formula>
    </cfRule>
  </conditionalFormatting>
  <conditionalFormatting sqref="E15:AK15">
    <cfRule type="notContainsBlanks" dxfId="601" priority="153" stopIfTrue="1">
      <formula>LEN(TRIM(E15))&gt;0</formula>
    </cfRule>
  </conditionalFormatting>
  <conditionalFormatting sqref="E16:AK16">
    <cfRule type="containsBlanks" dxfId="600" priority="154" stopIfTrue="1">
      <formula>LEN(TRIM(E16))=0</formula>
    </cfRule>
  </conditionalFormatting>
  <conditionalFormatting sqref="E16:AK16">
    <cfRule type="notContainsBlanks" dxfId="599" priority="155" stopIfTrue="1">
      <formula>LEN(TRIM(E16))&gt;0</formula>
    </cfRule>
  </conditionalFormatting>
  <conditionalFormatting sqref="E8">
    <cfRule type="containsBlanks" dxfId="598" priority="1" stopIfTrue="1">
      <formula>LEN(TRIM(E8))=0</formula>
    </cfRule>
  </conditionalFormatting>
  <conditionalFormatting sqref="E8">
    <cfRule type="notContainsBlanks" dxfId="597" priority="2" stopIfTrue="1">
      <formula>LEN(TRIM(E8))&gt;0</formula>
    </cfRule>
  </conditionalFormatting>
  <pageMargins left="0.7" right="0.7" top="0.75" bottom="0.75" header="0.3" footer="0.3"/>
  <customProperties>
    <customPr name="IsPC"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AK27"/>
  <sheetViews>
    <sheetView zoomScale="85" zoomScaleNormal="85" workbookViewId="0">
      <selection activeCell="AA40" sqref="AA40"/>
    </sheetView>
  </sheetViews>
  <sheetFormatPr defaultColWidth="9.109375" defaultRowHeight="14.4"/>
  <cols>
    <col min="1" max="1" width="9.109375" style="125"/>
    <col min="2" max="2" width="10.88671875" style="125" bestFit="1" customWidth="1"/>
    <col min="3" max="3" width="21.44140625" style="125" bestFit="1" customWidth="1"/>
    <col min="4" max="36" width="5.88671875" style="125" bestFit="1" customWidth="1"/>
    <col min="37" max="37" width="3.6640625" style="125" customWidth="1"/>
    <col min="38" max="16384" width="9.109375" style="125"/>
  </cols>
  <sheetData>
    <row r="1" spans="2:37" s="124" customFormat="1">
      <c r="B1" s="123" t="s">
        <v>90</v>
      </c>
    </row>
    <row r="3" spans="2:37">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row>
    <row r="4" spans="2:37">
      <c r="B4" s="126"/>
      <c r="C4" s="8" t="str">
        <f>"Price Index [" &amp; sPIdx &amp; "]"</f>
        <v>Price Index [Constant ]</v>
      </c>
      <c r="D4" s="10">
        <f t="array" ref="D4:AJ4">_yS</f>
        <v>2018</v>
      </c>
      <c r="E4" s="10">
        <v>2019</v>
      </c>
      <c r="F4" s="10">
        <v>2020</v>
      </c>
      <c r="G4" s="10">
        <v>2021</v>
      </c>
      <c r="H4" s="10">
        <v>2022</v>
      </c>
      <c r="I4" s="10">
        <v>2023</v>
      </c>
      <c r="J4" s="10">
        <v>2024</v>
      </c>
      <c r="K4" s="10">
        <v>2025</v>
      </c>
      <c r="L4" s="10">
        <v>2026</v>
      </c>
      <c r="M4" s="10">
        <v>2027</v>
      </c>
      <c r="N4" s="10">
        <v>2028</v>
      </c>
      <c r="O4" s="10">
        <v>2029</v>
      </c>
      <c r="P4" s="10">
        <v>2030</v>
      </c>
      <c r="Q4" s="10">
        <v>2031</v>
      </c>
      <c r="R4" s="10">
        <v>2032</v>
      </c>
      <c r="S4" s="10">
        <v>2033</v>
      </c>
      <c r="T4" s="10">
        <v>2034</v>
      </c>
      <c r="U4" s="10">
        <v>2035</v>
      </c>
      <c r="V4" s="10">
        <v>2036</v>
      </c>
      <c r="W4" s="10">
        <v>2037</v>
      </c>
      <c r="X4" s="10">
        <v>2038</v>
      </c>
      <c r="Y4" s="10">
        <v>2039</v>
      </c>
      <c r="Z4" s="10">
        <v>2040</v>
      </c>
      <c r="AA4" s="10">
        <v>2041</v>
      </c>
      <c r="AB4" s="10">
        <v>2042</v>
      </c>
      <c r="AC4" s="10">
        <v>2043</v>
      </c>
      <c r="AD4" s="10">
        <v>2044</v>
      </c>
      <c r="AE4" s="10">
        <v>2045</v>
      </c>
      <c r="AF4" s="10">
        <v>2046</v>
      </c>
      <c r="AG4" s="10">
        <v>2047</v>
      </c>
      <c r="AH4" s="10">
        <v>2048</v>
      </c>
      <c r="AI4" s="10">
        <v>2049</v>
      </c>
      <c r="AJ4" s="11">
        <v>2050</v>
      </c>
      <c r="AK4" s="126"/>
    </row>
    <row r="5" spans="2:37">
      <c r="B5" s="126"/>
      <c r="C5" s="4" t="s">
        <v>34</v>
      </c>
      <c r="D5" s="150">
        <f t="array" aca="1" ref="D5:AJ5" ca="1">INDIRECT("tPIdxAll"&amp;iPIdx)</f>
        <v>1</v>
      </c>
      <c r="E5" s="150">
        <f ca="1"/>
        <v>1</v>
      </c>
      <c r="F5" s="150">
        <f ca="1"/>
        <v>1</v>
      </c>
      <c r="G5" s="150">
        <f ca="1"/>
        <v>1</v>
      </c>
      <c r="H5" s="150">
        <f ca="1"/>
        <v>1</v>
      </c>
      <c r="I5" s="150">
        <f ca="1"/>
        <v>1</v>
      </c>
      <c r="J5" s="150">
        <f ca="1"/>
        <v>1</v>
      </c>
      <c r="K5" s="150">
        <f ca="1"/>
        <v>1</v>
      </c>
      <c r="L5" s="150">
        <f ca="1"/>
        <v>1</v>
      </c>
      <c r="M5" s="150">
        <f ca="1"/>
        <v>1</v>
      </c>
      <c r="N5" s="150">
        <f ca="1"/>
        <v>1</v>
      </c>
      <c r="O5" s="150">
        <f ca="1"/>
        <v>1</v>
      </c>
      <c r="P5" s="150">
        <f ca="1"/>
        <v>1</v>
      </c>
      <c r="Q5" s="150">
        <f ca="1"/>
        <v>1</v>
      </c>
      <c r="R5" s="150">
        <f ca="1"/>
        <v>1</v>
      </c>
      <c r="S5" s="150">
        <f ca="1"/>
        <v>1</v>
      </c>
      <c r="T5" s="150">
        <f ca="1"/>
        <v>1</v>
      </c>
      <c r="U5" s="150">
        <f ca="1"/>
        <v>1</v>
      </c>
      <c r="V5" s="150">
        <f ca="1"/>
        <v>1</v>
      </c>
      <c r="W5" s="150">
        <f ca="1"/>
        <v>1</v>
      </c>
      <c r="X5" s="150">
        <f ca="1"/>
        <v>1</v>
      </c>
      <c r="Y5" s="150">
        <f ca="1"/>
        <v>1</v>
      </c>
      <c r="Z5" s="150">
        <f ca="1"/>
        <v>1</v>
      </c>
      <c r="AA5" s="150">
        <f ca="1"/>
        <v>1</v>
      </c>
      <c r="AB5" s="150">
        <f ca="1"/>
        <v>1</v>
      </c>
      <c r="AC5" s="150">
        <f ca="1"/>
        <v>1</v>
      </c>
      <c r="AD5" s="150">
        <f ca="1"/>
        <v>1</v>
      </c>
      <c r="AE5" s="150">
        <f ca="1"/>
        <v>1</v>
      </c>
      <c r="AF5" s="150">
        <f ca="1"/>
        <v>1</v>
      </c>
      <c r="AG5" s="150">
        <f ca="1"/>
        <v>1</v>
      </c>
      <c r="AH5" s="150">
        <f ca="1"/>
        <v>1</v>
      </c>
      <c r="AI5" s="150">
        <f ca="1"/>
        <v>1</v>
      </c>
      <c r="AJ5" s="151">
        <f ca="1"/>
        <v>1</v>
      </c>
      <c r="AK5" s="126"/>
    </row>
    <row r="6" spans="2:37">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row>
    <row r="7" spans="2:37">
      <c r="B7" s="126"/>
      <c r="C7" s="8" t="str">
        <f>"Price Index: " &amp; INDEX(_PIdx,1)</f>
        <v xml:space="preserve">Price Index: Constant </v>
      </c>
      <c r="D7" s="10">
        <f t="array" ref="D7:AJ7">_yS</f>
        <v>2018</v>
      </c>
      <c r="E7" s="10">
        <v>2019</v>
      </c>
      <c r="F7" s="10">
        <v>2020</v>
      </c>
      <c r="G7" s="10">
        <v>2021</v>
      </c>
      <c r="H7" s="10">
        <v>2022</v>
      </c>
      <c r="I7" s="10">
        <v>2023</v>
      </c>
      <c r="J7" s="10">
        <v>2024</v>
      </c>
      <c r="K7" s="10">
        <v>2025</v>
      </c>
      <c r="L7" s="10">
        <v>2026</v>
      </c>
      <c r="M7" s="10">
        <v>2027</v>
      </c>
      <c r="N7" s="10">
        <v>2028</v>
      </c>
      <c r="O7" s="10">
        <v>2029</v>
      </c>
      <c r="P7" s="10">
        <v>2030</v>
      </c>
      <c r="Q7" s="10">
        <v>2031</v>
      </c>
      <c r="R7" s="10">
        <v>2032</v>
      </c>
      <c r="S7" s="10">
        <v>2033</v>
      </c>
      <c r="T7" s="10">
        <v>2034</v>
      </c>
      <c r="U7" s="10">
        <v>2035</v>
      </c>
      <c r="V7" s="10">
        <v>2036</v>
      </c>
      <c r="W7" s="10">
        <v>2037</v>
      </c>
      <c r="X7" s="10">
        <v>2038</v>
      </c>
      <c r="Y7" s="10">
        <v>2039</v>
      </c>
      <c r="Z7" s="10">
        <v>2040</v>
      </c>
      <c r="AA7" s="10">
        <v>2041</v>
      </c>
      <c r="AB7" s="10">
        <v>2042</v>
      </c>
      <c r="AC7" s="10">
        <v>2043</v>
      </c>
      <c r="AD7" s="10">
        <v>2044</v>
      </c>
      <c r="AE7" s="10">
        <v>2045</v>
      </c>
      <c r="AF7" s="10">
        <v>2046</v>
      </c>
      <c r="AG7" s="10">
        <v>2047</v>
      </c>
      <c r="AH7" s="10">
        <v>2048</v>
      </c>
      <c r="AI7" s="10">
        <v>2049</v>
      </c>
      <c r="AJ7" s="11">
        <v>2050</v>
      </c>
      <c r="AK7" s="126"/>
    </row>
    <row r="8" spans="2:37">
      <c r="B8" s="126"/>
      <c r="C8" s="4" t="s">
        <v>34</v>
      </c>
      <c r="D8" s="150">
        <v>1</v>
      </c>
      <c r="E8" s="150">
        <v>1</v>
      </c>
      <c r="F8" s="150">
        <v>1</v>
      </c>
      <c r="G8" s="150">
        <v>1</v>
      </c>
      <c r="H8" s="150">
        <v>1</v>
      </c>
      <c r="I8" s="150">
        <v>1</v>
      </c>
      <c r="J8" s="150">
        <v>1</v>
      </c>
      <c r="K8" s="150">
        <v>1</v>
      </c>
      <c r="L8" s="150">
        <v>1</v>
      </c>
      <c r="M8" s="150">
        <v>1</v>
      </c>
      <c r="N8" s="150">
        <v>1</v>
      </c>
      <c r="O8" s="150">
        <v>1</v>
      </c>
      <c r="P8" s="150">
        <v>1</v>
      </c>
      <c r="Q8" s="150">
        <v>1</v>
      </c>
      <c r="R8" s="150">
        <v>1</v>
      </c>
      <c r="S8" s="150">
        <v>1</v>
      </c>
      <c r="T8" s="150">
        <v>1</v>
      </c>
      <c r="U8" s="150">
        <v>1</v>
      </c>
      <c r="V8" s="150">
        <v>1</v>
      </c>
      <c r="W8" s="150">
        <v>1</v>
      </c>
      <c r="X8" s="150">
        <v>1</v>
      </c>
      <c r="Y8" s="150">
        <v>1</v>
      </c>
      <c r="Z8" s="150">
        <v>1</v>
      </c>
      <c r="AA8" s="150">
        <v>1</v>
      </c>
      <c r="AB8" s="150">
        <v>1</v>
      </c>
      <c r="AC8" s="150">
        <v>1</v>
      </c>
      <c r="AD8" s="150">
        <v>1</v>
      </c>
      <c r="AE8" s="150">
        <v>1</v>
      </c>
      <c r="AF8" s="150">
        <v>1</v>
      </c>
      <c r="AG8" s="150">
        <v>1</v>
      </c>
      <c r="AH8" s="150">
        <v>1</v>
      </c>
      <c r="AI8" s="150">
        <v>1</v>
      </c>
      <c r="AJ8" s="151">
        <v>1</v>
      </c>
      <c r="AK8" s="126"/>
    </row>
    <row r="9" spans="2:37">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row>
    <row r="10" spans="2:37">
      <c r="B10" s="126"/>
      <c r="C10" s="8" t="str">
        <f>"Price Index: " &amp; INDEX(_PIdx,2)</f>
        <v>Price Index: Low</v>
      </c>
      <c r="D10" s="10">
        <f t="array" ref="D10:AJ10">_yS</f>
        <v>2018</v>
      </c>
      <c r="E10" s="10">
        <v>2019</v>
      </c>
      <c r="F10" s="10">
        <v>2020</v>
      </c>
      <c r="G10" s="10">
        <v>2021</v>
      </c>
      <c r="H10" s="10">
        <v>2022</v>
      </c>
      <c r="I10" s="10">
        <v>2023</v>
      </c>
      <c r="J10" s="10">
        <v>2024</v>
      </c>
      <c r="K10" s="10">
        <v>2025</v>
      </c>
      <c r="L10" s="10">
        <v>2026</v>
      </c>
      <c r="M10" s="10">
        <v>2027</v>
      </c>
      <c r="N10" s="10">
        <v>2028</v>
      </c>
      <c r="O10" s="10">
        <v>2029</v>
      </c>
      <c r="P10" s="10">
        <v>2030</v>
      </c>
      <c r="Q10" s="10">
        <v>2031</v>
      </c>
      <c r="R10" s="10">
        <v>2032</v>
      </c>
      <c r="S10" s="10">
        <v>2033</v>
      </c>
      <c r="T10" s="10">
        <v>2034</v>
      </c>
      <c r="U10" s="10">
        <v>2035</v>
      </c>
      <c r="V10" s="10">
        <v>2036</v>
      </c>
      <c r="W10" s="10">
        <v>2037</v>
      </c>
      <c r="X10" s="10">
        <v>2038</v>
      </c>
      <c r="Y10" s="10">
        <v>2039</v>
      </c>
      <c r="Z10" s="10">
        <v>2040</v>
      </c>
      <c r="AA10" s="10">
        <v>2041</v>
      </c>
      <c r="AB10" s="10">
        <v>2042</v>
      </c>
      <c r="AC10" s="10">
        <v>2043</v>
      </c>
      <c r="AD10" s="10">
        <v>2044</v>
      </c>
      <c r="AE10" s="10">
        <v>2045</v>
      </c>
      <c r="AF10" s="10">
        <v>2046</v>
      </c>
      <c r="AG10" s="10">
        <v>2047</v>
      </c>
      <c r="AH10" s="10">
        <v>2048</v>
      </c>
      <c r="AI10" s="10">
        <v>2049</v>
      </c>
      <c r="AJ10" s="11">
        <v>2050</v>
      </c>
      <c r="AK10" s="126"/>
    </row>
    <row r="11" spans="2:37">
      <c r="B11" s="126"/>
      <c r="C11" s="4" t="s">
        <v>34</v>
      </c>
      <c r="D11" s="150">
        <v>0.99012391941246647</v>
      </c>
      <c r="E11" s="150">
        <v>0.98838477844249084</v>
      </c>
      <c r="F11" s="150">
        <v>0.98638377551711864</v>
      </c>
      <c r="G11" s="150">
        <v>0.98487111456677634</v>
      </c>
      <c r="H11" s="150">
        <v>0.9831280747709924</v>
      </c>
      <c r="I11" s="150">
        <v>0.98143841222101058</v>
      </c>
      <c r="J11" s="150">
        <v>0.97924790220795277</v>
      </c>
      <c r="K11" s="150">
        <v>0.97676107583139027</v>
      </c>
      <c r="L11" s="150">
        <v>0.9740723963579957</v>
      </c>
      <c r="M11" s="150">
        <v>0.97114792618300005</v>
      </c>
      <c r="N11" s="150">
        <v>0.96796054824815381</v>
      </c>
      <c r="O11" s="150">
        <v>0.96425224263279607</v>
      </c>
      <c r="P11" s="150">
        <v>0.96038076743377021</v>
      </c>
      <c r="Q11" s="150">
        <v>0.95623234501594234</v>
      </c>
      <c r="R11" s="150">
        <v>0.95193739118363119</v>
      </c>
      <c r="S11" s="150">
        <v>0.94757314294148731</v>
      </c>
      <c r="T11" s="150">
        <v>0.94319125681492655</v>
      </c>
      <c r="U11" s="150">
        <v>0.93865885127394566</v>
      </c>
      <c r="V11" s="150">
        <v>0.93371005693300346</v>
      </c>
      <c r="W11" s="150">
        <v>0.92881770504164263</v>
      </c>
      <c r="X11" s="150">
        <v>0.92404444905218175</v>
      </c>
      <c r="Y11" s="150">
        <v>0.91916671315840459</v>
      </c>
      <c r="Z11" s="150">
        <v>0.91440168135393174</v>
      </c>
      <c r="AA11" s="150">
        <v>0.90999974099079051</v>
      </c>
      <c r="AB11" s="150">
        <v>0.90561899161991866</v>
      </c>
      <c r="AC11" s="150">
        <v>0.90125933122763202</v>
      </c>
      <c r="AD11" s="150">
        <v>0.89692065829134182</v>
      </c>
      <c r="AE11" s="150">
        <v>0.89260287177718989</v>
      </c>
      <c r="AF11" s="150">
        <v>0.88830587113769632</v>
      </c>
      <c r="AG11" s="150">
        <v>0.88402955630941815</v>
      </c>
      <c r="AH11" s="150">
        <v>0.87977382771061874</v>
      </c>
      <c r="AI11" s="150">
        <v>0.87553858623894909</v>
      </c>
      <c r="AJ11" s="151">
        <v>0.87132373326914025</v>
      </c>
      <c r="AK11" s="126"/>
    </row>
    <row r="12" spans="2:37">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row>
    <row r="13" spans="2:37">
      <c r="B13" s="126"/>
      <c r="C13" s="8" t="str">
        <f>"Price Index: " &amp; INDEX(_PIdx,3)</f>
        <v>Price Index: High</v>
      </c>
      <c r="D13" s="10">
        <f t="array" ref="D13:AJ13">_yS</f>
        <v>2018</v>
      </c>
      <c r="E13" s="10">
        <v>2019</v>
      </c>
      <c r="F13" s="10">
        <v>2020</v>
      </c>
      <c r="G13" s="10">
        <v>2021</v>
      </c>
      <c r="H13" s="10">
        <v>2022</v>
      </c>
      <c r="I13" s="10">
        <v>2023</v>
      </c>
      <c r="J13" s="10">
        <v>2024</v>
      </c>
      <c r="K13" s="10">
        <v>2025</v>
      </c>
      <c r="L13" s="10">
        <v>2026</v>
      </c>
      <c r="M13" s="10">
        <v>2027</v>
      </c>
      <c r="N13" s="10">
        <v>2028</v>
      </c>
      <c r="O13" s="10">
        <v>2029</v>
      </c>
      <c r="P13" s="10">
        <v>2030</v>
      </c>
      <c r="Q13" s="10">
        <v>2031</v>
      </c>
      <c r="R13" s="10">
        <v>2032</v>
      </c>
      <c r="S13" s="10">
        <v>2033</v>
      </c>
      <c r="T13" s="10">
        <v>2034</v>
      </c>
      <c r="U13" s="10">
        <v>2035</v>
      </c>
      <c r="V13" s="10">
        <v>2036</v>
      </c>
      <c r="W13" s="10">
        <v>2037</v>
      </c>
      <c r="X13" s="10">
        <v>2038</v>
      </c>
      <c r="Y13" s="10">
        <v>2039</v>
      </c>
      <c r="Z13" s="10">
        <v>2040</v>
      </c>
      <c r="AA13" s="10">
        <v>2041</v>
      </c>
      <c r="AB13" s="10">
        <v>2042</v>
      </c>
      <c r="AC13" s="10">
        <v>2043</v>
      </c>
      <c r="AD13" s="10">
        <v>2044</v>
      </c>
      <c r="AE13" s="10">
        <v>2045</v>
      </c>
      <c r="AF13" s="10">
        <v>2046</v>
      </c>
      <c r="AG13" s="10">
        <v>2047</v>
      </c>
      <c r="AH13" s="10">
        <v>2048</v>
      </c>
      <c r="AI13" s="10">
        <v>2049</v>
      </c>
      <c r="AJ13" s="11">
        <v>2050</v>
      </c>
      <c r="AK13" s="126"/>
    </row>
    <row r="14" spans="2:37">
      <c r="B14" s="126"/>
      <c r="C14" s="4" t="s">
        <v>34</v>
      </c>
      <c r="D14" s="150">
        <v>1.0749977986055324</v>
      </c>
      <c r="E14" s="150">
        <v>1.0946101442341463</v>
      </c>
      <c r="F14" s="150">
        <v>1.1145802990615759</v>
      </c>
      <c r="G14" s="150">
        <v>1.1349147909874155</v>
      </c>
      <c r="H14" s="150">
        <v>1.1556202670067488</v>
      </c>
      <c r="I14" s="150">
        <v>1.1767034953829998</v>
      </c>
      <c r="J14" s="150">
        <v>1.1981713678602985</v>
      </c>
      <c r="K14" s="150">
        <v>1.2200309019163296</v>
      </c>
      <c r="L14" s="150">
        <v>1.2422892430562011</v>
      </c>
      <c r="M14" s="150">
        <v>1.2649536671481598</v>
      </c>
      <c r="N14" s="150">
        <v>1.2880315828020095</v>
      </c>
      <c r="O14" s="150">
        <v>1.3115305337907857</v>
      </c>
      <c r="P14" s="150">
        <v>1.3354582015167493</v>
      </c>
      <c r="Q14" s="150">
        <v>1.3598224075222769</v>
      </c>
      <c r="R14" s="150">
        <v>1.3846311160465596</v>
      </c>
      <c r="S14" s="150">
        <v>1.4098924366290435</v>
      </c>
      <c r="T14" s="150">
        <v>1.435614626760219</v>
      </c>
      <c r="U14" s="150">
        <v>1.4618060945809328</v>
      </c>
      <c r="V14" s="150">
        <v>1.4884754016307835</v>
      </c>
      <c r="W14" s="150">
        <v>1.5156312656468116</v>
      </c>
      <c r="X14" s="150">
        <v>1.5432825634131493</v>
      </c>
      <c r="Y14" s="150">
        <v>1.5714383336626534</v>
      </c>
      <c r="Z14" s="150">
        <v>1.600107780031589</v>
      </c>
      <c r="AA14" s="150">
        <v>1.6293002740680507</v>
      </c>
      <c r="AB14" s="150">
        <v>1.659025358295438</v>
      </c>
      <c r="AC14" s="150">
        <v>1.6892927493317103</v>
      </c>
      <c r="AD14" s="150">
        <v>1.7201123410655434</v>
      </c>
      <c r="AE14" s="150">
        <v>1.7514942078905573</v>
      </c>
      <c r="AF14" s="150">
        <v>1.7834486079983631</v>
      </c>
      <c r="AG14" s="150">
        <v>1.8159859867318886</v>
      </c>
      <c r="AH14" s="150">
        <v>1.8491169799996809</v>
      </c>
      <c r="AI14" s="150">
        <v>1.8828524177526897</v>
      </c>
      <c r="AJ14" s="151">
        <v>1.917203327524355</v>
      </c>
      <c r="AK14" s="126"/>
    </row>
    <row r="15" spans="2:37">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row>
    <row r="18" spans="3:16">
      <c r="C18" s="254" t="s">
        <v>85</v>
      </c>
      <c r="D18" s="254"/>
      <c r="E18" s="254"/>
      <c r="F18" s="254"/>
      <c r="G18" s="254"/>
      <c r="H18" s="254"/>
      <c r="I18" s="254"/>
      <c r="J18" s="254"/>
      <c r="K18" s="120"/>
      <c r="L18" s="120"/>
      <c r="M18" s="120"/>
      <c r="N18" s="120"/>
      <c r="O18" s="120"/>
      <c r="P18" s="120"/>
    </row>
    <row r="19" spans="3:16" ht="11.25" customHeight="1">
      <c r="C19" s="255" t="s">
        <v>104</v>
      </c>
      <c r="D19" s="255"/>
      <c r="E19" s="255"/>
      <c r="F19" s="255"/>
      <c r="G19" s="255"/>
      <c r="H19" s="255"/>
      <c r="I19" s="255"/>
      <c r="J19" s="255"/>
      <c r="K19" s="255"/>
      <c r="L19" s="255"/>
      <c r="M19" s="255"/>
      <c r="N19" s="255"/>
      <c r="O19" s="255"/>
      <c r="P19" s="255"/>
    </row>
    <row r="20" spans="3:16">
      <c r="C20" s="255"/>
      <c r="D20" s="255"/>
      <c r="E20" s="255"/>
      <c r="F20" s="255"/>
      <c r="G20" s="255"/>
      <c r="H20" s="255"/>
      <c r="I20" s="255"/>
      <c r="J20" s="255"/>
      <c r="K20" s="255"/>
      <c r="L20" s="255"/>
      <c r="M20" s="255"/>
      <c r="N20" s="255"/>
      <c r="O20" s="255"/>
      <c r="P20" s="255"/>
    </row>
    <row r="21" spans="3:16">
      <c r="C21" s="255"/>
      <c r="D21" s="255"/>
      <c r="E21" s="255"/>
      <c r="F21" s="255"/>
      <c r="G21" s="255"/>
      <c r="H21" s="255"/>
      <c r="I21" s="255"/>
      <c r="J21" s="255"/>
      <c r="K21" s="255"/>
      <c r="L21" s="255"/>
      <c r="M21" s="255"/>
      <c r="N21" s="255"/>
      <c r="O21" s="255"/>
      <c r="P21" s="255"/>
    </row>
    <row r="22" spans="3:16">
      <c r="C22" s="255"/>
      <c r="D22" s="255"/>
      <c r="E22" s="255"/>
      <c r="F22" s="255"/>
      <c r="G22" s="255"/>
      <c r="H22" s="255"/>
      <c r="I22" s="255"/>
      <c r="J22" s="255"/>
      <c r="K22" s="255"/>
      <c r="L22" s="255"/>
      <c r="M22" s="255"/>
      <c r="N22" s="255"/>
      <c r="O22" s="255"/>
      <c r="P22" s="255"/>
    </row>
    <row r="23" spans="3:16">
      <c r="C23" s="255"/>
      <c r="D23" s="255"/>
      <c r="E23" s="255"/>
      <c r="F23" s="255"/>
      <c r="G23" s="255"/>
      <c r="H23" s="255"/>
      <c r="I23" s="255"/>
      <c r="J23" s="255"/>
      <c r="K23" s="255"/>
      <c r="L23" s="255"/>
      <c r="M23" s="255"/>
      <c r="N23" s="255"/>
      <c r="O23" s="255"/>
      <c r="P23" s="255"/>
    </row>
    <row r="24" spans="3:16">
      <c r="C24" s="255"/>
      <c r="D24" s="255"/>
      <c r="E24" s="255"/>
      <c r="F24" s="255"/>
      <c r="G24" s="255"/>
      <c r="H24" s="255"/>
      <c r="I24" s="255"/>
      <c r="J24" s="255"/>
      <c r="K24" s="255"/>
      <c r="L24" s="255"/>
      <c r="M24" s="255"/>
      <c r="N24" s="255"/>
      <c r="O24" s="255"/>
      <c r="P24" s="255"/>
    </row>
    <row r="25" spans="3:16">
      <c r="C25" s="255"/>
      <c r="D25" s="255"/>
      <c r="E25" s="255"/>
      <c r="F25" s="255"/>
      <c r="G25" s="255"/>
      <c r="H25" s="255"/>
      <c r="I25" s="255"/>
      <c r="J25" s="255"/>
      <c r="K25" s="255"/>
      <c r="L25" s="255"/>
      <c r="M25" s="255"/>
      <c r="N25" s="255"/>
      <c r="O25" s="255"/>
      <c r="P25" s="255"/>
    </row>
    <row r="26" spans="3:16">
      <c r="C26" s="255"/>
      <c r="D26" s="255"/>
      <c r="E26" s="255"/>
      <c r="F26" s="255"/>
      <c r="G26" s="255"/>
      <c r="H26" s="255"/>
      <c r="I26" s="255"/>
      <c r="J26" s="255"/>
      <c r="K26" s="255"/>
      <c r="L26" s="255"/>
      <c r="M26" s="255"/>
      <c r="N26" s="255"/>
      <c r="O26" s="255"/>
      <c r="P26" s="255"/>
    </row>
    <row r="27" spans="3:16">
      <c r="C27" s="255"/>
      <c r="D27" s="255"/>
      <c r="E27" s="255"/>
      <c r="F27" s="255"/>
      <c r="G27" s="255"/>
      <c r="H27" s="255"/>
      <c r="I27" s="255"/>
      <c r="J27" s="255"/>
      <c r="K27" s="255"/>
      <c r="L27" s="255"/>
      <c r="M27" s="255"/>
      <c r="N27" s="255"/>
      <c r="O27" s="255"/>
      <c r="P27" s="255"/>
    </row>
  </sheetData>
  <mergeCells count="2">
    <mergeCell ref="C18:J18"/>
    <mergeCell ref="C19:P27"/>
  </mergeCells>
  <conditionalFormatting sqref="D14:AJ14">
    <cfRule type="containsBlanks" dxfId="596" priority="1" stopIfTrue="1">
      <formula>LEN(TRIM(D14))=0</formula>
    </cfRule>
    <cfRule type="notContainsBlanks" dxfId="595" priority="2" stopIfTrue="1">
      <formula>LEN(TRIM(D14))&gt;0</formula>
    </cfRule>
  </conditionalFormatting>
  <conditionalFormatting sqref="D11:AJ11">
    <cfRule type="containsBlanks" dxfId="594" priority="3" stopIfTrue="1">
      <formula>LEN(TRIM(D11))=0</formula>
    </cfRule>
    <cfRule type="notContainsBlanks" dxfId="593" priority="4" stopIfTrue="1">
      <formula>LEN(TRIM(D11))&gt;0</formula>
    </cfRule>
  </conditionalFormatting>
  <conditionalFormatting sqref="D8:AJ8">
    <cfRule type="containsBlanks" dxfId="592" priority="5" stopIfTrue="1">
      <formula>LEN(TRIM(D8))=0</formula>
    </cfRule>
    <cfRule type="notContainsBlanks" dxfId="591" priority="6" stopIfTrue="1">
      <formula>LEN(TRIM(D8))&gt;0</formula>
    </cfRule>
  </conditionalFormatting>
  <conditionalFormatting sqref="D5:AJ5">
    <cfRule type="containsBlanks" dxfId="590" priority="7" stopIfTrue="1">
      <formula>LEN(TRIM(D5))=0</formula>
    </cfRule>
    <cfRule type="notContainsBlanks" dxfId="589" priority="8" stopIfTrue="1">
      <formula>LEN(TRIM(D5))&gt;0</formula>
    </cfRule>
  </conditionalFormatting>
  <pageMargins left="0.7" right="0.7" top="0.75" bottom="0.75" header="0.3" footer="0.3"/>
  <customProperties>
    <customPr name="IsPC"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K27"/>
  <sheetViews>
    <sheetView zoomScale="85" zoomScaleNormal="85" workbookViewId="0">
      <selection activeCell="W52" sqref="W52"/>
    </sheetView>
  </sheetViews>
  <sheetFormatPr defaultColWidth="9.109375" defaultRowHeight="14.4"/>
  <cols>
    <col min="1" max="1" width="9.109375" style="2"/>
    <col min="2" max="2" width="27.33203125" style="2" bestFit="1" customWidth="1"/>
    <col min="3" max="3" width="31.33203125" style="2" bestFit="1" customWidth="1"/>
    <col min="4" max="4" width="9.33203125" style="2" bestFit="1" customWidth="1"/>
    <col min="5" max="36" width="5.88671875" style="2" bestFit="1" customWidth="1"/>
    <col min="37" max="37" width="3.6640625" style="2" customWidth="1"/>
    <col min="38" max="16384" width="9.109375" style="2"/>
  </cols>
  <sheetData>
    <row r="1" spans="1:37" s="119" customFormat="1">
      <c r="B1" s="122" t="s">
        <v>144</v>
      </c>
    </row>
    <row r="2" spans="1:37">
      <c r="A2" s="41"/>
      <c r="B2" s="41"/>
    </row>
    <row r="3" spans="1:37">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spans="1:37">
      <c r="B4" s="3"/>
      <c r="C4" s="8" t="str">
        <f>"Energy Index [" &amp; sEIdx &amp; "]"</f>
        <v>Energy Index [Constant]</v>
      </c>
      <c r="D4" s="10">
        <f t="array" ref="D4:AJ4">_yS</f>
        <v>2018</v>
      </c>
      <c r="E4" s="10">
        <v>2019</v>
      </c>
      <c r="F4" s="10">
        <v>2020</v>
      </c>
      <c r="G4" s="10">
        <v>2021</v>
      </c>
      <c r="H4" s="10">
        <v>2022</v>
      </c>
      <c r="I4" s="10">
        <v>2023</v>
      </c>
      <c r="J4" s="10">
        <v>2024</v>
      </c>
      <c r="K4" s="10">
        <v>2025</v>
      </c>
      <c r="L4" s="10">
        <v>2026</v>
      </c>
      <c r="M4" s="10">
        <v>2027</v>
      </c>
      <c r="N4" s="10">
        <v>2028</v>
      </c>
      <c r="O4" s="10">
        <v>2029</v>
      </c>
      <c r="P4" s="10">
        <v>2030</v>
      </c>
      <c r="Q4" s="10">
        <v>2031</v>
      </c>
      <c r="R4" s="10">
        <v>2032</v>
      </c>
      <c r="S4" s="10">
        <v>2033</v>
      </c>
      <c r="T4" s="10">
        <v>2034</v>
      </c>
      <c r="U4" s="10">
        <v>2035</v>
      </c>
      <c r="V4" s="10">
        <v>2036</v>
      </c>
      <c r="W4" s="10">
        <v>2037</v>
      </c>
      <c r="X4" s="10">
        <v>2038</v>
      </c>
      <c r="Y4" s="10">
        <v>2039</v>
      </c>
      <c r="Z4" s="10">
        <v>2040</v>
      </c>
      <c r="AA4" s="10">
        <v>2041</v>
      </c>
      <c r="AB4" s="10">
        <v>2042</v>
      </c>
      <c r="AC4" s="10">
        <v>2043</v>
      </c>
      <c r="AD4" s="10">
        <v>2044</v>
      </c>
      <c r="AE4" s="10">
        <v>2045</v>
      </c>
      <c r="AF4" s="10">
        <v>2046</v>
      </c>
      <c r="AG4" s="10">
        <v>2047</v>
      </c>
      <c r="AH4" s="10">
        <v>2048</v>
      </c>
      <c r="AI4" s="10">
        <v>2049</v>
      </c>
      <c r="AJ4" s="11">
        <v>2050</v>
      </c>
      <c r="AK4" s="3"/>
    </row>
    <row r="5" spans="1:37">
      <c r="B5" s="3"/>
      <c r="C5" s="12" t="s">
        <v>34</v>
      </c>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4"/>
      <c r="AK5" s="3"/>
    </row>
    <row r="6" spans="1:37">
      <c r="B6" s="3"/>
      <c r="C6" s="15" t="str">
        <f>INDEX(_fuel,1)</f>
        <v>Electricity</v>
      </c>
      <c r="D6" s="6">
        <f t="array" aca="1" ref="D6:AJ6" ca="1">INDIRECT("tEIdxElec"&amp;iEIdx)</f>
        <v>1</v>
      </c>
      <c r="E6" s="6">
        <f ca="1"/>
        <v>1</v>
      </c>
      <c r="F6" s="6">
        <f ca="1"/>
        <v>1</v>
      </c>
      <c r="G6" s="6">
        <f ca="1"/>
        <v>1</v>
      </c>
      <c r="H6" s="6">
        <f ca="1"/>
        <v>1</v>
      </c>
      <c r="I6" s="6">
        <f ca="1"/>
        <v>1</v>
      </c>
      <c r="J6" s="6">
        <f ca="1"/>
        <v>1</v>
      </c>
      <c r="K6" s="6">
        <f ca="1"/>
        <v>1</v>
      </c>
      <c r="L6" s="6">
        <f ca="1"/>
        <v>1</v>
      </c>
      <c r="M6" s="6">
        <f ca="1"/>
        <v>1</v>
      </c>
      <c r="N6" s="6">
        <f ca="1"/>
        <v>1</v>
      </c>
      <c r="O6" s="6">
        <f ca="1"/>
        <v>1</v>
      </c>
      <c r="P6" s="6">
        <f ca="1"/>
        <v>1</v>
      </c>
      <c r="Q6" s="6">
        <f ca="1"/>
        <v>1</v>
      </c>
      <c r="R6" s="6">
        <f ca="1"/>
        <v>1</v>
      </c>
      <c r="S6" s="6">
        <f ca="1"/>
        <v>1</v>
      </c>
      <c r="T6" s="6">
        <f ca="1"/>
        <v>1</v>
      </c>
      <c r="U6" s="6">
        <f ca="1"/>
        <v>1</v>
      </c>
      <c r="V6" s="6">
        <f ca="1"/>
        <v>1</v>
      </c>
      <c r="W6" s="6">
        <f ca="1"/>
        <v>1</v>
      </c>
      <c r="X6" s="6">
        <f ca="1"/>
        <v>1</v>
      </c>
      <c r="Y6" s="6">
        <f ca="1"/>
        <v>1</v>
      </c>
      <c r="Z6" s="6">
        <f ca="1"/>
        <v>1</v>
      </c>
      <c r="AA6" s="6">
        <f ca="1"/>
        <v>1</v>
      </c>
      <c r="AB6" s="6">
        <f ca="1"/>
        <v>1</v>
      </c>
      <c r="AC6" s="6">
        <f ca="1"/>
        <v>1</v>
      </c>
      <c r="AD6" s="6">
        <f ca="1"/>
        <v>1</v>
      </c>
      <c r="AE6" s="6">
        <f ca="1"/>
        <v>1</v>
      </c>
      <c r="AF6" s="6">
        <f ca="1"/>
        <v>1</v>
      </c>
      <c r="AG6" s="6">
        <f ca="1"/>
        <v>1</v>
      </c>
      <c r="AH6" s="6">
        <f ca="1"/>
        <v>1</v>
      </c>
      <c r="AI6" s="6">
        <f ca="1"/>
        <v>1</v>
      </c>
      <c r="AJ6" s="7">
        <f ca="1"/>
        <v>1</v>
      </c>
      <c r="AK6" s="3"/>
    </row>
    <row r="7" spans="1:37">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row>
    <row r="8" spans="1:37">
      <c r="B8" s="3"/>
      <c r="C8" s="8" t="str">
        <f>"Energy Index: " &amp; INDEX(_EIdx,1)</f>
        <v>Energy Index: Constant</v>
      </c>
      <c r="D8" s="10">
        <f t="array" ref="D8:AJ8">_yS</f>
        <v>2018</v>
      </c>
      <c r="E8" s="10">
        <v>2019</v>
      </c>
      <c r="F8" s="10">
        <v>2020</v>
      </c>
      <c r="G8" s="10">
        <v>2021</v>
      </c>
      <c r="H8" s="10">
        <v>2022</v>
      </c>
      <c r="I8" s="10">
        <v>2023</v>
      </c>
      <c r="J8" s="10">
        <v>2024</v>
      </c>
      <c r="K8" s="10">
        <v>2025</v>
      </c>
      <c r="L8" s="10">
        <v>2026</v>
      </c>
      <c r="M8" s="10">
        <v>2027</v>
      </c>
      <c r="N8" s="10">
        <v>2028</v>
      </c>
      <c r="O8" s="10">
        <v>2029</v>
      </c>
      <c r="P8" s="10">
        <v>2030</v>
      </c>
      <c r="Q8" s="10">
        <v>2031</v>
      </c>
      <c r="R8" s="10">
        <v>2032</v>
      </c>
      <c r="S8" s="10">
        <v>2033</v>
      </c>
      <c r="T8" s="10">
        <v>2034</v>
      </c>
      <c r="U8" s="10">
        <v>2035</v>
      </c>
      <c r="V8" s="10">
        <v>2036</v>
      </c>
      <c r="W8" s="10">
        <v>2037</v>
      </c>
      <c r="X8" s="10">
        <v>2038</v>
      </c>
      <c r="Y8" s="10">
        <v>2039</v>
      </c>
      <c r="Z8" s="10">
        <v>2040</v>
      </c>
      <c r="AA8" s="10">
        <v>2041</v>
      </c>
      <c r="AB8" s="10">
        <v>2042</v>
      </c>
      <c r="AC8" s="10">
        <v>2043</v>
      </c>
      <c r="AD8" s="10">
        <v>2044</v>
      </c>
      <c r="AE8" s="10">
        <v>2045</v>
      </c>
      <c r="AF8" s="10">
        <v>2046</v>
      </c>
      <c r="AG8" s="10">
        <v>2047</v>
      </c>
      <c r="AH8" s="10">
        <v>2048</v>
      </c>
      <c r="AI8" s="10">
        <v>2049</v>
      </c>
      <c r="AJ8" s="11">
        <v>2050</v>
      </c>
      <c r="AK8" s="3"/>
    </row>
    <row r="9" spans="1:37">
      <c r="B9" s="3"/>
      <c r="C9" s="12" t="s">
        <v>34</v>
      </c>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4"/>
      <c r="AK9" s="3"/>
    </row>
    <row r="10" spans="1:37">
      <c r="B10" s="3"/>
      <c r="C10" s="15" t="str">
        <f>INDEX(_fuel,1)</f>
        <v>Electricity</v>
      </c>
      <c r="D10" s="6">
        <v>1</v>
      </c>
      <c r="E10" s="6">
        <v>1</v>
      </c>
      <c r="F10" s="6">
        <v>1</v>
      </c>
      <c r="G10" s="6">
        <v>1</v>
      </c>
      <c r="H10" s="6">
        <v>1</v>
      </c>
      <c r="I10" s="6">
        <v>1</v>
      </c>
      <c r="J10" s="6">
        <v>1</v>
      </c>
      <c r="K10" s="6">
        <v>1</v>
      </c>
      <c r="L10" s="6">
        <v>1</v>
      </c>
      <c r="M10" s="6">
        <v>1</v>
      </c>
      <c r="N10" s="6">
        <v>1</v>
      </c>
      <c r="O10" s="6">
        <v>1</v>
      </c>
      <c r="P10" s="6">
        <v>1</v>
      </c>
      <c r="Q10" s="6">
        <v>1</v>
      </c>
      <c r="R10" s="6">
        <v>1</v>
      </c>
      <c r="S10" s="6">
        <v>1</v>
      </c>
      <c r="T10" s="6">
        <v>1</v>
      </c>
      <c r="U10" s="6">
        <v>1</v>
      </c>
      <c r="V10" s="6">
        <v>1</v>
      </c>
      <c r="W10" s="6">
        <v>1</v>
      </c>
      <c r="X10" s="6">
        <v>1</v>
      </c>
      <c r="Y10" s="6">
        <v>1</v>
      </c>
      <c r="Z10" s="6">
        <v>1</v>
      </c>
      <c r="AA10" s="6">
        <v>1</v>
      </c>
      <c r="AB10" s="6">
        <v>1</v>
      </c>
      <c r="AC10" s="6">
        <v>1</v>
      </c>
      <c r="AD10" s="6">
        <v>1</v>
      </c>
      <c r="AE10" s="6">
        <v>1</v>
      </c>
      <c r="AF10" s="6">
        <v>1</v>
      </c>
      <c r="AG10" s="6">
        <v>1</v>
      </c>
      <c r="AH10" s="6">
        <v>1</v>
      </c>
      <c r="AI10" s="6">
        <v>1</v>
      </c>
      <c r="AJ10" s="6">
        <v>1</v>
      </c>
      <c r="AK10" s="3"/>
    </row>
    <row r="11" spans="1:37">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row>
    <row r="12" spans="1:37">
      <c r="B12" s="3"/>
      <c r="C12" s="8" t="str">
        <f>"Energy Index: " &amp; INDEX(_EIdx,2)</f>
        <v>Energy Index: Constant</v>
      </c>
      <c r="D12" s="10">
        <f t="array" ref="D12:AJ12">_yS</f>
        <v>2018</v>
      </c>
      <c r="E12" s="10">
        <v>2019</v>
      </c>
      <c r="F12" s="10">
        <v>2020</v>
      </c>
      <c r="G12" s="10">
        <v>2021</v>
      </c>
      <c r="H12" s="10">
        <v>2022</v>
      </c>
      <c r="I12" s="10">
        <v>2023</v>
      </c>
      <c r="J12" s="10">
        <v>2024</v>
      </c>
      <c r="K12" s="10">
        <v>2025</v>
      </c>
      <c r="L12" s="10">
        <v>2026</v>
      </c>
      <c r="M12" s="10">
        <v>2027</v>
      </c>
      <c r="N12" s="10">
        <v>2028</v>
      </c>
      <c r="O12" s="10">
        <v>2029</v>
      </c>
      <c r="P12" s="10">
        <v>2030</v>
      </c>
      <c r="Q12" s="10">
        <v>2031</v>
      </c>
      <c r="R12" s="10">
        <v>2032</v>
      </c>
      <c r="S12" s="10">
        <v>2033</v>
      </c>
      <c r="T12" s="10">
        <v>2034</v>
      </c>
      <c r="U12" s="10">
        <v>2035</v>
      </c>
      <c r="V12" s="10">
        <v>2036</v>
      </c>
      <c r="W12" s="10">
        <v>2037</v>
      </c>
      <c r="X12" s="10">
        <v>2038</v>
      </c>
      <c r="Y12" s="10">
        <v>2039</v>
      </c>
      <c r="Z12" s="10">
        <v>2040</v>
      </c>
      <c r="AA12" s="10">
        <v>2041</v>
      </c>
      <c r="AB12" s="10">
        <v>2042</v>
      </c>
      <c r="AC12" s="10">
        <v>2043</v>
      </c>
      <c r="AD12" s="10">
        <v>2044</v>
      </c>
      <c r="AE12" s="10">
        <v>2045</v>
      </c>
      <c r="AF12" s="10">
        <v>2046</v>
      </c>
      <c r="AG12" s="10">
        <v>2047</v>
      </c>
      <c r="AH12" s="10">
        <v>2048</v>
      </c>
      <c r="AI12" s="10">
        <v>2049</v>
      </c>
      <c r="AJ12" s="11">
        <v>2050</v>
      </c>
      <c r="AK12" s="3"/>
    </row>
    <row r="13" spans="1:37">
      <c r="B13" s="3"/>
      <c r="C13" s="12" t="s">
        <v>34</v>
      </c>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4"/>
      <c r="AK13" s="3"/>
    </row>
    <row r="14" spans="1:37">
      <c r="B14" s="3"/>
      <c r="C14" s="15" t="str">
        <f>INDEX(_fuel,1)</f>
        <v>Electricity</v>
      </c>
      <c r="D14" s="6">
        <f>(1-D21)+D21*(1-$D$17)</f>
        <v>1</v>
      </c>
      <c r="E14" s="6">
        <f t="shared" ref="E14:AJ14" si="0">(1-E21)+E21*(1-$D$17)</f>
        <v>1</v>
      </c>
      <c r="F14" s="6">
        <f t="shared" si="0"/>
        <v>1</v>
      </c>
      <c r="G14" s="6">
        <f t="shared" si="0"/>
        <v>1</v>
      </c>
      <c r="H14" s="6">
        <f t="shared" si="0"/>
        <v>1</v>
      </c>
      <c r="I14" s="6">
        <f t="shared" si="0"/>
        <v>1</v>
      </c>
      <c r="J14" s="6">
        <f t="shared" si="0"/>
        <v>1</v>
      </c>
      <c r="K14" s="6">
        <f t="shared" si="0"/>
        <v>1</v>
      </c>
      <c r="L14" s="6">
        <f t="shared" si="0"/>
        <v>1</v>
      </c>
      <c r="M14" s="6">
        <f t="shared" si="0"/>
        <v>1</v>
      </c>
      <c r="N14" s="6">
        <f t="shared" si="0"/>
        <v>1</v>
      </c>
      <c r="O14" s="6">
        <f t="shared" si="0"/>
        <v>1</v>
      </c>
      <c r="P14" s="6">
        <f t="shared" si="0"/>
        <v>1</v>
      </c>
      <c r="Q14" s="6">
        <f t="shared" si="0"/>
        <v>1</v>
      </c>
      <c r="R14" s="6">
        <f t="shared" si="0"/>
        <v>1</v>
      </c>
      <c r="S14" s="6">
        <f t="shared" si="0"/>
        <v>1</v>
      </c>
      <c r="T14" s="6">
        <f t="shared" si="0"/>
        <v>1</v>
      </c>
      <c r="U14" s="6">
        <f t="shared" si="0"/>
        <v>1</v>
      </c>
      <c r="V14" s="6">
        <f t="shared" si="0"/>
        <v>1</v>
      </c>
      <c r="W14" s="6">
        <f t="shared" si="0"/>
        <v>1</v>
      </c>
      <c r="X14" s="6">
        <f t="shared" si="0"/>
        <v>1</v>
      </c>
      <c r="Y14" s="6">
        <f t="shared" si="0"/>
        <v>1</v>
      </c>
      <c r="Z14" s="6">
        <f t="shared" si="0"/>
        <v>1</v>
      </c>
      <c r="AA14" s="6">
        <f t="shared" si="0"/>
        <v>1</v>
      </c>
      <c r="AB14" s="6">
        <f t="shared" si="0"/>
        <v>1</v>
      </c>
      <c r="AC14" s="6">
        <f t="shared" si="0"/>
        <v>1</v>
      </c>
      <c r="AD14" s="6">
        <f t="shared" si="0"/>
        <v>1</v>
      </c>
      <c r="AE14" s="6">
        <f t="shared" si="0"/>
        <v>1</v>
      </c>
      <c r="AF14" s="6">
        <f t="shared" si="0"/>
        <v>1</v>
      </c>
      <c r="AG14" s="6">
        <f t="shared" si="0"/>
        <v>1</v>
      </c>
      <c r="AH14" s="6">
        <f t="shared" si="0"/>
        <v>1</v>
      </c>
      <c r="AI14" s="6">
        <f t="shared" si="0"/>
        <v>1</v>
      </c>
      <c r="AJ14" s="6">
        <f t="shared" si="0"/>
        <v>1</v>
      </c>
      <c r="AK14" s="3"/>
    </row>
    <row r="15" spans="1:37">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row>
    <row r="16" spans="1:37">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row>
    <row r="17" spans="2:37">
      <c r="B17" s="157"/>
      <c r="C17" s="158" t="s">
        <v>108</v>
      </c>
      <c r="D17" s="160">
        <v>0</v>
      </c>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row>
    <row r="18" spans="2:37">
      <c r="B18" s="157"/>
      <c r="C18" s="158" t="s">
        <v>109</v>
      </c>
      <c r="D18" s="160" t="s">
        <v>73</v>
      </c>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row>
    <row r="19" spans="2:37">
      <c r="B19" s="3"/>
      <c r="C19" s="3"/>
      <c r="D19" s="3"/>
      <c r="E19" s="159">
        <v>0</v>
      </c>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row>
    <row r="20" spans="2:37">
      <c r="B20" s="157"/>
      <c r="C20" s="8" t="s">
        <v>110</v>
      </c>
      <c r="D20" s="10">
        <v>2018</v>
      </c>
      <c r="E20" s="10">
        <v>2019</v>
      </c>
      <c r="F20" s="10">
        <v>2020</v>
      </c>
      <c r="G20" s="10">
        <v>2021</v>
      </c>
      <c r="H20" s="10">
        <v>2022</v>
      </c>
      <c r="I20" s="10">
        <v>2023</v>
      </c>
      <c r="J20" s="10">
        <v>2024</v>
      </c>
      <c r="K20" s="10">
        <v>2025</v>
      </c>
      <c r="L20" s="10">
        <v>2026</v>
      </c>
      <c r="M20" s="10">
        <v>2027</v>
      </c>
      <c r="N20" s="10">
        <v>2028</v>
      </c>
      <c r="O20" s="10">
        <v>2029</v>
      </c>
      <c r="P20" s="10">
        <v>2030</v>
      </c>
      <c r="Q20" s="10">
        <v>2031</v>
      </c>
      <c r="R20" s="10">
        <v>2032</v>
      </c>
      <c r="S20" s="10">
        <v>2033</v>
      </c>
      <c r="T20" s="10">
        <v>2034</v>
      </c>
      <c r="U20" s="10">
        <v>2035</v>
      </c>
      <c r="V20" s="10">
        <v>2036</v>
      </c>
      <c r="W20" s="10">
        <v>2037</v>
      </c>
      <c r="X20" s="10">
        <v>2038</v>
      </c>
      <c r="Y20" s="10">
        <v>2039</v>
      </c>
      <c r="Z20" s="10">
        <v>2040</v>
      </c>
      <c r="AA20" s="10">
        <v>2041</v>
      </c>
      <c r="AB20" s="10">
        <v>2042</v>
      </c>
      <c r="AC20" s="10">
        <v>2043</v>
      </c>
      <c r="AD20" s="10">
        <v>2044</v>
      </c>
      <c r="AE20" s="10">
        <v>2045</v>
      </c>
      <c r="AF20" s="10">
        <v>2046</v>
      </c>
      <c r="AG20" s="10">
        <v>2047</v>
      </c>
      <c r="AH20" s="10">
        <v>2048</v>
      </c>
      <c r="AI20" s="10">
        <v>2049</v>
      </c>
      <c r="AJ20" s="11">
        <v>2050</v>
      </c>
      <c r="AK20" s="3"/>
    </row>
    <row r="21" spans="2:37">
      <c r="B21" s="157"/>
      <c r="C21" s="162" t="s">
        <v>107</v>
      </c>
      <c r="D21" s="161">
        <v>0</v>
      </c>
      <c r="E21" s="161">
        <f>D21+D21*$D$189</f>
        <v>0</v>
      </c>
      <c r="F21" s="161">
        <f t="shared" ref="F21:AJ21" si="1">E21+E21*$E$19</f>
        <v>0</v>
      </c>
      <c r="G21" s="161">
        <f t="shared" si="1"/>
        <v>0</v>
      </c>
      <c r="H21" s="161">
        <f t="shared" si="1"/>
        <v>0</v>
      </c>
      <c r="I21" s="161">
        <f t="shared" si="1"/>
        <v>0</v>
      </c>
      <c r="J21" s="161">
        <f t="shared" si="1"/>
        <v>0</v>
      </c>
      <c r="K21" s="161">
        <f t="shared" si="1"/>
        <v>0</v>
      </c>
      <c r="L21" s="161">
        <f t="shared" si="1"/>
        <v>0</v>
      </c>
      <c r="M21" s="161">
        <f t="shared" si="1"/>
        <v>0</v>
      </c>
      <c r="N21" s="161">
        <f t="shared" si="1"/>
        <v>0</v>
      </c>
      <c r="O21" s="161">
        <f t="shared" si="1"/>
        <v>0</v>
      </c>
      <c r="P21" s="161">
        <f t="shared" si="1"/>
        <v>0</v>
      </c>
      <c r="Q21" s="161">
        <f t="shared" si="1"/>
        <v>0</v>
      </c>
      <c r="R21" s="161">
        <f t="shared" si="1"/>
        <v>0</v>
      </c>
      <c r="S21" s="161">
        <f t="shared" si="1"/>
        <v>0</v>
      </c>
      <c r="T21" s="161">
        <f t="shared" si="1"/>
        <v>0</v>
      </c>
      <c r="U21" s="161">
        <f t="shared" si="1"/>
        <v>0</v>
      </c>
      <c r="V21" s="161">
        <f t="shared" si="1"/>
        <v>0</v>
      </c>
      <c r="W21" s="161">
        <f t="shared" si="1"/>
        <v>0</v>
      </c>
      <c r="X21" s="161">
        <f t="shared" si="1"/>
        <v>0</v>
      </c>
      <c r="Y21" s="161">
        <f t="shared" si="1"/>
        <v>0</v>
      </c>
      <c r="Z21" s="161">
        <f t="shared" si="1"/>
        <v>0</v>
      </c>
      <c r="AA21" s="161">
        <f t="shared" si="1"/>
        <v>0</v>
      </c>
      <c r="AB21" s="161">
        <f t="shared" si="1"/>
        <v>0</v>
      </c>
      <c r="AC21" s="161">
        <f t="shared" si="1"/>
        <v>0</v>
      </c>
      <c r="AD21" s="161">
        <f t="shared" si="1"/>
        <v>0</v>
      </c>
      <c r="AE21" s="161">
        <f t="shared" si="1"/>
        <v>0</v>
      </c>
      <c r="AF21" s="161">
        <f t="shared" si="1"/>
        <v>0</v>
      </c>
      <c r="AG21" s="161">
        <f t="shared" si="1"/>
        <v>0</v>
      </c>
      <c r="AH21" s="161">
        <f t="shared" si="1"/>
        <v>0</v>
      </c>
      <c r="AI21" s="161">
        <f t="shared" si="1"/>
        <v>0</v>
      </c>
      <c r="AJ21" s="163">
        <f t="shared" si="1"/>
        <v>0</v>
      </c>
      <c r="AK21" s="3"/>
    </row>
    <row r="22" spans="2:37">
      <c r="B22" s="157"/>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spans="2:37">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row>
    <row r="25" spans="2:37">
      <c r="E25" s="38"/>
      <c r="F25" s="40"/>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row>
    <row r="26" spans="2:37">
      <c r="B26" s="122" t="s">
        <v>85</v>
      </c>
      <c r="C26" s="122"/>
      <c r="D26" s="122"/>
      <c r="E26" s="122"/>
      <c r="F26" s="122"/>
      <c r="G26" s="122"/>
      <c r="H26" s="122"/>
      <c r="I26" s="122"/>
      <c r="J26" s="122"/>
      <c r="K26" s="122"/>
      <c r="L26" s="122"/>
      <c r="M26" s="122"/>
      <c r="N26" s="119"/>
      <c r="O26" s="119"/>
    </row>
    <row r="27" spans="2:37" ht="79.5" customHeight="1">
      <c r="B27" s="252" t="s">
        <v>143</v>
      </c>
      <c r="C27" s="252"/>
      <c r="D27" s="252"/>
      <c r="E27" s="252"/>
      <c r="F27" s="252"/>
      <c r="G27" s="252"/>
      <c r="H27" s="252"/>
      <c r="I27" s="252"/>
      <c r="J27" s="252"/>
      <c r="K27" s="252"/>
      <c r="L27" s="252"/>
      <c r="M27" s="252"/>
      <c r="N27" s="252"/>
      <c r="O27" s="252"/>
    </row>
  </sheetData>
  <mergeCells count="1">
    <mergeCell ref="B27:O27"/>
  </mergeCells>
  <conditionalFormatting sqref="D10:AJ10 D21:AJ21">
    <cfRule type="containsBlanks" dxfId="588" priority="15" stopIfTrue="1">
      <formula>LEN(TRIM(D10))=0</formula>
    </cfRule>
    <cfRule type="notContainsBlanks" dxfId="587" priority="16" stopIfTrue="1">
      <formula>LEN(TRIM(D10))&gt;0</formula>
    </cfRule>
  </conditionalFormatting>
  <conditionalFormatting sqref="D6:AJ6">
    <cfRule type="containsBlanks" dxfId="586" priority="17" stopIfTrue="1">
      <formula>LEN(TRIM(D6))=0</formula>
    </cfRule>
    <cfRule type="notContainsBlanks" dxfId="585" priority="18" stopIfTrue="1">
      <formula>LEN(TRIM(D6))&gt;0</formula>
    </cfRule>
  </conditionalFormatting>
  <conditionalFormatting sqref="D14:AJ14">
    <cfRule type="containsBlanks" dxfId="584" priority="11" stopIfTrue="1">
      <formula>LEN(TRIM(D14))=0</formula>
    </cfRule>
    <cfRule type="notContainsBlanks" dxfId="583" priority="12" stopIfTrue="1">
      <formula>LEN(TRIM(D14))&gt;0</formula>
    </cfRule>
  </conditionalFormatting>
  <conditionalFormatting sqref="D17">
    <cfRule type="containsBlanks" dxfId="582" priority="9" stopIfTrue="1">
      <formula>LEN(TRIM(D17))=0</formula>
    </cfRule>
    <cfRule type="notContainsBlanks" dxfId="581" priority="10" stopIfTrue="1">
      <formula>LEN(TRIM(D17))&gt;0</formula>
    </cfRule>
  </conditionalFormatting>
  <conditionalFormatting sqref="D18">
    <cfRule type="containsBlanks" dxfId="580" priority="5" stopIfTrue="1">
      <formula>LEN(TRIM(D18))=0</formula>
    </cfRule>
    <cfRule type="notContainsBlanks" dxfId="579" priority="6" stopIfTrue="1">
      <formula>LEN(TRIM(D18))&gt;0</formula>
    </cfRule>
  </conditionalFormatting>
  <pageMargins left="0.7" right="0.7" top="0.75" bottom="0.75" header="0.3" footer="0.3"/>
  <customProperties>
    <customPr name="IsPC"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CS14"/>
  <sheetViews>
    <sheetView zoomScale="85" zoomScaleNormal="85" workbookViewId="0">
      <selection activeCell="E7" sqref="E7:CR7"/>
    </sheetView>
  </sheetViews>
  <sheetFormatPr defaultRowHeight="14.4"/>
  <cols>
    <col min="3" max="3" width="24.33203125" bestFit="1" customWidth="1"/>
    <col min="4" max="4" width="16" bestFit="1" customWidth="1"/>
    <col min="5" max="96" width="10.6640625" bestFit="1" customWidth="1"/>
  </cols>
  <sheetData>
    <row r="2" spans="2:97">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1"/>
      <c r="AT2" s="171"/>
      <c r="AU2" s="171"/>
      <c r="AV2" s="171"/>
      <c r="AW2" s="171"/>
      <c r="AX2" s="171"/>
      <c r="AY2" s="171"/>
      <c r="AZ2" s="171"/>
      <c r="BA2" s="171"/>
      <c r="BB2" s="171"/>
      <c r="BC2" s="171"/>
      <c r="BD2" s="171"/>
      <c r="BE2" s="171"/>
      <c r="BF2" s="171"/>
      <c r="BG2" s="171"/>
      <c r="BH2" s="171"/>
      <c r="BI2" s="171"/>
      <c r="BJ2" s="171"/>
      <c r="BK2" s="171"/>
      <c r="BL2" s="171"/>
      <c r="BM2" s="171"/>
      <c r="BN2" s="171"/>
      <c r="BO2" s="171"/>
      <c r="BP2" s="171"/>
      <c r="BQ2" s="171"/>
      <c r="BR2" s="171"/>
      <c r="BS2" s="171"/>
      <c r="BT2" s="171"/>
      <c r="BU2" s="171"/>
      <c r="BV2" s="171"/>
      <c r="BW2" s="171"/>
      <c r="BX2" s="171"/>
      <c r="BY2" s="171"/>
      <c r="BZ2" s="171"/>
      <c r="CA2" s="171"/>
      <c r="CB2" s="171"/>
      <c r="CC2" s="171"/>
      <c r="CD2" s="171"/>
      <c r="CE2" s="171"/>
      <c r="CF2" s="171"/>
      <c r="CG2" s="171"/>
      <c r="CH2" s="171"/>
      <c r="CI2" s="171"/>
      <c r="CJ2" s="171"/>
      <c r="CK2" s="171"/>
      <c r="CL2" s="171"/>
      <c r="CM2" s="171"/>
      <c r="CN2" s="171"/>
      <c r="CO2" s="171"/>
      <c r="CP2" s="171"/>
      <c r="CQ2" s="171"/>
      <c r="CR2" s="171"/>
      <c r="CS2" s="171"/>
    </row>
    <row r="3" spans="2:97">
      <c r="B3" s="171"/>
      <c r="C3" s="171" t="s">
        <v>115</v>
      </c>
      <c r="D3" s="191" t="s">
        <v>117</v>
      </c>
      <c r="E3" s="172"/>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c r="AJ3" s="171"/>
      <c r="AK3" s="171"/>
      <c r="AL3" s="171"/>
      <c r="AM3" s="171"/>
      <c r="AN3" s="171"/>
      <c r="AO3" s="171"/>
      <c r="AP3" s="171"/>
      <c r="AQ3" s="171"/>
      <c r="AR3" s="171"/>
      <c r="AS3" s="171"/>
      <c r="AT3" s="171"/>
      <c r="AU3" s="171"/>
      <c r="AV3" s="171"/>
      <c r="AW3" s="171"/>
      <c r="AX3" s="171"/>
      <c r="AY3" s="171"/>
      <c r="AZ3" s="171"/>
      <c r="BA3" s="171"/>
      <c r="BB3" s="171"/>
      <c r="BC3" s="171"/>
      <c r="BD3" s="171"/>
      <c r="BE3" s="171"/>
      <c r="BF3" s="171"/>
      <c r="BG3" s="171"/>
      <c r="BH3" s="171"/>
      <c r="BI3" s="171"/>
      <c r="BJ3" s="171"/>
      <c r="BK3" s="171"/>
      <c r="BL3" s="171"/>
      <c r="BM3" s="171"/>
      <c r="BN3" s="171"/>
      <c r="BO3" s="171"/>
      <c r="BP3" s="171"/>
      <c r="BQ3" s="171"/>
      <c r="BR3" s="171"/>
      <c r="BS3" s="171"/>
      <c r="BT3" s="171"/>
      <c r="BU3" s="171"/>
      <c r="BV3" s="171"/>
      <c r="BW3" s="171"/>
      <c r="BX3" s="171"/>
      <c r="BY3" s="171"/>
      <c r="BZ3" s="171"/>
      <c r="CA3" s="171"/>
      <c r="CB3" s="171"/>
      <c r="CC3" s="171"/>
      <c r="CD3" s="171"/>
      <c r="CE3" s="171"/>
      <c r="CF3" s="171"/>
      <c r="CG3" s="171"/>
      <c r="CH3" s="171"/>
      <c r="CI3" s="171"/>
      <c r="CJ3" s="171"/>
      <c r="CK3" s="171"/>
      <c r="CL3" s="171"/>
      <c r="CM3" s="171"/>
      <c r="CN3" s="171"/>
      <c r="CO3" s="171"/>
      <c r="CP3" s="171"/>
      <c r="CQ3" s="171"/>
      <c r="CR3" s="171"/>
      <c r="CS3" s="171"/>
    </row>
    <row r="4" spans="2:97">
      <c r="B4" s="171"/>
      <c r="C4" s="171" t="s">
        <v>116</v>
      </c>
      <c r="D4" s="191" t="s">
        <v>118</v>
      </c>
      <c r="E4" s="172"/>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c r="AR4" s="171"/>
      <c r="AS4" s="171"/>
      <c r="AT4" s="171"/>
      <c r="AU4" s="171"/>
      <c r="AV4" s="171"/>
      <c r="AW4" s="171"/>
      <c r="AX4" s="171"/>
      <c r="AY4" s="171"/>
      <c r="AZ4" s="171"/>
      <c r="BA4" s="171"/>
      <c r="BB4" s="171"/>
      <c r="BC4" s="171"/>
      <c r="BD4" s="171"/>
      <c r="BE4" s="171"/>
      <c r="BF4" s="171"/>
      <c r="BG4" s="171"/>
      <c r="BH4" s="171"/>
      <c r="BI4" s="171"/>
      <c r="BJ4" s="171"/>
      <c r="BK4" s="171"/>
      <c r="BL4" s="171"/>
      <c r="BM4" s="171"/>
      <c r="BN4" s="171"/>
      <c r="BO4" s="171"/>
      <c r="BP4" s="171"/>
      <c r="BQ4" s="171"/>
      <c r="BR4" s="171"/>
      <c r="BS4" s="171"/>
      <c r="BT4" s="171"/>
      <c r="BU4" s="171"/>
      <c r="BV4" s="171"/>
      <c r="BW4" s="171"/>
      <c r="BX4" s="171"/>
      <c r="BY4" s="171"/>
      <c r="BZ4" s="171"/>
      <c r="CA4" s="171"/>
      <c r="CB4" s="171"/>
      <c r="CC4" s="171"/>
      <c r="CD4" s="171"/>
      <c r="CE4" s="171"/>
      <c r="CF4" s="171"/>
      <c r="CG4" s="171"/>
      <c r="CH4" s="171"/>
      <c r="CI4" s="171"/>
      <c r="CJ4" s="171"/>
      <c r="CK4" s="171"/>
      <c r="CL4" s="171"/>
      <c r="CM4" s="171"/>
      <c r="CN4" s="171"/>
      <c r="CO4" s="171"/>
      <c r="CP4" s="171"/>
      <c r="CQ4" s="171"/>
      <c r="CR4" s="171"/>
      <c r="CS4" s="171"/>
    </row>
    <row r="5" spans="2:97">
      <c r="B5" s="171"/>
      <c r="C5" s="171"/>
      <c r="D5" s="171"/>
      <c r="E5" s="172"/>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71"/>
      <c r="BX5" s="171"/>
      <c r="BY5" s="171"/>
      <c r="BZ5" s="171"/>
      <c r="CA5" s="171"/>
      <c r="CB5" s="171"/>
      <c r="CC5" s="171"/>
      <c r="CD5" s="171"/>
      <c r="CE5" s="171"/>
      <c r="CF5" s="171"/>
      <c r="CG5" s="171"/>
      <c r="CH5" s="171"/>
      <c r="CI5" s="171"/>
      <c r="CJ5" s="171"/>
      <c r="CK5" s="171"/>
      <c r="CL5" s="171"/>
      <c r="CM5" s="171"/>
      <c r="CN5" s="171"/>
      <c r="CO5" s="171"/>
      <c r="CP5" s="171"/>
      <c r="CQ5" s="171"/>
      <c r="CR5" s="171"/>
      <c r="CS5" s="171"/>
    </row>
    <row r="6" spans="2:97">
      <c r="B6" s="171"/>
      <c r="C6" s="175" t="s">
        <v>120</v>
      </c>
      <c r="D6" s="10"/>
      <c r="E6" s="10">
        <f t="array" ref="E6:CR6">_yL</f>
        <v>2018</v>
      </c>
      <c r="F6" s="10">
        <v>2019</v>
      </c>
      <c r="G6" s="10">
        <v>2020</v>
      </c>
      <c r="H6" s="10">
        <v>2021</v>
      </c>
      <c r="I6" s="10">
        <v>2022</v>
      </c>
      <c r="J6" s="10">
        <v>2023</v>
      </c>
      <c r="K6" s="10">
        <v>2024</v>
      </c>
      <c r="L6" s="10">
        <v>2025</v>
      </c>
      <c r="M6" s="10">
        <v>2026</v>
      </c>
      <c r="N6" s="10">
        <v>2027</v>
      </c>
      <c r="O6" s="10">
        <v>2028</v>
      </c>
      <c r="P6" s="10">
        <v>2029</v>
      </c>
      <c r="Q6" s="10">
        <v>2030</v>
      </c>
      <c r="R6" s="10">
        <v>2031</v>
      </c>
      <c r="S6" s="10">
        <v>2032</v>
      </c>
      <c r="T6" s="10">
        <v>2033</v>
      </c>
      <c r="U6" s="10">
        <v>2034</v>
      </c>
      <c r="V6" s="10">
        <v>2035</v>
      </c>
      <c r="W6" s="10">
        <v>2036</v>
      </c>
      <c r="X6" s="10">
        <v>2037</v>
      </c>
      <c r="Y6" s="10">
        <v>2038</v>
      </c>
      <c r="Z6" s="10">
        <v>2039</v>
      </c>
      <c r="AA6" s="10">
        <v>2040</v>
      </c>
      <c r="AB6" s="10">
        <v>2041</v>
      </c>
      <c r="AC6" s="10">
        <v>2042</v>
      </c>
      <c r="AD6" s="10">
        <v>2043</v>
      </c>
      <c r="AE6" s="10">
        <v>2044</v>
      </c>
      <c r="AF6" s="10">
        <v>2045</v>
      </c>
      <c r="AG6" s="10">
        <v>2046</v>
      </c>
      <c r="AH6" s="10">
        <v>2047</v>
      </c>
      <c r="AI6" s="10">
        <v>2048</v>
      </c>
      <c r="AJ6" s="10">
        <v>2049</v>
      </c>
      <c r="AK6" s="10">
        <v>2050</v>
      </c>
      <c r="AL6" s="10">
        <v>2051</v>
      </c>
      <c r="AM6" s="10">
        <v>2052</v>
      </c>
      <c r="AN6" s="10">
        <v>2053</v>
      </c>
      <c r="AO6" s="10">
        <v>2054</v>
      </c>
      <c r="AP6" s="10">
        <v>2055</v>
      </c>
      <c r="AQ6" s="10">
        <v>2056</v>
      </c>
      <c r="AR6" s="10">
        <v>2057</v>
      </c>
      <c r="AS6" s="10">
        <v>2058</v>
      </c>
      <c r="AT6" s="10">
        <v>2059</v>
      </c>
      <c r="AU6" s="10">
        <v>2060</v>
      </c>
      <c r="AV6" s="10">
        <v>2061</v>
      </c>
      <c r="AW6" s="10">
        <v>2062</v>
      </c>
      <c r="AX6" s="10">
        <v>2063</v>
      </c>
      <c r="AY6" s="10">
        <v>2064</v>
      </c>
      <c r="AZ6" s="10">
        <v>2065</v>
      </c>
      <c r="BA6" s="10">
        <v>2066</v>
      </c>
      <c r="BB6" s="10">
        <v>2067</v>
      </c>
      <c r="BC6" s="10">
        <v>2068</v>
      </c>
      <c r="BD6" s="10">
        <v>2069</v>
      </c>
      <c r="BE6" s="10">
        <v>2070</v>
      </c>
      <c r="BF6" s="10">
        <v>2071</v>
      </c>
      <c r="BG6" s="10">
        <v>2072</v>
      </c>
      <c r="BH6" s="10">
        <v>2073</v>
      </c>
      <c r="BI6" s="10">
        <v>2074</v>
      </c>
      <c r="BJ6" s="10">
        <v>2075</v>
      </c>
      <c r="BK6" s="10">
        <v>2076</v>
      </c>
      <c r="BL6" s="10">
        <v>2077</v>
      </c>
      <c r="BM6" s="10">
        <v>2078</v>
      </c>
      <c r="BN6" s="10">
        <v>2079</v>
      </c>
      <c r="BO6" s="10">
        <v>2080</v>
      </c>
      <c r="BP6" s="10">
        <v>2081</v>
      </c>
      <c r="BQ6" s="10">
        <v>2082</v>
      </c>
      <c r="BR6" s="10">
        <v>2083</v>
      </c>
      <c r="BS6" s="10">
        <v>2084</v>
      </c>
      <c r="BT6" s="10">
        <v>2085</v>
      </c>
      <c r="BU6" s="10">
        <v>2086</v>
      </c>
      <c r="BV6" s="10">
        <v>2087</v>
      </c>
      <c r="BW6" s="10">
        <v>2088</v>
      </c>
      <c r="BX6" s="10">
        <v>2089</v>
      </c>
      <c r="BY6" s="10">
        <v>2090</v>
      </c>
      <c r="BZ6" s="10">
        <v>2091</v>
      </c>
      <c r="CA6" s="10">
        <v>2092</v>
      </c>
      <c r="CB6" s="10">
        <v>2093</v>
      </c>
      <c r="CC6" s="10">
        <v>2094</v>
      </c>
      <c r="CD6" s="10">
        <v>2095</v>
      </c>
      <c r="CE6" s="10">
        <v>2096</v>
      </c>
      <c r="CF6" s="10">
        <v>2097</v>
      </c>
      <c r="CG6" s="10">
        <v>2098</v>
      </c>
      <c r="CH6" s="10">
        <v>2099</v>
      </c>
      <c r="CI6" s="10">
        <v>2100</v>
      </c>
      <c r="CJ6" s="10">
        <v>2101</v>
      </c>
      <c r="CK6" s="10">
        <v>2102</v>
      </c>
      <c r="CL6" s="10">
        <v>2103</v>
      </c>
      <c r="CM6" s="10">
        <v>2104</v>
      </c>
      <c r="CN6" s="10">
        <v>2105</v>
      </c>
      <c r="CO6" s="10">
        <v>2106</v>
      </c>
      <c r="CP6" s="10">
        <v>2107</v>
      </c>
      <c r="CQ6" s="10">
        <v>2108</v>
      </c>
      <c r="CR6" s="11">
        <v>2109</v>
      </c>
      <c r="CS6" s="171"/>
    </row>
    <row r="7" spans="2:97">
      <c r="B7" s="171"/>
      <c r="C7" s="174" t="s">
        <v>119</v>
      </c>
      <c r="D7" s="178" t="s">
        <v>121</v>
      </c>
      <c r="E7" s="180">
        <f t="array" ref="E7:CR7">elecSite * IF(iEnergy&gt;1,elecPrim,1) * IF(iEnergy&gt;2,elecFFC,1)</f>
        <v>1.107474120061974E-2</v>
      </c>
      <c r="F7" s="180">
        <v>1.107474120061974E-2</v>
      </c>
      <c r="G7" s="180">
        <v>1.0830005831622469E-2</v>
      </c>
      <c r="H7" s="180">
        <v>1.0734685257226947E-2</v>
      </c>
      <c r="I7" s="180">
        <v>1.0523352689540933E-2</v>
      </c>
      <c r="J7" s="180">
        <v>1.0208472621179663E-2</v>
      </c>
      <c r="K7" s="180">
        <v>1.0022405621162736E-2</v>
      </c>
      <c r="L7" s="180">
        <v>1.0025652066007281E-2</v>
      </c>
      <c r="M7" s="180">
        <v>9.8466739926337879E-3</v>
      </c>
      <c r="N7" s="180">
        <v>9.6250100672888011E-3</v>
      </c>
      <c r="O7" s="180">
        <v>9.4942742348259421E-3</v>
      </c>
      <c r="P7" s="180">
        <v>9.4384991680326897E-3</v>
      </c>
      <c r="Q7" s="180">
        <v>9.3601475557212339E-3</v>
      </c>
      <c r="R7" s="180">
        <v>9.3078520224817267E-3</v>
      </c>
      <c r="S7" s="180">
        <v>9.1591535544915843E-3</v>
      </c>
      <c r="T7" s="180">
        <v>9.0942876493087452E-3</v>
      </c>
      <c r="U7" s="180">
        <v>9.0738806328437543E-3</v>
      </c>
      <c r="V7" s="180">
        <v>9.0461785302594858E-3</v>
      </c>
      <c r="W7" s="180">
        <v>9.0512452861847333E-3</v>
      </c>
      <c r="X7" s="180">
        <v>9.0661676650263968E-3</v>
      </c>
      <c r="Y7" s="180">
        <v>9.089955653494828E-3</v>
      </c>
      <c r="Z7" s="180">
        <v>9.1064321899627879E-3</v>
      </c>
      <c r="AA7" s="180">
        <v>9.1382833763115814E-3</v>
      </c>
      <c r="AB7" s="180">
        <v>9.1382833763115814E-3</v>
      </c>
      <c r="AC7" s="180">
        <v>9.1382833763115814E-3</v>
      </c>
      <c r="AD7" s="180">
        <v>9.1382833763115814E-3</v>
      </c>
      <c r="AE7" s="180">
        <v>9.1382833763115814E-3</v>
      </c>
      <c r="AF7" s="180">
        <v>9.1382833763115814E-3</v>
      </c>
      <c r="AG7" s="180">
        <v>9.1382833763115814E-3</v>
      </c>
      <c r="AH7" s="180">
        <v>9.1382833763115814E-3</v>
      </c>
      <c r="AI7" s="180">
        <v>9.1382833763115814E-3</v>
      </c>
      <c r="AJ7" s="180">
        <v>9.1382833763115814E-3</v>
      </c>
      <c r="AK7" s="180">
        <v>9.1382833763115814E-3</v>
      </c>
      <c r="AL7" s="180">
        <v>9.1382833763115814E-3</v>
      </c>
      <c r="AM7" s="180">
        <v>9.1382833763115814E-3</v>
      </c>
      <c r="AN7" s="180">
        <v>9.1382833763115814E-3</v>
      </c>
      <c r="AO7" s="180">
        <v>9.1382833763115814E-3</v>
      </c>
      <c r="AP7" s="180">
        <v>9.1382833763115814E-3</v>
      </c>
      <c r="AQ7" s="180">
        <v>9.1382833763115814E-3</v>
      </c>
      <c r="AR7" s="180">
        <v>9.1382833763115814E-3</v>
      </c>
      <c r="AS7" s="180">
        <v>9.1382833763115814E-3</v>
      </c>
      <c r="AT7" s="180">
        <v>9.1382833763115814E-3</v>
      </c>
      <c r="AU7" s="180">
        <v>9.1382833763115814E-3</v>
      </c>
      <c r="AV7" s="180">
        <v>9.1382833763115814E-3</v>
      </c>
      <c r="AW7" s="180">
        <v>9.1382833763115814E-3</v>
      </c>
      <c r="AX7" s="180">
        <v>9.1382833763115814E-3</v>
      </c>
      <c r="AY7" s="180">
        <v>9.1382833763115814E-3</v>
      </c>
      <c r="AZ7" s="180">
        <v>9.1382833763115814E-3</v>
      </c>
      <c r="BA7" s="180">
        <v>9.1382833763115814E-3</v>
      </c>
      <c r="BB7" s="180">
        <v>9.1382833763115814E-3</v>
      </c>
      <c r="BC7" s="180">
        <v>9.1382833763115814E-3</v>
      </c>
      <c r="BD7" s="180">
        <v>9.1382833763115814E-3</v>
      </c>
      <c r="BE7" s="180">
        <v>9.1382833763115814E-3</v>
      </c>
      <c r="BF7" s="180">
        <v>9.1382833763115814E-3</v>
      </c>
      <c r="BG7" s="180">
        <v>9.1382833763115814E-3</v>
      </c>
      <c r="BH7" s="180">
        <v>9.1382833763115814E-3</v>
      </c>
      <c r="BI7" s="180">
        <v>9.1382833763115814E-3</v>
      </c>
      <c r="BJ7" s="180">
        <v>9.1382833763115814E-3</v>
      </c>
      <c r="BK7" s="180">
        <v>9.1382833763115814E-3</v>
      </c>
      <c r="BL7" s="180">
        <v>9.1382833763115814E-3</v>
      </c>
      <c r="BM7" s="180">
        <v>9.1382833763115814E-3</v>
      </c>
      <c r="BN7" s="180">
        <v>9.1382833763115814E-3</v>
      </c>
      <c r="BO7" s="180">
        <v>9.1382833763115814E-3</v>
      </c>
      <c r="BP7" s="180">
        <v>9.1382833763115814E-3</v>
      </c>
      <c r="BQ7" s="180">
        <v>9.1382833763115814E-3</v>
      </c>
      <c r="BR7" s="180">
        <v>9.1382833763115814E-3</v>
      </c>
      <c r="BS7" s="180">
        <v>9.1382833763115814E-3</v>
      </c>
      <c r="BT7" s="180">
        <v>9.1382833763115814E-3</v>
      </c>
      <c r="BU7" s="180">
        <v>9.1382833763115814E-3</v>
      </c>
      <c r="BV7" s="180">
        <v>9.1382833763115814E-3</v>
      </c>
      <c r="BW7" s="180">
        <v>9.1382833763115814E-3</v>
      </c>
      <c r="BX7" s="180">
        <v>9.1382833763115814E-3</v>
      </c>
      <c r="BY7" s="180">
        <v>9.1382833763115814E-3</v>
      </c>
      <c r="BZ7" s="180">
        <v>9.1382833763115814E-3</v>
      </c>
      <c r="CA7" s="180">
        <v>9.1382833763115814E-3</v>
      </c>
      <c r="CB7" s="180">
        <v>9.1382833763115814E-3</v>
      </c>
      <c r="CC7" s="180">
        <v>9.1382833763115814E-3</v>
      </c>
      <c r="CD7" s="180">
        <v>9.1382833763115814E-3</v>
      </c>
      <c r="CE7" s="180">
        <v>9.1382833763115814E-3</v>
      </c>
      <c r="CF7" s="180">
        <v>9.1382833763115814E-3</v>
      </c>
      <c r="CG7" s="180">
        <v>9.1382833763115814E-3</v>
      </c>
      <c r="CH7" s="180">
        <v>9.1382833763115814E-3</v>
      </c>
      <c r="CI7" s="180">
        <v>9.1382833763115814E-3</v>
      </c>
      <c r="CJ7" s="180">
        <v>9.1382833763115814E-3</v>
      </c>
      <c r="CK7" s="180">
        <v>9.1382833763115814E-3</v>
      </c>
      <c r="CL7" s="180">
        <v>9.1382833763115814E-3</v>
      </c>
      <c r="CM7" s="180">
        <v>9.1382833763115814E-3</v>
      </c>
      <c r="CN7" s="180">
        <v>9.1382833763115814E-3</v>
      </c>
      <c r="CO7" s="180">
        <v>9.1382833763115814E-3</v>
      </c>
      <c r="CP7" s="180">
        <v>9.1382833763115814E-3</v>
      </c>
      <c r="CQ7" s="180">
        <v>9.1382833763115814E-3</v>
      </c>
      <c r="CR7" s="181">
        <v>9.1382833763115814E-3</v>
      </c>
      <c r="CS7" s="171"/>
    </row>
    <row r="8" spans="2:97">
      <c r="B8" s="171"/>
      <c r="C8" s="171"/>
      <c r="D8" s="171"/>
      <c r="E8" s="182"/>
      <c r="F8" s="182"/>
      <c r="G8" s="182"/>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c r="CR8" s="182"/>
      <c r="CS8" s="171"/>
    </row>
    <row r="9" spans="2:97">
      <c r="B9" s="171"/>
      <c r="C9" s="173" t="s">
        <v>111</v>
      </c>
      <c r="D9" s="189" t="s">
        <v>121</v>
      </c>
      <c r="E9" s="183">
        <f t="array" ref="E9:CR9">CONVERT(0.000001,"kWh","btu")</f>
        <v>3.412141633127942E-3</v>
      </c>
      <c r="F9" s="183">
        <v>3.412141633127942E-3</v>
      </c>
      <c r="G9" s="183">
        <v>3.412141633127942E-3</v>
      </c>
      <c r="H9" s="183">
        <v>3.412141633127942E-3</v>
      </c>
      <c r="I9" s="183">
        <v>3.412141633127942E-3</v>
      </c>
      <c r="J9" s="183">
        <v>3.412141633127942E-3</v>
      </c>
      <c r="K9" s="183">
        <v>3.412141633127942E-3</v>
      </c>
      <c r="L9" s="183">
        <v>3.412141633127942E-3</v>
      </c>
      <c r="M9" s="183">
        <v>3.412141633127942E-3</v>
      </c>
      <c r="N9" s="183">
        <v>3.412141633127942E-3</v>
      </c>
      <c r="O9" s="183">
        <v>3.412141633127942E-3</v>
      </c>
      <c r="P9" s="183">
        <v>3.412141633127942E-3</v>
      </c>
      <c r="Q9" s="183">
        <v>3.412141633127942E-3</v>
      </c>
      <c r="R9" s="183">
        <v>3.412141633127942E-3</v>
      </c>
      <c r="S9" s="183">
        <v>3.412141633127942E-3</v>
      </c>
      <c r="T9" s="183">
        <v>3.412141633127942E-3</v>
      </c>
      <c r="U9" s="183">
        <v>3.412141633127942E-3</v>
      </c>
      <c r="V9" s="183">
        <v>3.412141633127942E-3</v>
      </c>
      <c r="W9" s="183">
        <v>3.412141633127942E-3</v>
      </c>
      <c r="X9" s="183">
        <v>3.412141633127942E-3</v>
      </c>
      <c r="Y9" s="183">
        <v>3.412141633127942E-3</v>
      </c>
      <c r="Z9" s="183">
        <v>3.412141633127942E-3</v>
      </c>
      <c r="AA9" s="183">
        <v>3.412141633127942E-3</v>
      </c>
      <c r="AB9" s="183">
        <v>3.412141633127942E-3</v>
      </c>
      <c r="AC9" s="183">
        <v>3.412141633127942E-3</v>
      </c>
      <c r="AD9" s="183">
        <v>3.412141633127942E-3</v>
      </c>
      <c r="AE9" s="183">
        <v>3.412141633127942E-3</v>
      </c>
      <c r="AF9" s="183">
        <v>3.412141633127942E-3</v>
      </c>
      <c r="AG9" s="183">
        <v>3.412141633127942E-3</v>
      </c>
      <c r="AH9" s="183">
        <v>3.412141633127942E-3</v>
      </c>
      <c r="AI9" s="183">
        <v>3.412141633127942E-3</v>
      </c>
      <c r="AJ9" s="183">
        <v>3.412141633127942E-3</v>
      </c>
      <c r="AK9" s="183">
        <v>3.412141633127942E-3</v>
      </c>
      <c r="AL9" s="183">
        <v>3.412141633127942E-3</v>
      </c>
      <c r="AM9" s="183">
        <v>3.412141633127942E-3</v>
      </c>
      <c r="AN9" s="183">
        <v>3.412141633127942E-3</v>
      </c>
      <c r="AO9" s="183">
        <v>3.412141633127942E-3</v>
      </c>
      <c r="AP9" s="183">
        <v>3.412141633127942E-3</v>
      </c>
      <c r="AQ9" s="183">
        <v>3.412141633127942E-3</v>
      </c>
      <c r="AR9" s="183">
        <v>3.412141633127942E-3</v>
      </c>
      <c r="AS9" s="183">
        <v>3.412141633127942E-3</v>
      </c>
      <c r="AT9" s="183">
        <v>3.412141633127942E-3</v>
      </c>
      <c r="AU9" s="183">
        <v>3.412141633127942E-3</v>
      </c>
      <c r="AV9" s="183">
        <v>3.412141633127942E-3</v>
      </c>
      <c r="AW9" s="183">
        <v>3.412141633127942E-3</v>
      </c>
      <c r="AX9" s="183">
        <v>3.412141633127942E-3</v>
      </c>
      <c r="AY9" s="183">
        <v>3.412141633127942E-3</v>
      </c>
      <c r="AZ9" s="183">
        <v>3.412141633127942E-3</v>
      </c>
      <c r="BA9" s="183">
        <v>3.412141633127942E-3</v>
      </c>
      <c r="BB9" s="183">
        <v>3.412141633127942E-3</v>
      </c>
      <c r="BC9" s="183">
        <v>3.412141633127942E-3</v>
      </c>
      <c r="BD9" s="183">
        <v>3.412141633127942E-3</v>
      </c>
      <c r="BE9" s="183">
        <v>3.412141633127942E-3</v>
      </c>
      <c r="BF9" s="183">
        <v>3.412141633127942E-3</v>
      </c>
      <c r="BG9" s="183">
        <v>3.412141633127942E-3</v>
      </c>
      <c r="BH9" s="183">
        <v>3.412141633127942E-3</v>
      </c>
      <c r="BI9" s="183">
        <v>3.412141633127942E-3</v>
      </c>
      <c r="BJ9" s="183">
        <v>3.412141633127942E-3</v>
      </c>
      <c r="BK9" s="183">
        <v>3.412141633127942E-3</v>
      </c>
      <c r="BL9" s="183">
        <v>3.412141633127942E-3</v>
      </c>
      <c r="BM9" s="183">
        <v>3.412141633127942E-3</v>
      </c>
      <c r="BN9" s="183">
        <v>3.412141633127942E-3</v>
      </c>
      <c r="BO9" s="183">
        <v>3.412141633127942E-3</v>
      </c>
      <c r="BP9" s="183">
        <v>3.412141633127942E-3</v>
      </c>
      <c r="BQ9" s="183">
        <v>3.412141633127942E-3</v>
      </c>
      <c r="BR9" s="183">
        <v>3.412141633127942E-3</v>
      </c>
      <c r="BS9" s="183">
        <v>3.412141633127942E-3</v>
      </c>
      <c r="BT9" s="183">
        <v>3.412141633127942E-3</v>
      </c>
      <c r="BU9" s="183">
        <v>3.412141633127942E-3</v>
      </c>
      <c r="BV9" s="183">
        <v>3.412141633127942E-3</v>
      </c>
      <c r="BW9" s="183">
        <v>3.412141633127942E-3</v>
      </c>
      <c r="BX9" s="183">
        <v>3.412141633127942E-3</v>
      </c>
      <c r="BY9" s="183">
        <v>3.412141633127942E-3</v>
      </c>
      <c r="BZ9" s="183">
        <v>3.412141633127942E-3</v>
      </c>
      <c r="CA9" s="183">
        <v>3.412141633127942E-3</v>
      </c>
      <c r="CB9" s="183">
        <v>3.412141633127942E-3</v>
      </c>
      <c r="CC9" s="183">
        <v>3.412141633127942E-3</v>
      </c>
      <c r="CD9" s="183">
        <v>3.412141633127942E-3</v>
      </c>
      <c r="CE9" s="183">
        <v>3.412141633127942E-3</v>
      </c>
      <c r="CF9" s="183">
        <v>3.412141633127942E-3</v>
      </c>
      <c r="CG9" s="183">
        <v>3.412141633127942E-3</v>
      </c>
      <c r="CH9" s="183">
        <v>3.412141633127942E-3</v>
      </c>
      <c r="CI9" s="183">
        <v>3.412141633127942E-3</v>
      </c>
      <c r="CJ9" s="183">
        <v>3.412141633127942E-3</v>
      </c>
      <c r="CK9" s="183">
        <v>3.412141633127942E-3</v>
      </c>
      <c r="CL9" s="183">
        <v>3.412141633127942E-3</v>
      </c>
      <c r="CM9" s="183">
        <v>3.412141633127942E-3</v>
      </c>
      <c r="CN9" s="183">
        <v>3.412141633127942E-3</v>
      </c>
      <c r="CO9" s="183">
        <v>3.412141633127942E-3</v>
      </c>
      <c r="CP9" s="183">
        <v>3.412141633127942E-3</v>
      </c>
      <c r="CQ9" s="183">
        <v>3.412141633127942E-3</v>
      </c>
      <c r="CR9" s="184">
        <v>3.412141633127942E-3</v>
      </c>
      <c r="CS9" s="171"/>
    </row>
    <row r="10" spans="2:97">
      <c r="B10" s="171"/>
      <c r="C10" s="176" t="s">
        <v>112</v>
      </c>
      <c r="D10" s="190" t="s">
        <v>123</v>
      </c>
      <c r="E10" s="185">
        <f t="array" ref="E10:CR10">0.001*E13:CR13/E9:CR9</f>
        <v>3.1116373883960611</v>
      </c>
      <c r="F10" s="185">
        <v>3.1116373883960611</v>
      </c>
      <c r="G10" s="185">
        <v>3.0415421111480163</v>
      </c>
      <c r="H10" s="185">
        <v>3.0141050735172596</v>
      </c>
      <c r="I10" s="185">
        <v>2.9544011838381117</v>
      </c>
      <c r="J10" s="185">
        <v>2.8650340961822205</v>
      </c>
      <c r="K10" s="185">
        <v>2.8122886484185492</v>
      </c>
      <c r="L10" s="185">
        <v>2.8129853288278261</v>
      </c>
      <c r="M10" s="185">
        <v>2.7620547670609712</v>
      </c>
      <c r="N10" s="185">
        <v>2.6994151102179154</v>
      </c>
      <c r="O10" s="185">
        <v>2.6620159930026843</v>
      </c>
      <c r="P10" s="185">
        <v>2.6460233883424213</v>
      </c>
      <c r="Q10" s="185">
        <v>2.6233537150108224</v>
      </c>
      <c r="R10" s="185">
        <v>2.6085195547311972</v>
      </c>
      <c r="S10" s="185">
        <v>2.5664925191564101</v>
      </c>
      <c r="T10" s="185">
        <v>2.5477591488358464</v>
      </c>
      <c r="U10" s="185">
        <v>2.5415373234098073</v>
      </c>
      <c r="V10" s="185">
        <v>2.5333351615589748</v>
      </c>
      <c r="W10" s="185">
        <v>2.5346456449889319</v>
      </c>
      <c r="X10" s="185">
        <v>2.538638098542787</v>
      </c>
      <c r="Y10" s="185">
        <v>2.5451729368190281</v>
      </c>
      <c r="Z10" s="185">
        <v>2.5496457762872571</v>
      </c>
      <c r="AA10" s="185">
        <v>2.558329863671835</v>
      </c>
      <c r="AB10" s="185">
        <v>2.558329863671835</v>
      </c>
      <c r="AC10" s="185">
        <v>2.558329863671835</v>
      </c>
      <c r="AD10" s="185">
        <v>2.558329863671835</v>
      </c>
      <c r="AE10" s="185">
        <v>2.558329863671835</v>
      </c>
      <c r="AF10" s="185">
        <v>2.558329863671835</v>
      </c>
      <c r="AG10" s="185">
        <v>2.558329863671835</v>
      </c>
      <c r="AH10" s="185">
        <v>2.558329863671835</v>
      </c>
      <c r="AI10" s="185">
        <v>2.558329863671835</v>
      </c>
      <c r="AJ10" s="185">
        <v>2.558329863671835</v>
      </c>
      <c r="AK10" s="185">
        <v>2.558329863671835</v>
      </c>
      <c r="AL10" s="185">
        <v>2.558329863671835</v>
      </c>
      <c r="AM10" s="185">
        <v>2.558329863671835</v>
      </c>
      <c r="AN10" s="185">
        <v>2.558329863671835</v>
      </c>
      <c r="AO10" s="185">
        <v>2.558329863671835</v>
      </c>
      <c r="AP10" s="185">
        <v>2.558329863671835</v>
      </c>
      <c r="AQ10" s="185">
        <v>2.558329863671835</v>
      </c>
      <c r="AR10" s="185">
        <v>2.558329863671835</v>
      </c>
      <c r="AS10" s="185">
        <v>2.558329863671835</v>
      </c>
      <c r="AT10" s="185">
        <v>2.558329863671835</v>
      </c>
      <c r="AU10" s="185">
        <v>2.558329863671835</v>
      </c>
      <c r="AV10" s="185">
        <v>2.558329863671835</v>
      </c>
      <c r="AW10" s="185">
        <v>2.558329863671835</v>
      </c>
      <c r="AX10" s="185">
        <v>2.558329863671835</v>
      </c>
      <c r="AY10" s="185">
        <v>2.558329863671835</v>
      </c>
      <c r="AZ10" s="185">
        <v>2.558329863671835</v>
      </c>
      <c r="BA10" s="185">
        <v>2.558329863671835</v>
      </c>
      <c r="BB10" s="185">
        <v>2.558329863671835</v>
      </c>
      <c r="BC10" s="185">
        <v>2.558329863671835</v>
      </c>
      <c r="BD10" s="185">
        <v>2.558329863671835</v>
      </c>
      <c r="BE10" s="185">
        <v>2.558329863671835</v>
      </c>
      <c r="BF10" s="185">
        <v>2.558329863671835</v>
      </c>
      <c r="BG10" s="185">
        <v>2.558329863671835</v>
      </c>
      <c r="BH10" s="185">
        <v>2.558329863671835</v>
      </c>
      <c r="BI10" s="185">
        <v>2.558329863671835</v>
      </c>
      <c r="BJ10" s="185">
        <v>2.558329863671835</v>
      </c>
      <c r="BK10" s="185">
        <v>2.558329863671835</v>
      </c>
      <c r="BL10" s="185">
        <v>2.558329863671835</v>
      </c>
      <c r="BM10" s="185">
        <v>2.558329863671835</v>
      </c>
      <c r="BN10" s="185">
        <v>2.558329863671835</v>
      </c>
      <c r="BO10" s="185">
        <v>2.558329863671835</v>
      </c>
      <c r="BP10" s="185">
        <v>2.558329863671835</v>
      </c>
      <c r="BQ10" s="185">
        <v>2.558329863671835</v>
      </c>
      <c r="BR10" s="185">
        <v>2.558329863671835</v>
      </c>
      <c r="BS10" s="185">
        <v>2.558329863671835</v>
      </c>
      <c r="BT10" s="185">
        <v>2.558329863671835</v>
      </c>
      <c r="BU10" s="185">
        <v>2.558329863671835</v>
      </c>
      <c r="BV10" s="185">
        <v>2.558329863671835</v>
      </c>
      <c r="BW10" s="185">
        <v>2.558329863671835</v>
      </c>
      <c r="BX10" s="185">
        <v>2.558329863671835</v>
      </c>
      <c r="BY10" s="185">
        <v>2.558329863671835</v>
      </c>
      <c r="BZ10" s="185">
        <v>2.558329863671835</v>
      </c>
      <c r="CA10" s="185">
        <v>2.558329863671835</v>
      </c>
      <c r="CB10" s="185">
        <v>2.558329863671835</v>
      </c>
      <c r="CC10" s="185">
        <v>2.558329863671835</v>
      </c>
      <c r="CD10" s="185">
        <v>2.558329863671835</v>
      </c>
      <c r="CE10" s="185">
        <v>2.558329863671835</v>
      </c>
      <c r="CF10" s="185">
        <v>2.558329863671835</v>
      </c>
      <c r="CG10" s="185">
        <v>2.558329863671835</v>
      </c>
      <c r="CH10" s="185">
        <v>2.558329863671835</v>
      </c>
      <c r="CI10" s="185">
        <v>2.558329863671835</v>
      </c>
      <c r="CJ10" s="185">
        <v>2.558329863671835</v>
      </c>
      <c r="CK10" s="185">
        <v>2.558329863671835</v>
      </c>
      <c r="CL10" s="185">
        <v>2.558329863671835</v>
      </c>
      <c r="CM10" s="185">
        <v>2.558329863671835</v>
      </c>
      <c r="CN10" s="185">
        <v>2.558329863671835</v>
      </c>
      <c r="CO10" s="185">
        <v>2.558329863671835</v>
      </c>
      <c r="CP10" s="185">
        <v>2.558329863671835</v>
      </c>
      <c r="CQ10" s="185">
        <v>2.558329863671835</v>
      </c>
      <c r="CR10" s="186">
        <v>2.558329863671835</v>
      </c>
      <c r="CS10" s="171"/>
    </row>
    <row r="11" spans="2:97">
      <c r="B11" s="171"/>
      <c r="C11" s="174" t="s">
        <v>113</v>
      </c>
      <c r="D11" s="178" t="s">
        <v>123</v>
      </c>
      <c r="E11" s="180">
        <v>1.04307984845852</v>
      </c>
      <c r="F11" s="180">
        <v>1.04307984845852</v>
      </c>
      <c r="G11" s="180">
        <v>1.0435368911749201</v>
      </c>
      <c r="H11" s="180">
        <v>1.0437677584432301</v>
      </c>
      <c r="I11" s="180">
        <v>1.0438968991059301</v>
      </c>
      <c r="J11" s="180">
        <v>1.04424865306129</v>
      </c>
      <c r="K11" s="180">
        <v>1.04444369277172</v>
      </c>
      <c r="L11" s="180">
        <v>1.0445232508139199</v>
      </c>
      <c r="M11" s="180">
        <v>1.04479292701674</v>
      </c>
      <c r="N11" s="180">
        <v>1.0449715533418</v>
      </c>
      <c r="O11" s="180">
        <v>1.0452593514926301</v>
      </c>
      <c r="P11" s="180">
        <v>1.0453993204224099</v>
      </c>
      <c r="Q11" s="180">
        <v>1.0456799803353301</v>
      </c>
      <c r="R11" s="180">
        <v>1.0457510844746201</v>
      </c>
      <c r="S11" s="180">
        <v>1.0458954834471399</v>
      </c>
      <c r="T11" s="180">
        <v>1.0461242441440299</v>
      </c>
      <c r="U11" s="180">
        <v>1.0463320302983901</v>
      </c>
      <c r="V11" s="180">
        <v>1.0465149906183899</v>
      </c>
      <c r="W11" s="180">
        <v>1.04655976177886</v>
      </c>
      <c r="X11" s="180">
        <v>1.04663656528091</v>
      </c>
      <c r="Y11" s="180">
        <v>1.04668841659037</v>
      </c>
      <c r="Z11" s="180">
        <v>1.04674612143553</v>
      </c>
      <c r="AA11" s="180">
        <v>1.0468417410368001</v>
      </c>
      <c r="AB11" s="180">
        <v>1.0468417410368001</v>
      </c>
      <c r="AC11" s="180">
        <v>1.0468417410368001</v>
      </c>
      <c r="AD11" s="180">
        <v>1.0468417410368001</v>
      </c>
      <c r="AE11" s="180">
        <v>1.0468417410368001</v>
      </c>
      <c r="AF11" s="180">
        <v>1.0468417410368001</v>
      </c>
      <c r="AG11" s="180">
        <v>1.0468417410368001</v>
      </c>
      <c r="AH11" s="180">
        <v>1.0468417410368001</v>
      </c>
      <c r="AI11" s="180">
        <v>1.0468417410368001</v>
      </c>
      <c r="AJ11" s="180">
        <v>1.0468417410368001</v>
      </c>
      <c r="AK11" s="180">
        <v>1.0468417410368001</v>
      </c>
      <c r="AL11" s="180">
        <v>1.0468417410368001</v>
      </c>
      <c r="AM11" s="180">
        <v>1.0468417410368001</v>
      </c>
      <c r="AN11" s="180">
        <v>1.0468417410368001</v>
      </c>
      <c r="AO11" s="180">
        <v>1.0468417410368001</v>
      </c>
      <c r="AP11" s="180">
        <v>1.0468417410368001</v>
      </c>
      <c r="AQ11" s="180">
        <v>1.0468417410368001</v>
      </c>
      <c r="AR11" s="180">
        <v>1.0468417410368001</v>
      </c>
      <c r="AS11" s="180">
        <v>1.0468417410368001</v>
      </c>
      <c r="AT11" s="180">
        <v>1.0468417410368001</v>
      </c>
      <c r="AU11" s="180">
        <v>1.0468417410368001</v>
      </c>
      <c r="AV11" s="180">
        <v>1.0468417410368001</v>
      </c>
      <c r="AW11" s="180">
        <v>1.0468417410368001</v>
      </c>
      <c r="AX11" s="180">
        <v>1.0468417410368001</v>
      </c>
      <c r="AY11" s="180">
        <v>1.0468417410368001</v>
      </c>
      <c r="AZ11" s="180">
        <v>1.0468417410368001</v>
      </c>
      <c r="BA11" s="180">
        <v>1.0468417410368001</v>
      </c>
      <c r="BB11" s="180">
        <v>1.0468417410368001</v>
      </c>
      <c r="BC11" s="180">
        <v>1.0468417410368001</v>
      </c>
      <c r="BD11" s="180">
        <v>1.0468417410368001</v>
      </c>
      <c r="BE11" s="180">
        <v>1.0468417410368001</v>
      </c>
      <c r="BF11" s="180">
        <v>1.0468417410368001</v>
      </c>
      <c r="BG11" s="180">
        <v>1.0468417410368001</v>
      </c>
      <c r="BH11" s="180">
        <v>1.0468417410368001</v>
      </c>
      <c r="BI11" s="180">
        <v>1.0468417410368001</v>
      </c>
      <c r="BJ11" s="180">
        <v>1.0468417410368001</v>
      </c>
      <c r="BK11" s="180">
        <v>1.0468417410368001</v>
      </c>
      <c r="BL11" s="180">
        <v>1.0468417410368001</v>
      </c>
      <c r="BM11" s="180">
        <v>1.0468417410368001</v>
      </c>
      <c r="BN11" s="180">
        <v>1.0468417410368001</v>
      </c>
      <c r="BO11" s="180">
        <v>1.0468417410368001</v>
      </c>
      <c r="BP11" s="180">
        <v>1.0468417410368001</v>
      </c>
      <c r="BQ11" s="180">
        <v>1.0468417410368001</v>
      </c>
      <c r="BR11" s="180">
        <v>1.0468417410368001</v>
      </c>
      <c r="BS11" s="180">
        <v>1.0468417410368001</v>
      </c>
      <c r="BT11" s="180">
        <v>1.0468417410368001</v>
      </c>
      <c r="BU11" s="180">
        <v>1.0468417410368001</v>
      </c>
      <c r="BV11" s="180">
        <v>1.0468417410368001</v>
      </c>
      <c r="BW11" s="180">
        <v>1.0468417410368001</v>
      </c>
      <c r="BX11" s="180">
        <v>1.0468417410368001</v>
      </c>
      <c r="BY11" s="180">
        <v>1.0468417410368001</v>
      </c>
      <c r="BZ11" s="180">
        <v>1.0468417410368001</v>
      </c>
      <c r="CA11" s="180">
        <v>1.0468417410368001</v>
      </c>
      <c r="CB11" s="180">
        <v>1.0468417410368001</v>
      </c>
      <c r="CC11" s="180">
        <v>1.0468417410368001</v>
      </c>
      <c r="CD11" s="180">
        <v>1.0468417410368001</v>
      </c>
      <c r="CE11" s="180">
        <v>1.0468417410368001</v>
      </c>
      <c r="CF11" s="180">
        <v>1.0468417410368001</v>
      </c>
      <c r="CG11" s="180">
        <v>1.0468417410368001</v>
      </c>
      <c r="CH11" s="180">
        <v>1.0468417410368001</v>
      </c>
      <c r="CI11" s="180">
        <v>1.0468417410368001</v>
      </c>
      <c r="CJ11" s="180">
        <v>1.0468417410368001</v>
      </c>
      <c r="CK11" s="180">
        <v>1.0468417410368001</v>
      </c>
      <c r="CL11" s="180">
        <v>1.0468417410368001</v>
      </c>
      <c r="CM11" s="180">
        <v>1.0468417410368001</v>
      </c>
      <c r="CN11" s="180">
        <v>1.0468417410368001</v>
      </c>
      <c r="CO11" s="180">
        <v>1.0468417410368001</v>
      </c>
      <c r="CP11" s="180">
        <v>1.0468417410368001</v>
      </c>
      <c r="CQ11" s="180">
        <v>1.0468417410368001</v>
      </c>
      <c r="CR11" s="181">
        <v>1.0468417410368001</v>
      </c>
      <c r="CS11" s="171"/>
    </row>
    <row r="12" spans="2:97">
      <c r="B12" s="171"/>
      <c r="C12" s="171"/>
      <c r="D12" s="171"/>
      <c r="E12" s="182"/>
      <c r="F12" s="182"/>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71"/>
    </row>
    <row r="13" spans="2:97">
      <c r="B13" s="171"/>
      <c r="C13" s="177" t="s">
        <v>114</v>
      </c>
      <c r="D13" s="179" t="s">
        <v>122</v>
      </c>
      <c r="E13" s="187">
        <v>10.6173474801437</v>
      </c>
      <c r="F13" s="187">
        <v>10.6173474801437</v>
      </c>
      <c r="G13" s="187">
        <v>10.378172466360001</v>
      </c>
      <c r="H13" s="187">
        <v>10.2845534079704</v>
      </c>
      <c r="I13" s="187">
        <v>10.080835280336499</v>
      </c>
      <c r="J13" s="187">
        <v>9.7759021199144396</v>
      </c>
      <c r="K13" s="187">
        <v>9.5959271816420397</v>
      </c>
      <c r="L13" s="187">
        <v>9.5983043538715194</v>
      </c>
      <c r="M13" s="187">
        <v>9.4245220636682401</v>
      </c>
      <c r="N13" s="187">
        <v>9.2107866826692</v>
      </c>
      <c r="O13" s="187">
        <v>9.0831755977768793</v>
      </c>
      <c r="P13" s="187">
        <v>9.0286065655934404</v>
      </c>
      <c r="Q13" s="187">
        <v>8.9512544294092802</v>
      </c>
      <c r="R13" s="187">
        <v>8.90063817352668</v>
      </c>
      <c r="S13" s="187">
        <v>8.7572359757249991</v>
      </c>
      <c r="T13" s="187">
        <v>8.6933150629254001</v>
      </c>
      <c r="U13" s="187">
        <v>8.6720853133551596</v>
      </c>
      <c r="V13" s="187">
        <v>8.6440983754222795</v>
      </c>
      <c r="W13" s="187">
        <v>8.64856993049316</v>
      </c>
      <c r="X13" s="187">
        <v>8.6621927474825995</v>
      </c>
      <c r="Y13" s="187">
        <v>8.6844905412307192</v>
      </c>
      <c r="Z13" s="187">
        <v>8.6997525029985603</v>
      </c>
      <c r="AA13" s="187">
        <v>8.7293838391092002</v>
      </c>
      <c r="AB13" s="187">
        <v>8.7293838391092002</v>
      </c>
      <c r="AC13" s="187">
        <v>8.7293838391092002</v>
      </c>
      <c r="AD13" s="187">
        <v>8.7293838391092002</v>
      </c>
      <c r="AE13" s="187">
        <v>8.7293838391092002</v>
      </c>
      <c r="AF13" s="187">
        <v>8.7293838391092002</v>
      </c>
      <c r="AG13" s="187">
        <v>8.7293838391092002</v>
      </c>
      <c r="AH13" s="187">
        <v>8.7293838391092002</v>
      </c>
      <c r="AI13" s="187">
        <v>8.7293838391092002</v>
      </c>
      <c r="AJ13" s="187">
        <v>8.7293838391092002</v>
      </c>
      <c r="AK13" s="187">
        <v>8.7293838391092002</v>
      </c>
      <c r="AL13" s="187">
        <v>8.7293838391092002</v>
      </c>
      <c r="AM13" s="187">
        <v>8.7293838391092002</v>
      </c>
      <c r="AN13" s="187">
        <v>8.7293838391092002</v>
      </c>
      <c r="AO13" s="187">
        <v>8.7293838391092002</v>
      </c>
      <c r="AP13" s="187">
        <v>8.7293838391092002</v>
      </c>
      <c r="AQ13" s="187">
        <v>8.7293838391092002</v>
      </c>
      <c r="AR13" s="187">
        <v>8.7293838391092002</v>
      </c>
      <c r="AS13" s="187">
        <v>8.7293838391092002</v>
      </c>
      <c r="AT13" s="187">
        <v>8.7293838391092002</v>
      </c>
      <c r="AU13" s="187">
        <v>8.7293838391092002</v>
      </c>
      <c r="AV13" s="187">
        <v>8.7293838391092002</v>
      </c>
      <c r="AW13" s="187">
        <v>8.7293838391092002</v>
      </c>
      <c r="AX13" s="187">
        <v>8.7293838391092002</v>
      </c>
      <c r="AY13" s="187">
        <v>8.7293838391092002</v>
      </c>
      <c r="AZ13" s="187">
        <v>8.7293838391092002</v>
      </c>
      <c r="BA13" s="187">
        <v>8.7293838391092002</v>
      </c>
      <c r="BB13" s="187">
        <v>8.7293838391092002</v>
      </c>
      <c r="BC13" s="187">
        <v>8.7293838391092002</v>
      </c>
      <c r="BD13" s="187">
        <v>8.7293838391092002</v>
      </c>
      <c r="BE13" s="187">
        <v>8.7293838391092002</v>
      </c>
      <c r="BF13" s="187">
        <v>8.7293838391092002</v>
      </c>
      <c r="BG13" s="187">
        <v>8.7293838391092002</v>
      </c>
      <c r="BH13" s="187">
        <v>8.7293838391092002</v>
      </c>
      <c r="BI13" s="187">
        <v>8.7293838391092002</v>
      </c>
      <c r="BJ13" s="187">
        <v>8.7293838391092002</v>
      </c>
      <c r="BK13" s="187">
        <v>8.7293838391092002</v>
      </c>
      <c r="BL13" s="187">
        <v>8.7293838391092002</v>
      </c>
      <c r="BM13" s="187">
        <v>8.7293838391092002</v>
      </c>
      <c r="BN13" s="187">
        <v>8.7293838391092002</v>
      </c>
      <c r="BO13" s="187">
        <v>8.7293838391092002</v>
      </c>
      <c r="BP13" s="187">
        <v>8.7293838391092002</v>
      </c>
      <c r="BQ13" s="187">
        <v>8.7293838391092002</v>
      </c>
      <c r="BR13" s="187">
        <v>8.7293838391092002</v>
      </c>
      <c r="BS13" s="187">
        <v>8.7293838391092002</v>
      </c>
      <c r="BT13" s="187">
        <v>8.7293838391092002</v>
      </c>
      <c r="BU13" s="187">
        <v>8.7293838391092002</v>
      </c>
      <c r="BV13" s="187">
        <v>8.7293838391092002</v>
      </c>
      <c r="BW13" s="187">
        <v>8.7293838391092002</v>
      </c>
      <c r="BX13" s="187">
        <v>8.7293838391092002</v>
      </c>
      <c r="BY13" s="187">
        <v>8.7293838391092002</v>
      </c>
      <c r="BZ13" s="187">
        <v>8.7293838391092002</v>
      </c>
      <c r="CA13" s="187">
        <v>8.7293838391092002</v>
      </c>
      <c r="CB13" s="187">
        <v>8.7293838391092002</v>
      </c>
      <c r="CC13" s="187">
        <v>8.7293838391092002</v>
      </c>
      <c r="CD13" s="187">
        <v>8.7293838391092002</v>
      </c>
      <c r="CE13" s="187">
        <v>8.7293838391092002</v>
      </c>
      <c r="CF13" s="187">
        <v>8.7293838391092002</v>
      </c>
      <c r="CG13" s="187">
        <v>8.7293838391092002</v>
      </c>
      <c r="CH13" s="187">
        <v>8.7293838391092002</v>
      </c>
      <c r="CI13" s="187">
        <v>8.7293838391092002</v>
      </c>
      <c r="CJ13" s="187">
        <v>8.7293838391092002</v>
      </c>
      <c r="CK13" s="187">
        <v>8.7293838391092002</v>
      </c>
      <c r="CL13" s="187">
        <v>8.7293838391092002</v>
      </c>
      <c r="CM13" s="187">
        <v>8.7293838391092002</v>
      </c>
      <c r="CN13" s="187">
        <v>8.7293838391092002</v>
      </c>
      <c r="CO13" s="187">
        <v>8.7293838391092002</v>
      </c>
      <c r="CP13" s="187">
        <v>8.7293838391092002</v>
      </c>
      <c r="CQ13" s="187">
        <v>8.7293838391092002</v>
      </c>
      <c r="CR13" s="188">
        <v>8.7293838391092002</v>
      </c>
    </row>
    <row r="14" spans="2:97">
      <c r="B14" s="171"/>
      <c r="C14" s="171"/>
      <c r="D14" s="171"/>
      <c r="E14" s="171"/>
      <c r="F14" s="171"/>
      <c r="G14" s="171"/>
      <c r="H14" s="171"/>
      <c r="I14" s="171"/>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BL29"/>
  <sheetViews>
    <sheetView showGridLines="0" zoomScale="85" zoomScaleNormal="85" workbookViewId="0">
      <selection activeCell="B2" sqref="B2"/>
    </sheetView>
  </sheetViews>
  <sheetFormatPr defaultColWidth="9.109375" defaultRowHeight="14.4"/>
  <cols>
    <col min="1" max="1" width="9.109375" style="125"/>
    <col min="2" max="2" width="8.44140625" style="125" bestFit="1" customWidth="1"/>
    <col min="3" max="3" width="20.88671875" style="125" bestFit="1" customWidth="1"/>
    <col min="4" max="10" width="5.6640625" style="125" bestFit="1" customWidth="1"/>
    <col min="11" max="55" width="4.6640625" style="125" bestFit="1" customWidth="1"/>
    <col min="56" max="63" width="3.88671875" style="125" bestFit="1" customWidth="1"/>
    <col min="64" max="64" width="3.6640625" style="125" customWidth="1"/>
    <col min="65" max="16384" width="9.109375" style="125"/>
  </cols>
  <sheetData>
    <row r="1" spans="2:64" s="124" customFormat="1">
      <c r="B1" s="123" t="s">
        <v>88</v>
      </c>
    </row>
    <row r="2" spans="2:64" ht="15" customHeight="1"/>
    <row r="3" spans="2:64">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row>
    <row r="4" spans="2:64">
      <c r="B4" s="126"/>
      <c r="C4" s="8" t="s">
        <v>136</v>
      </c>
      <c r="D4" s="10">
        <f t="array" ref="D4:BK4">_t</f>
        <v>1</v>
      </c>
      <c r="E4" s="10">
        <v>2</v>
      </c>
      <c r="F4" s="10">
        <v>3</v>
      </c>
      <c r="G4" s="10">
        <v>4</v>
      </c>
      <c r="H4" s="10">
        <v>5</v>
      </c>
      <c r="I4" s="10">
        <v>6</v>
      </c>
      <c r="J4" s="10">
        <v>7</v>
      </c>
      <c r="K4" s="10">
        <v>8</v>
      </c>
      <c r="L4" s="10">
        <v>9</v>
      </c>
      <c r="M4" s="10">
        <v>10</v>
      </c>
      <c r="N4" s="10">
        <v>11</v>
      </c>
      <c r="O4" s="10">
        <v>12</v>
      </c>
      <c r="P4" s="10">
        <v>13</v>
      </c>
      <c r="Q4" s="10">
        <v>14</v>
      </c>
      <c r="R4" s="10">
        <v>15</v>
      </c>
      <c r="S4" s="10">
        <v>16</v>
      </c>
      <c r="T4" s="10">
        <v>17</v>
      </c>
      <c r="U4" s="10">
        <v>18</v>
      </c>
      <c r="V4" s="10">
        <v>19</v>
      </c>
      <c r="W4" s="10">
        <v>20</v>
      </c>
      <c r="X4" s="10">
        <v>21</v>
      </c>
      <c r="Y4" s="10">
        <v>22</v>
      </c>
      <c r="Z4" s="10">
        <v>23</v>
      </c>
      <c r="AA4" s="10">
        <v>24</v>
      </c>
      <c r="AB4" s="10">
        <v>25</v>
      </c>
      <c r="AC4" s="10">
        <v>26</v>
      </c>
      <c r="AD4" s="10">
        <v>27</v>
      </c>
      <c r="AE4" s="10">
        <v>28</v>
      </c>
      <c r="AF4" s="10">
        <v>29</v>
      </c>
      <c r="AG4" s="10">
        <v>30</v>
      </c>
      <c r="AH4" s="10">
        <v>31</v>
      </c>
      <c r="AI4" s="10">
        <v>32</v>
      </c>
      <c r="AJ4" s="10">
        <v>33</v>
      </c>
      <c r="AK4" s="10">
        <v>34</v>
      </c>
      <c r="AL4" s="10">
        <v>35</v>
      </c>
      <c r="AM4" s="10">
        <v>36</v>
      </c>
      <c r="AN4" s="10">
        <v>37</v>
      </c>
      <c r="AO4" s="10">
        <v>38</v>
      </c>
      <c r="AP4" s="10">
        <v>39</v>
      </c>
      <c r="AQ4" s="10">
        <v>40</v>
      </c>
      <c r="AR4" s="10">
        <v>41</v>
      </c>
      <c r="AS4" s="10">
        <v>42</v>
      </c>
      <c r="AT4" s="10">
        <v>43</v>
      </c>
      <c r="AU4" s="10">
        <v>44</v>
      </c>
      <c r="AV4" s="10">
        <v>45</v>
      </c>
      <c r="AW4" s="10">
        <v>46</v>
      </c>
      <c r="AX4" s="10">
        <v>47</v>
      </c>
      <c r="AY4" s="10">
        <v>48</v>
      </c>
      <c r="AZ4" s="10">
        <v>49</v>
      </c>
      <c r="BA4" s="10">
        <v>50</v>
      </c>
      <c r="BB4" s="10">
        <v>51</v>
      </c>
      <c r="BC4" s="10">
        <v>52</v>
      </c>
      <c r="BD4" s="10">
        <v>53</v>
      </c>
      <c r="BE4" s="10">
        <v>54</v>
      </c>
      <c r="BF4" s="10">
        <v>55</v>
      </c>
      <c r="BG4" s="10">
        <v>56</v>
      </c>
      <c r="BH4" s="10">
        <v>57</v>
      </c>
      <c r="BI4" s="10">
        <v>58</v>
      </c>
      <c r="BJ4" s="10">
        <v>59</v>
      </c>
      <c r="BK4" s="11">
        <v>60</v>
      </c>
      <c r="BL4" s="126"/>
    </row>
    <row r="5" spans="2:64">
      <c r="B5" s="126"/>
      <c r="C5" s="12" t="str">
        <f>INDEX(_pcName,1)</f>
        <v>Axial Housed</v>
      </c>
      <c r="D5" s="165">
        <v>1</v>
      </c>
      <c r="E5" s="165">
        <v>1</v>
      </c>
      <c r="F5" s="165">
        <v>1</v>
      </c>
      <c r="G5" s="165">
        <v>1</v>
      </c>
      <c r="H5" s="165">
        <v>1</v>
      </c>
      <c r="I5" s="165">
        <v>1</v>
      </c>
      <c r="J5" s="165">
        <v>0.99250000000000005</v>
      </c>
      <c r="K5" s="165">
        <v>0.98240000000000005</v>
      </c>
      <c r="L5" s="165">
        <v>0.9698</v>
      </c>
      <c r="M5" s="165">
        <v>0.95320000000000005</v>
      </c>
      <c r="N5" s="165">
        <v>0.93400000000000005</v>
      </c>
      <c r="O5" s="165">
        <v>0.91180000000000005</v>
      </c>
      <c r="P5" s="165">
        <v>0.88780000000000003</v>
      </c>
      <c r="Q5" s="165">
        <v>0.85829999999999995</v>
      </c>
      <c r="R5" s="165">
        <v>0.8296</v>
      </c>
      <c r="S5" s="165">
        <v>0.79779999999999995</v>
      </c>
      <c r="T5" s="165">
        <v>0.76900000000000002</v>
      </c>
      <c r="U5" s="165">
        <v>0.73770000000000002</v>
      </c>
      <c r="V5" s="165">
        <v>0.7056</v>
      </c>
      <c r="W5" s="165">
        <v>0.67230000000000001</v>
      </c>
      <c r="X5" s="165">
        <v>0.63890000000000002</v>
      </c>
      <c r="Y5" s="165">
        <v>0.60909999999999997</v>
      </c>
      <c r="Z5" s="165">
        <v>0.57609999999999995</v>
      </c>
      <c r="AA5" s="165">
        <v>0.54490000000000005</v>
      </c>
      <c r="AB5" s="165">
        <v>0.51539999999999997</v>
      </c>
      <c r="AC5" s="165">
        <v>0.49030000000000001</v>
      </c>
      <c r="AD5" s="165">
        <v>0.4647</v>
      </c>
      <c r="AE5" s="165">
        <v>0.43730000000000002</v>
      </c>
      <c r="AF5" s="165">
        <v>0.4123</v>
      </c>
      <c r="AG5" s="165">
        <v>0.38919999999999999</v>
      </c>
      <c r="AH5" s="165">
        <v>0.36990000000000001</v>
      </c>
      <c r="AI5" s="165">
        <v>0.35070000000000001</v>
      </c>
      <c r="AJ5" s="165">
        <v>0.33179999999999998</v>
      </c>
      <c r="AK5" s="165">
        <v>0.31219999999999998</v>
      </c>
      <c r="AL5" s="165">
        <v>0.2949</v>
      </c>
      <c r="AM5" s="165">
        <v>0.27829999999999999</v>
      </c>
      <c r="AN5" s="165">
        <v>0.2621</v>
      </c>
      <c r="AO5" s="165">
        <v>0.24299999999999999</v>
      </c>
      <c r="AP5" s="165">
        <v>0.2283</v>
      </c>
      <c r="AQ5" s="165">
        <v>0.2157</v>
      </c>
      <c r="AR5" s="165">
        <v>0.20230000000000001</v>
      </c>
      <c r="AS5" s="165">
        <v>0.18870000000000001</v>
      </c>
      <c r="AT5" s="165">
        <v>0.17469999999999999</v>
      </c>
      <c r="AU5" s="165">
        <v>0.1608</v>
      </c>
      <c r="AV5" s="165">
        <v>0.14899999999999999</v>
      </c>
      <c r="AW5" s="165">
        <v>0.13639999999999999</v>
      </c>
      <c r="AX5" s="165">
        <v>0.12509999999999999</v>
      </c>
      <c r="AY5" s="165">
        <v>0.1157</v>
      </c>
      <c r="AZ5" s="165">
        <v>0.1057</v>
      </c>
      <c r="BA5" s="165">
        <v>9.4100000000000003E-2</v>
      </c>
      <c r="BB5" s="165">
        <v>8.3500000000000005E-2</v>
      </c>
      <c r="BC5" s="165">
        <v>7.3899999999999993E-2</v>
      </c>
      <c r="BD5" s="165">
        <v>6.5699999999999995E-2</v>
      </c>
      <c r="BE5" s="165">
        <v>5.62E-2</v>
      </c>
      <c r="BF5" s="165">
        <v>4.7300000000000002E-2</v>
      </c>
      <c r="BG5" s="165">
        <v>3.7600000000000001E-2</v>
      </c>
      <c r="BH5" s="165">
        <v>2.9899999999999999E-2</v>
      </c>
      <c r="BI5" s="165">
        <v>1.89E-2</v>
      </c>
      <c r="BJ5" s="165">
        <v>1.0699999999999999E-2</v>
      </c>
      <c r="BK5" s="166">
        <v>0</v>
      </c>
      <c r="BL5" s="126"/>
    </row>
    <row r="6" spans="2:64">
      <c r="B6" s="126"/>
      <c r="C6" s="12" t="str">
        <f>INDEX(_pcName,2)</f>
        <v>Axial Unhoused</v>
      </c>
      <c r="D6" s="165">
        <v>1</v>
      </c>
      <c r="E6" s="165">
        <v>1</v>
      </c>
      <c r="F6" s="165">
        <v>1</v>
      </c>
      <c r="G6" s="165">
        <v>1</v>
      </c>
      <c r="H6" s="165">
        <v>1</v>
      </c>
      <c r="I6" s="165">
        <v>1</v>
      </c>
      <c r="J6" s="165">
        <v>0.99609999999999999</v>
      </c>
      <c r="K6" s="165">
        <v>0.98570000000000002</v>
      </c>
      <c r="L6" s="165">
        <v>0.97189999999999999</v>
      </c>
      <c r="M6" s="165">
        <v>0.95840000000000003</v>
      </c>
      <c r="N6" s="165">
        <v>0.94289999999999996</v>
      </c>
      <c r="O6" s="165">
        <v>0.92120000000000002</v>
      </c>
      <c r="P6" s="165">
        <v>0.89810000000000001</v>
      </c>
      <c r="Q6" s="165">
        <v>0.87129999999999996</v>
      </c>
      <c r="R6" s="165">
        <v>0.84450000000000003</v>
      </c>
      <c r="S6" s="165">
        <v>0.81589999999999996</v>
      </c>
      <c r="T6" s="165">
        <v>0.78710000000000002</v>
      </c>
      <c r="U6" s="165">
        <v>0.75339999999999996</v>
      </c>
      <c r="V6" s="165">
        <v>0.72060000000000002</v>
      </c>
      <c r="W6" s="165">
        <v>0.68930000000000002</v>
      </c>
      <c r="X6" s="165">
        <v>0.65510000000000002</v>
      </c>
      <c r="Y6" s="165">
        <v>0.62090000000000001</v>
      </c>
      <c r="Z6" s="165">
        <v>0.58750000000000002</v>
      </c>
      <c r="AA6" s="165">
        <v>0.55220000000000002</v>
      </c>
      <c r="AB6" s="165">
        <v>0.52159999999999995</v>
      </c>
      <c r="AC6" s="165">
        <v>0.4914</v>
      </c>
      <c r="AD6" s="165">
        <v>0.46529999999999999</v>
      </c>
      <c r="AE6" s="165">
        <v>0.43530000000000002</v>
      </c>
      <c r="AF6" s="165">
        <v>0.40739999999999998</v>
      </c>
      <c r="AG6" s="165">
        <v>0.38200000000000001</v>
      </c>
      <c r="AH6" s="165">
        <v>0.3548</v>
      </c>
      <c r="AI6" s="165">
        <v>0.33350000000000002</v>
      </c>
      <c r="AJ6" s="165">
        <v>0.30790000000000001</v>
      </c>
      <c r="AK6" s="165">
        <v>0.28689999999999999</v>
      </c>
      <c r="AL6" s="165">
        <v>0.26740000000000003</v>
      </c>
      <c r="AM6" s="165">
        <v>0.248</v>
      </c>
      <c r="AN6" s="165">
        <v>0.2281</v>
      </c>
      <c r="AO6" s="165">
        <v>0.2112</v>
      </c>
      <c r="AP6" s="165">
        <v>0.19750000000000001</v>
      </c>
      <c r="AQ6" s="165">
        <v>0.1837</v>
      </c>
      <c r="AR6" s="165">
        <v>0.1696</v>
      </c>
      <c r="AS6" s="165">
        <v>0.15379999999999999</v>
      </c>
      <c r="AT6" s="165">
        <v>0.1414</v>
      </c>
      <c r="AU6" s="165">
        <v>0.13070000000000001</v>
      </c>
      <c r="AV6" s="165">
        <v>0.1196</v>
      </c>
      <c r="AW6" s="165">
        <v>0.1085</v>
      </c>
      <c r="AX6" s="165">
        <v>9.8000000000000004E-2</v>
      </c>
      <c r="AY6" s="165">
        <v>8.8099999999999998E-2</v>
      </c>
      <c r="AZ6" s="165">
        <v>7.9299999999999995E-2</v>
      </c>
      <c r="BA6" s="165">
        <v>6.88E-2</v>
      </c>
      <c r="BB6" s="165">
        <v>5.9900000000000002E-2</v>
      </c>
      <c r="BC6" s="165">
        <v>5.1700000000000003E-2</v>
      </c>
      <c r="BD6" s="165">
        <v>4.48E-2</v>
      </c>
      <c r="BE6" s="165">
        <v>3.7900000000000003E-2</v>
      </c>
      <c r="BF6" s="165">
        <v>2.9600000000000001E-2</v>
      </c>
      <c r="BG6" s="165">
        <v>2.35E-2</v>
      </c>
      <c r="BH6" s="165">
        <v>1.78E-2</v>
      </c>
      <c r="BI6" s="165">
        <v>1.0800000000000001E-2</v>
      </c>
      <c r="BJ6" s="165">
        <v>6.0000000000000001E-3</v>
      </c>
      <c r="BK6" s="166">
        <v>0</v>
      </c>
      <c r="BL6" s="126"/>
    </row>
    <row r="7" spans="2:64">
      <c r="B7" s="126"/>
      <c r="C7" s="12" t="str">
        <f>INDEX(_pcName,3)</f>
        <v>Centrif Housed</v>
      </c>
      <c r="D7" s="165">
        <v>1</v>
      </c>
      <c r="E7" s="165">
        <v>1</v>
      </c>
      <c r="F7" s="165">
        <v>1</v>
      </c>
      <c r="G7" s="165">
        <v>1</v>
      </c>
      <c r="H7" s="165">
        <v>1</v>
      </c>
      <c r="I7" s="165">
        <v>1</v>
      </c>
      <c r="J7" s="165">
        <v>0.995</v>
      </c>
      <c r="K7" s="165">
        <v>0.98640000000000005</v>
      </c>
      <c r="L7" s="165">
        <v>0.97430000000000005</v>
      </c>
      <c r="M7" s="165">
        <v>0.95930000000000004</v>
      </c>
      <c r="N7" s="165">
        <v>0.93920000000000003</v>
      </c>
      <c r="O7" s="165">
        <v>0.91690000000000005</v>
      </c>
      <c r="P7" s="165">
        <v>0.89019999999999999</v>
      </c>
      <c r="Q7" s="165">
        <v>0.86450000000000005</v>
      </c>
      <c r="R7" s="165">
        <v>0.83799999999999997</v>
      </c>
      <c r="S7" s="165">
        <v>0.80589999999999995</v>
      </c>
      <c r="T7" s="165">
        <v>0.77729999999999999</v>
      </c>
      <c r="U7" s="165">
        <v>0.7429</v>
      </c>
      <c r="V7" s="165">
        <v>0.71030000000000004</v>
      </c>
      <c r="W7" s="165">
        <v>0.67390000000000005</v>
      </c>
      <c r="X7" s="165">
        <v>0.63990000000000002</v>
      </c>
      <c r="Y7" s="165">
        <v>0.60780000000000001</v>
      </c>
      <c r="Z7" s="165">
        <v>0.57569999999999999</v>
      </c>
      <c r="AA7" s="165">
        <v>0.5403</v>
      </c>
      <c r="AB7" s="165">
        <v>0.50739999999999996</v>
      </c>
      <c r="AC7" s="165">
        <v>0.47389999999999999</v>
      </c>
      <c r="AD7" s="165">
        <v>0.44429999999999997</v>
      </c>
      <c r="AE7" s="165">
        <v>0.41249999999999998</v>
      </c>
      <c r="AF7" s="165">
        <v>0.38540000000000002</v>
      </c>
      <c r="AG7" s="165">
        <v>0.35589999999999999</v>
      </c>
      <c r="AH7" s="165">
        <v>0.33029999999999998</v>
      </c>
      <c r="AI7" s="165">
        <v>0.30620000000000003</v>
      </c>
      <c r="AJ7" s="165">
        <v>0.2797</v>
      </c>
      <c r="AK7" s="165">
        <v>0.25769999999999998</v>
      </c>
      <c r="AL7" s="165">
        <v>0.2359</v>
      </c>
      <c r="AM7" s="165">
        <v>0.2137</v>
      </c>
      <c r="AN7" s="165">
        <v>0.19309999999999999</v>
      </c>
      <c r="AO7" s="165">
        <v>0.1759</v>
      </c>
      <c r="AP7" s="165">
        <v>0.16139999999999999</v>
      </c>
      <c r="AQ7" s="165">
        <v>0.1474</v>
      </c>
      <c r="AR7" s="165">
        <v>0.13389999999999999</v>
      </c>
      <c r="AS7" s="165">
        <v>0.1227</v>
      </c>
      <c r="AT7" s="165">
        <v>0.1091</v>
      </c>
      <c r="AU7" s="165">
        <v>9.74E-2</v>
      </c>
      <c r="AV7" s="165">
        <v>8.7499999999999994E-2</v>
      </c>
      <c r="AW7" s="165">
        <v>7.6799999999999993E-2</v>
      </c>
      <c r="AX7" s="165">
        <v>6.7799999999999999E-2</v>
      </c>
      <c r="AY7" s="165">
        <v>5.9200000000000003E-2</v>
      </c>
      <c r="AZ7" s="165">
        <v>5.33E-2</v>
      </c>
      <c r="BA7" s="165">
        <v>4.5100000000000001E-2</v>
      </c>
      <c r="BB7" s="165">
        <v>3.85E-2</v>
      </c>
      <c r="BC7" s="165">
        <v>3.3700000000000001E-2</v>
      </c>
      <c r="BD7" s="165">
        <v>2.8899999999999999E-2</v>
      </c>
      <c r="BE7" s="165">
        <v>2.41E-2</v>
      </c>
      <c r="BF7" s="165">
        <v>1.78E-2</v>
      </c>
      <c r="BG7" s="165">
        <v>1.44E-2</v>
      </c>
      <c r="BH7" s="165">
        <v>1.04E-2</v>
      </c>
      <c r="BI7" s="165">
        <v>6.7999999999999996E-3</v>
      </c>
      <c r="BJ7" s="165">
        <v>3.3999999999999998E-3</v>
      </c>
      <c r="BK7" s="166">
        <v>0</v>
      </c>
      <c r="BL7" s="126"/>
    </row>
    <row r="8" spans="2:64">
      <c r="B8" s="126"/>
      <c r="C8" s="12" t="str">
        <f>INDEX(_pcName,4)</f>
        <v>Centrif Unhous</v>
      </c>
      <c r="D8" s="165">
        <v>1</v>
      </c>
      <c r="E8" s="165">
        <v>1</v>
      </c>
      <c r="F8" s="165">
        <v>1</v>
      </c>
      <c r="G8" s="165">
        <v>1</v>
      </c>
      <c r="H8" s="165">
        <v>1</v>
      </c>
      <c r="I8" s="165">
        <v>1</v>
      </c>
      <c r="J8" s="165">
        <v>0.99470000000000003</v>
      </c>
      <c r="K8" s="165">
        <v>0.98560000000000003</v>
      </c>
      <c r="L8" s="165">
        <v>0.97430000000000005</v>
      </c>
      <c r="M8" s="165">
        <v>0.95789999999999997</v>
      </c>
      <c r="N8" s="165">
        <v>0.94020000000000004</v>
      </c>
      <c r="O8" s="165">
        <v>0.91790000000000005</v>
      </c>
      <c r="P8" s="165">
        <v>0.89510000000000001</v>
      </c>
      <c r="Q8" s="165">
        <v>0.872</v>
      </c>
      <c r="R8" s="165">
        <v>0.84160000000000001</v>
      </c>
      <c r="S8" s="165">
        <v>0.81179999999999997</v>
      </c>
      <c r="T8" s="165">
        <v>0.77669999999999995</v>
      </c>
      <c r="U8" s="165">
        <v>0.74199999999999999</v>
      </c>
      <c r="V8" s="165">
        <v>0.70779999999999998</v>
      </c>
      <c r="W8" s="165">
        <v>0.67379999999999995</v>
      </c>
      <c r="X8" s="165">
        <v>0.63460000000000005</v>
      </c>
      <c r="Y8" s="165">
        <v>0.60160000000000002</v>
      </c>
      <c r="Z8" s="165">
        <v>0.56840000000000002</v>
      </c>
      <c r="AA8" s="165">
        <v>0.53459999999999996</v>
      </c>
      <c r="AB8" s="165">
        <v>0.50380000000000003</v>
      </c>
      <c r="AC8" s="165">
        <v>0.46879999999999999</v>
      </c>
      <c r="AD8" s="165">
        <v>0.43790000000000001</v>
      </c>
      <c r="AE8" s="165">
        <v>0.4073</v>
      </c>
      <c r="AF8" s="165">
        <v>0.37969999999999998</v>
      </c>
      <c r="AG8" s="165">
        <v>0.35049999999999998</v>
      </c>
      <c r="AH8" s="165">
        <v>0.3231</v>
      </c>
      <c r="AI8" s="165">
        <v>0.30120000000000002</v>
      </c>
      <c r="AJ8" s="165">
        <v>0.27589999999999998</v>
      </c>
      <c r="AK8" s="165">
        <v>0.25119999999999998</v>
      </c>
      <c r="AL8" s="165">
        <v>0.23100000000000001</v>
      </c>
      <c r="AM8" s="165">
        <v>0.21029999999999999</v>
      </c>
      <c r="AN8" s="165">
        <v>0.19120000000000001</v>
      </c>
      <c r="AO8" s="165">
        <v>0.17630000000000001</v>
      </c>
      <c r="AP8" s="165">
        <v>0.16270000000000001</v>
      </c>
      <c r="AQ8" s="165">
        <v>0.14799999999999999</v>
      </c>
      <c r="AR8" s="165">
        <v>0.13189999999999999</v>
      </c>
      <c r="AS8" s="165">
        <v>0.1195</v>
      </c>
      <c r="AT8" s="165">
        <v>0.1065</v>
      </c>
      <c r="AU8" s="165">
        <v>9.6500000000000002E-2</v>
      </c>
      <c r="AV8" s="165">
        <v>8.5900000000000004E-2</v>
      </c>
      <c r="AW8" s="165">
        <v>7.6799999999999993E-2</v>
      </c>
      <c r="AX8" s="165">
        <v>6.6699999999999995E-2</v>
      </c>
      <c r="AY8" s="165">
        <v>5.9299999999999999E-2</v>
      </c>
      <c r="AZ8" s="165">
        <v>5.1999999999999998E-2</v>
      </c>
      <c r="BA8" s="165">
        <v>4.65E-2</v>
      </c>
      <c r="BB8" s="165">
        <v>3.9800000000000002E-2</v>
      </c>
      <c r="BC8" s="165">
        <v>3.4200000000000001E-2</v>
      </c>
      <c r="BD8" s="165">
        <v>2.8400000000000002E-2</v>
      </c>
      <c r="BE8" s="165">
        <v>2.1999999999999999E-2</v>
      </c>
      <c r="BF8" s="165">
        <v>1.72E-2</v>
      </c>
      <c r="BG8" s="165">
        <v>1.2699999999999999E-2</v>
      </c>
      <c r="BH8" s="165">
        <v>8.3000000000000001E-3</v>
      </c>
      <c r="BI8" s="165">
        <v>5.5999999999999999E-3</v>
      </c>
      <c r="BJ8" s="165">
        <v>2.5000000000000001E-3</v>
      </c>
      <c r="BK8" s="166">
        <v>0</v>
      </c>
      <c r="BL8" s="126"/>
    </row>
    <row r="9" spans="2:64">
      <c r="B9" s="126"/>
      <c r="C9" s="12" t="str">
        <f>INDEX(_pcName,5)</f>
        <v>Inline-Mixed</v>
      </c>
      <c r="D9" s="165">
        <v>1</v>
      </c>
      <c r="E9" s="165">
        <v>1</v>
      </c>
      <c r="F9" s="165">
        <v>1</v>
      </c>
      <c r="G9" s="165">
        <v>1</v>
      </c>
      <c r="H9" s="165">
        <v>1</v>
      </c>
      <c r="I9" s="165">
        <v>1</v>
      </c>
      <c r="J9" s="165">
        <v>0.99509999999999998</v>
      </c>
      <c r="K9" s="165">
        <v>0.9859</v>
      </c>
      <c r="L9" s="165">
        <v>0.97360000000000002</v>
      </c>
      <c r="M9" s="165">
        <v>0.95640000000000003</v>
      </c>
      <c r="N9" s="165">
        <v>0.9345</v>
      </c>
      <c r="O9" s="165">
        <v>0.91310000000000002</v>
      </c>
      <c r="P9" s="165">
        <v>0.88660000000000005</v>
      </c>
      <c r="Q9" s="165">
        <v>0.86050000000000004</v>
      </c>
      <c r="R9" s="165">
        <v>0.83169999999999999</v>
      </c>
      <c r="S9" s="165">
        <v>0.79979999999999996</v>
      </c>
      <c r="T9" s="165">
        <v>0.77259999999999995</v>
      </c>
      <c r="U9" s="165">
        <v>0.74250000000000005</v>
      </c>
      <c r="V9" s="165">
        <v>0.71</v>
      </c>
      <c r="W9" s="165">
        <v>0.67800000000000005</v>
      </c>
      <c r="X9" s="165">
        <v>0.6452</v>
      </c>
      <c r="Y9" s="165">
        <v>0.61029999999999995</v>
      </c>
      <c r="Z9" s="165">
        <v>0.57709999999999995</v>
      </c>
      <c r="AA9" s="165">
        <v>0.54010000000000002</v>
      </c>
      <c r="AB9" s="165">
        <v>0.50900000000000001</v>
      </c>
      <c r="AC9" s="165">
        <v>0.4768</v>
      </c>
      <c r="AD9" s="165">
        <v>0.44340000000000002</v>
      </c>
      <c r="AE9" s="165">
        <v>0.41610000000000003</v>
      </c>
      <c r="AF9" s="165">
        <v>0.3846</v>
      </c>
      <c r="AG9" s="165">
        <v>0.35820000000000002</v>
      </c>
      <c r="AH9" s="165">
        <v>0.32819999999999999</v>
      </c>
      <c r="AI9" s="165">
        <v>0.29980000000000001</v>
      </c>
      <c r="AJ9" s="165">
        <v>0.27539999999999998</v>
      </c>
      <c r="AK9" s="165">
        <v>0.25409999999999999</v>
      </c>
      <c r="AL9" s="165">
        <v>0.23519999999999999</v>
      </c>
      <c r="AM9" s="165">
        <v>0.21360000000000001</v>
      </c>
      <c r="AN9" s="165">
        <v>0.19570000000000001</v>
      </c>
      <c r="AO9" s="165">
        <v>0.17610000000000001</v>
      </c>
      <c r="AP9" s="165">
        <v>0.15959999999999999</v>
      </c>
      <c r="AQ9" s="165">
        <v>0.1429</v>
      </c>
      <c r="AR9" s="165">
        <v>0.1298</v>
      </c>
      <c r="AS9" s="165">
        <v>0.11799999999999999</v>
      </c>
      <c r="AT9" s="165">
        <v>0.10580000000000001</v>
      </c>
      <c r="AU9" s="165">
        <v>9.7100000000000006E-2</v>
      </c>
      <c r="AV9" s="165">
        <v>8.6400000000000005E-2</v>
      </c>
      <c r="AW9" s="165">
        <v>7.6399999999999996E-2</v>
      </c>
      <c r="AX9" s="165">
        <v>6.7199999999999996E-2</v>
      </c>
      <c r="AY9" s="165">
        <v>6.0299999999999999E-2</v>
      </c>
      <c r="AZ9" s="165">
        <v>5.2400000000000002E-2</v>
      </c>
      <c r="BA9" s="165">
        <v>4.4400000000000002E-2</v>
      </c>
      <c r="BB9" s="165">
        <v>3.7900000000000003E-2</v>
      </c>
      <c r="BC9" s="165">
        <v>3.32E-2</v>
      </c>
      <c r="BD9" s="165">
        <v>2.7E-2</v>
      </c>
      <c r="BE9" s="165">
        <v>2.2700000000000001E-2</v>
      </c>
      <c r="BF9" s="165">
        <v>1.7899999999999999E-2</v>
      </c>
      <c r="BG9" s="165">
        <v>1.34E-2</v>
      </c>
      <c r="BH9" s="165">
        <v>9.2999999999999992E-3</v>
      </c>
      <c r="BI9" s="165">
        <v>6.3E-3</v>
      </c>
      <c r="BJ9" s="165">
        <v>2.3999999999999998E-3</v>
      </c>
      <c r="BK9" s="166">
        <v>0</v>
      </c>
      <c r="BL9" s="126"/>
    </row>
    <row r="10" spans="2:64">
      <c r="B10" s="126"/>
      <c r="C10" s="12" t="str">
        <f>INDEX(_pcName,6)</f>
        <v>Radial</v>
      </c>
      <c r="D10" s="230">
        <v>1</v>
      </c>
      <c r="E10" s="230">
        <v>1</v>
      </c>
      <c r="F10" s="230">
        <v>1</v>
      </c>
      <c r="G10" s="230">
        <v>1</v>
      </c>
      <c r="H10" s="230">
        <v>1</v>
      </c>
      <c r="I10" s="230">
        <v>1</v>
      </c>
      <c r="J10" s="230">
        <v>0.99309999999999998</v>
      </c>
      <c r="K10" s="230">
        <v>0.98399999999999999</v>
      </c>
      <c r="L10" s="230">
        <v>0.97030000000000005</v>
      </c>
      <c r="M10" s="230">
        <v>0.95569999999999999</v>
      </c>
      <c r="N10" s="230">
        <v>0.93600000000000005</v>
      </c>
      <c r="O10" s="230">
        <v>0.91790000000000005</v>
      </c>
      <c r="P10" s="230">
        <v>0.89880000000000004</v>
      </c>
      <c r="Q10" s="230">
        <v>0.87319999999999998</v>
      </c>
      <c r="R10" s="230">
        <v>0.84889999999999999</v>
      </c>
      <c r="S10" s="230">
        <v>0.8226</v>
      </c>
      <c r="T10" s="230">
        <v>0.79710000000000003</v>
      </c>
      <c r="U10" s="230">
        <v>0.77080000000000004</v>
      </c>
      <c r="V10" s="230">
        <v>0.74129999999999996</v>
      </c>
      <c r="W10" s="230">
        <v>0.7147</v>
      </c>
      <c r="X10" s="230">
        <v>0.68810000000000004</v>
      </c>
      <c r="Y10" s="230">
        <v>0.66059999999999997</v>
      </c>
      <c r="Z10" s="230">
        <v>0.63249999999999995</v>
      </c>
      <c r="AA10" s="230">
        <v>0.60170000000000001</v>
      </c>
      <c r="AB10" s="230">
        <v>0.57299999999999995</v>
      </c>
      <c r="AC10" s="230">
        <v>0.54479999999999995</v>
      </c>
      <c r="AD10" s="230">
        <v>0.51749999999999996</v>
      </c>
      <c r="AE10" s="230">
        <v>0.49330000000000002</v>
      </c>
      <c r="AF10" s="230">
        <v>0.46929999999999999</v>
      </c>
      <c r="AG10" s="230">
        <v>0.44669999999999999</v>
      </c>
      <c r="AH10" s="230">
        <v>0.42080000000000001</v>
      </c>
      <c r="AI10" s="230">
        <v>0.3967</v>
      </c>
      <c r="AJ10" s="230">
        <v>0.37580000000000002</v>
      </c>
      <c r="AK10" s="230">
        <v>0.3574</v>
      </c>
      <c r="AL10" s="230">
        <v>0.3367</v>
      </c>
      <c r="AM10" s="230">
        <v>0.31680000000000003</v>
      </c>
      <c r="AN10" s="230">
        <v>0.3</v>
      </c>
      <c r="AO10" s="230">
        <v>0.28360000000000002</v>
      </c>
      <c r="AP10" s="230">
        <v>0.26790000000000003</v>
      </c>
      <c r="AQ10" s="230">
        <v>0.2515</v>
      </c>
      <c r="AR10" s="230">
        <v>0.23469999999999999</v>
      </c>
      <c r="AS10" s="230">
        <v>0.22009999999999999</v>
      </c>
      <c r="AT10" s="230">
        <v>0.20380000000000001</v>
      </c>
      <c r="AU10" s="230">
        <v>0.19259999999999999</v>
      </c>
      <c r="AV10" s="230">
        <v>0.1802</v>
      </c>
      <c r="AW10" s="230">
        <v>0.1661</v>
      </c>
      <c r="AX10" s="230">
        <v>0.15440000000000001</v>
      </c>
      <c r="AY10" s="230">
        <v>0.1416</v>
      </c>
      <c r="AZ10" s="230">
        <v>0.13109999999999999</v>
      </c>
      <c r="BA10" s="230">
        <v>0.1201</v>
      </c>
      <c r="BB10" s="230">
        <v>0.1082</v>
      </c>
      <c r="BC10" s="230">
        <v>9.6199999999999994E-2</v>
      </c>
      <c r="BD10" s="230">
        <v>8.3299999999999999E-2</v>
      </c>
      <c r="BE10" s="230">
        <v>7.0400000000000004E-2</v>
      </c>
      <c r="BF10" s="230">
        <v>5.8700000000000002E-2</v>
      </c>
      <c r="BG10" s="230">
        <v>4.6600000000000003E-2</v>
      </c>
      <c r="BH10" s="230">
        <v>3.6600000000000001E-2</v>
      </c>
      <c r="BI10" s="230">
        <v>2.4799999999999999E-2</v>
      </c>
      <c r="BJ10" s="230">
        <v>1.2699999999999999E-2</v>
      </c>
      <c r="BK10" s="231">
        <v>0</v>
      </c>
      <c r="BL10" s="126"/>
    </row>
    <row r="11" spans="2:64">
      <c r="B11" s="126"/>
      <c r="C11" s="4" t="str">
        <f>INDEX(_pcName,7)</f>
        <v>Power Roof Vent</v>
      </c>
      <c r="D11" s="167">
        <v>1</v>
      </c>
      <c r="E11" s="167">
        <v>1</v>
      </c>
      <c r="F11" s="167">
        <v>1</v>
      </c>
      <c r="G11" s="167">
        <v>1</v>
      </c>
      <c r="H11" s="167">
        <v>1</v>
      </c>
      <c r="I11" s="167">
        <v>1</v>
      </c>
      <c r="J11" s="167">
        <v>0.99360000000000004</v>
      </c>
      <c r="K11" s="167">
        <v>0.98499999999999999</v>
      </c>
      <c r="L11" s="167">
        <v>0.97240000000000004</v>
      </c>
      <c r="M11" s="167">
        <v>0.95860000000000001</v>
      </c>
      <c r="N11" s="167">
        <v>0.94030000000000002</v>
      </c>
      <c r="O11" s="167">
        <v>0.92</v>
      </c>
      <c r="P11" s="167">
        <v>0.89580000000000004</v>
      </c>
      <c r="Q11" s="167">
        <v>0.87</v>
      </c>
      <c r="R11" s="167">
        <v>0.84509999999999996</v>
      </c>
      <c r="S11" s="167">
        <v>0.81579999999999997</v>
      </c>
      <c r="T11" s="167">
        <v>0.78920000000000001</v>
      </c>
      <c r="U11" s="167">
        <v>0.7601</v>
      </c>
      <c r="V11" s="167">
        <v>0.72870000000000001</v>
      </c>
      <c r="W11" s="167">
        <v>0.69879999999999998</v>
      </c>
      <c r="X11" s="167">
        <v>0.66720000000000002</v>
      </c>
      <c r="Y11" s="167">
        <v>0.63739999999999997</v>
      </c>
      <c r="Z11" s="167">
        <v>0.60699999999999998</v>
      </c>
      <c r="AA11" s="167">
        <v>0.57469999999999999</v>
      </c>
      <c r="AB11" s="167">
        <v>0.54400000000000004</v>
      </c>
      <c r="AC11" s="167">
        <v>0.51719999999999999</v>
      </c>
      <c r="AD11" s="167">
        <v>0.49</v>
      </c>
      <c r="AE11" s="167">
        <v>0.4657</v>
      </c>
      <c r="AF11" s="167">
        <v>0.44030000000000002</v>
      </c>
      <c r="AG11" s="167">
        <v>0.41610000000000003</v>
      </c>
      <c r="AH11" s="167">
        <v>0.39340000000000003</v>
      </c>
      <c r="AI11" s="167">
        <v>0.37</v>
      </c>
      <c r="AJ11" s="167">
        <v>0.35099999999999998</v>
      </c>
      <c r="AK11" s="167">
        <v>0.33100000000000002</v>
      </c>
      <c r="AL11" s="167">
        <v>0.31290000000000001</v>
      </c>
      <c r="AM11" s="167">
        <v>0.29559999999999997</v>
      </c>
      <c r="AN11" s="167">
        <v>0.27739999999999998</v>
      </c>
      <c r="AO11" s="167">
        <v>0.26140000000000002</v>
      </c>
      <c r="AP11" s="167">
        <v>0.24640000000000001</v>
      </c>
      <c r="AQ11" s="167">
        <v>0.23250000000000001</v>
      </c>
      <c r="AR11" s="167">
        <v>0.21920000000000001</v>
      </c>
      <c r="AS11" s="167">
        <v>0.20680000000000001</v>
      </c>
      <c r="AT11" s="167">
        <v>0.1925</v>
      </c>
      <c r="AU11" s="167">
        <v>0.18190000000000001</v>
      </c>
      <c r="AV11" s="167">
        <v>0.16950000000000001</v>
      </c>
      <c r="AW11" s="167">
        <v>0.15690000000000001</v>
      </c>
      <c r="AX11" s="167">
        <v>0.14480000000000001</v>
      </c>
      <c r="AY11" s="167">
        <v>0.13239999999999999</v>
      </c>
      <c r="AZ11" s="167">
        <v>0.1208</v>
      </c>
      <c r="BA11" s="167">
        <v>0.1103</v>
      </c>
      <c r="BB11" s="167">
        <v>9.7699999999999995E-2</v>
      </c>
      <c r="BC11" s="167">
        <v>8.5500000000000007E-2</v>
      </c>
      <c r="BD11" s="167">
        <v>7.4099999999999999E-2</v>
      </c>
      <c r="BE11" s="167">
        <v>6.0999999999999999E-2</v>
      </c>
      <c r="BF11" s="167">
        <v>5.1499999999999997E-2</v>
      </c>
      <c r="BG11" s="167">
        <v>4.02E-2</v>
      </c>
      <c r="BH11" s="167">
        <v>2.9100000000000001E-2</v>
      </c>
      <c r="BI11" s="167">
        <v>1.9599999999999999E-2</v>
      </c>
      <c r="BJ11" s="167">
        <v>8.8000000000000005E-3</v>
      </c>
      <c r="BK11" s="168">
        <v>0</v>
      </c>
      <c r="BL11" s="126"/>
    </row>
    <row r="12" spans="2:64">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row>
    <row r="13" spans="2:64">
      <c r="D13" s="127"/>
      <c r="E13" s="127"/>
      <c r="F13" s="127"/>
      <c r="G13" s="127"/>
    </row>
    <row r="15" spans="2:64">
      <c r="C15" s="257" t="s">
        <v>85</v>
      </c>
      <c r="D15" s="257"/>
      <c r="E15" s="257"/>
      <c r="F15" s="257"/>
      <c r="G15" s="257"/>
      <c r="H15" s="257"/>
      <c r="I15" s="257"/>
      <c r="J15" s="257"/>
      <c r="K15" s="257"/>
      <c r="L15" s="257"/>
      <c r="M15" s="257"/>
      <c r="N15" s="257"/>
      <c r="O15" s="257"/>
      <c r="P15" s="257"/>
      <c r="Q15" s="257"/>
      <c r="R15" s="257"/>
    </row>
    <row r="16" spans="2:64" ht="15" customHeight="1">
      <c r="C16" s="256" t="s">
        <v>133</v>
      </c>
      <c r="D16" s="256"/>
      <c r="E16" s="256"/>
      <c r="F16" s="256"/>
      <c r="G16" s="256"/>
      <c r="H16" s="256"/>
      <c r="I16" s="256"/>
      <c r="J16" s="256"/>
      <c r="K16" s="256"/>
      <c r="L16" s="256"/>
      <c r="M16" s="256"/>
      <c r="N16" s="256"/>
      <c r="O16" s="256"/>
      <c r="P16" s="256"/>
      <c r="Q16" s="256"/>
      <c r="R16" s="256"/>
    </row>
    <row r="17" spans="3:18">
      <c r="C17" s="256"/>
      <c r="D17" s="256"/>
      <c r="E17" s="256"/>
      <c r="F17" s="256"/>
      <c r="G17" s="256"/>
      <c r="H17" s="256"/>
      <c r="I17" s="256"/>
      <c r="J17" s="256"/>
      <c r="K17" s="256"/>
      <c r="L17" s="256"/>
      <c r="M17" s="256"/>
      <c r="N17" s="256"/>
      <c r="O17" s="256"/>
      <c r="P17" s="256"/>
      <c r="Q17" s="256"/>
      <c r="R17" s="256"/>
    </row>
    <row r="18" spans="3:18">
      <c r="C18" s="256"/>
      <c r="D18" s="256"/>
      <c r="E18" s="256"/>
      <c r="F18" s="256"/>
      <c r="G18" s="256"/>
      <c r="H18" s="256"/>
      <c r="I18" s="256"/>
      <c r="J18" s="256"/>
      <c r="K18" s="256"/>
      <c r="L18" s="256"/>
      <c r="M18" s="256"/>
      <c r="N18" s="256"/>
      <c r="O18" s="256"/>
      <c r="P18" s="256"/>
      <c r="Q18" s="256"/>
      <c r="R18" s="256"/>
    </row>
    <row r="19" spans="3:18">
      <c r="C19" s="256"/>
      <c r="D19" s="256"/>
      <c r="E19" s="256"/>
      <c r="F19" s="256"/>
      <c r="G19" s="256"/>
      <c r="H19" s="256"/>
      <c r="I19" s="256"/>
      <c r="J19" s="256"/>
      <c r="K19" s="256"/>
      <c r="L19" s="256"/>
      <c r="M19" s="256"/>
      <c r="N19" s="256"/>
      <c r="O19" s="256"/>
      <c r="P19" s="256"/>
      <c r="Q19" s="256"/>
      <c r="R19" s="256"/>
    </row>
    <row r="20" spans="3:18">
      <c r="C20" s="256"/>
      <c r="D20" s="256"/>
      <c r="E20" s="256"/>
      <c r="F20" s="256"/>
      <c r="G20" s="256"/>
      <c r="H20" s="256"/>
      <c r="I20" s="256"/>
      <c r="J20" s="256"/>
      <c r="K20" s="256"/>
      <c r="L20" s="256"/>
      <c r="M20" s="256"/>
      <c r="N20" s="256"/>
      <c r="O20" s="256"/>
      <c r="P20" s="256"/>
      <c r="Q20" s="256"/>
      <c r="R20" s="256"/>
    </row>
    <row r="21" spans="3:18">
      <c r="C21" s="256"/>
      <c r="D21" s="256"/>
      <c r="E21" s="256"/>
      <c r="F21" s="256"/>
      <c r="G21" s="256"/>
      <c r="H21" s="256"/>
      <c r="I21" s="256"/>
      <c r="J21" s="256"/>
      <c r="K21" s="256"/>
      <c r="L21" s="256"/>
      <c r="M21" s="256"/>
      <c r="N21" s="256"/>
      <c r="O21" s="256"/>
      <c r="P21" s="256"/>
      <c r="Q21" s="256"/>
      <c r="R21" s="256"/>
    </row>
    <row r="22" spans="3:18">
      <c r="C22" s="256"/>
      <c r="D22" s="256"/>
      <c r="E22" s="256"/>
      <c r="F22" s="256"/>
      <c r="G22" s="256"/>
      <c r="H22" s="256"/>
      <c r="I22" s="256"/>
      <c r="J22" s="256"/>
      <c r="K22" s="256"/>
      <c r="L22" s="256"/>
      <c r="M22" s="256"/>
      <c r="N22" s="256"/>
      <c r="O22" s="256"/>
      <c r="P22" s="256"/>
      <c r="Q22" s="256"/>
      <c r="R22" s="256"/>
    </row>
    <row r="23" spans="3:18">
      <c r="C23" s="256"/>
      <c r="D23" s="256"/>
      <c r="E23" s="256"/>
      <c r="F23" s="256"/>
      <c r="G23" s="256"/>
      <c r="H23" s="256"/>
      <c r="I23" s="256"/>
      <c r="J23" s="256"/>
      <c r="K23" s="256"/>
      <c r="L23" s="256"/>
      <c r="M23" s="256"/>
      <c r="N23" s="256"/>
      <c r="O23" s="256"/>
      <c r="P23" s="256"/>
      <c r="Q23" s="256"/>
      <c r="R23" s="256"/>
    </row>
    <row r="24" spans="3:18">
      <c r="C24" s="256"/>
      <c r="D24" s="256"/>
      <c r="E24" s="256"/>
      <c r="F24" s="256"/>
      <c r="G24" s="256"/>
      <c r="H24" s="256"/>
      <c r="I24" s="256"/>
      <c r="J24" s="256"/>
      <c r="K24" s="256"/>
      <c r="L24" s="256"/>
      <c r="M24" s="256"/>
      <c r="N24" s="256"/>
      <c r="O24" s="256"/>
      <c r="P24" s="256"/>
      <c r="Q24" s="256"/>
      <c r="R24" s="256"/>
    </row>
    <row r="25" spans="3:18">
      <c r="C25" s="256"/>
      <c r="D25" s="256"/>
      <c r="E25" s="256"/>
      <c r="F25" s="256"/>
      <c r="G25" s="256"/>
      <c r="H25" s="256"/>
      <c r="I25" s="256"/>
      <c r="J25" s="256"/>
      <c r="K25" s="256"/>
      <c r="L25" s="256"/>
      <c r="M25" s="256"/>
      <c r="N25" s="256"/>
      <c r="O25" s="256"/>
      <c r="P25" s="256"/>
      <c r="Q25" s="256"/>
      <c r="R25" s="256"/>
    </row>
    <row r="26" spans="3:18">
      <c r="C26" s="256"/>
      <c r="D26" s="256"/>
      <c r="E26" s="256"/>
      <c r="F26" s="256"/>
      <c r="G26" s="256"/>
      <c r="H26" s="256"/>
      <c r="I26" s="256"/>
      <c r="J26" s="256"/>
      <c r="K26" s="256"/>
      <c r="L26" s="256"/>
      <c r="M26" s="256"/>
      <c r="N26" s="256"/>
      <c r="O26" s="256"/>
      <c r="P26" s="256"/>
      <c r="Q26" s="256"/>
      <c r="R26" s="256"/>
    </row>
    <row r="27" spans="3:18">
      <c r="C27" s="256"/>
      <c r="D27" s="256"/>
      <c r="E27" s="256"/>
      <c r="F27" s="256"/>
      <c r="G27" s="256"/>
      <c r="H27" s="256"/>
      <c r="I27" s="256"/>
      <c r="J27" s="256"/>
      <c r="K27" s="256"/>
      <c r="L27" s="256"/>
      <c r="M27" s="256"/>
      <c r="N27" s="256"/>
      <c r="O27" s="256"/>
      <c r="P27" s="256"/>
      <c r="Q27" s="256"/>
      <c r="R27" s="256"/>
    </row>
    <row r="28" spans="3:18">
      <c r="C28" s="256"/>
      <c r="D28" s="256"/>
      <c r="E28" s="256"/>
      <c r="F28" s="256"/>
      <c r="G28" s="256"/>
      <c r="H28" s="256"/>
      <c r="I28" s="256"/>
      <c r="J28" s="256"/>
      <c r="K28" s="256"/>
      <c r="L28" s="256"/>
      <c r="M28" s="256"/>
      <c r="N28" s="256"/>
      <c r="O28" s="256"/>
      <c r="P28" s="256"/>
      <c r="Q28" s="256"/>
      <c r="R28" s="256"/>
    </row>
    <row r="29" spans="3:18">
      <c r="C29" s="128"/>
      <c r="D29" s="128"/>
      <c r="E29" s="128"/>
      <c r="F29" s="128"/>
      <c r="G29" s="128"/>
      <c r="H29" s="128"/>
      <c r="I29" s="128"/>
      <c r="J29" s="128"/>
      <c r="K29" s="128"/>
      <c r="L29" s="128"/>
      <c r="M29" s="128"/>
    </row>
  </sheetData>
  <mergeCells count="2">
    <mergeCell ref="C16:R28"/>
    <mergeCell ref="C15:R15"/>
  </mergeCells>
  <conditionalFormatting sqref="D5:BK11">
    <cfRule type="containsBlanks" dxfId="578" priority="7" stopIfTrue="1">
      <formula>LEN(TRIM(D5))=0</formula>
    </cfRule>
    <cfRule type="notContainsBlanks" dxfId="577" priority="8" stopIfTrue="1">
      <formula>LEN(TRIM(D5))&gt;0</formula>
    </cfRule>
  </conditionalFormatting>
  <conditionalFormatting sqref="D6:BK6">
    <cfRule type="containsBlanks" dxfId="576" priority="9" stopIfTrue="1">
      <formula>LEN(TRIM(D6))=0</formula>
    </cfRule>
    <cfRule type="notContainsBlanks" dxfId="575" priority="10" stopIfTrue="1">
      <formula>LEN(TRIM(D6))&gt;0</formula>
    </cfRule>
  </conditionalFormatting>
  <conditionalFormatting sqref="D7:BK7">
    <cfRule type="containsBlanks" dxfId="574" priority="11" stopIfTrue="1">
      <formula>LEN(TRIM(D7))=0</formula>
    </cfRule>
    <cfRule type="notContainsBlanks" dxfId="573" priority="12" stopIfTrue="1">
      <formula>LEN(TRIM(D7))&gt;0</formula>
    </cfRule>
  </conditionalFormatting>
  <conditionalFormatting sqref="D8:BK8">
    <cfRule type="containsBlanks" dxfId="572" priority="13" stopIfTrue="1">
      <formula>LEN(TRIM(D8))=0</formula>
    </cfRule>
    <cfRule type="notContainsBlanks" dxfId="571" priority="14" stopIfTrue="1">
      <formula>LEN(TRIM(D8))&gt;0</formula>
    </cfRule>
  </conditionalFormatting>
  <conditionalFormatting sqref="D9:BK9">
    <cfRule type="containsBlanks" dxfId="570" priority="15" stopIfTrue="1">
      <formula>LEN(TRIM(D9))=0</formula>
    </cfRule>
    <cfRule type="notContainsBlanks" dxfId="569" priority="16" stopIfTrue="1">
      <formula>LEN(TRIM(D9))&gt;0</formula>
    </cfRule>
  </conditionalFormatting>
  <conditionalFormatting sqref="D10:BK10">
    <cfRule type="containsBlanks" dxfId="568" priority="17" stopIfTrue="1">
      <formula>LEN(TRIM(D10))=0</formula>
    </cfRule>
    <cfRule type="notContainsBlanks" dxfId="567" priority="18" stopIfTrue="1">
      <formula>LEN(TRIM(D10))&gt;0</formula>
    </cfRule>
  </conditionalFormatting>
  <conditionalFormatting sqref="D11:BK11">
    <cfRule type="containsBlanks" dxfId="566" priority="19" stopIfTrue="1">
      <formula>LEN(TRIM(D11))=0</formula>
    </cfRule>
    <cfRule type="notContainsBlanks" dxfId="565" priority="20" stopIfTrue="1">
      <formula>LEN(TRIM(D11))&gt;0</formula>
    </cfRule>
  </conditionalFormatting>
  <conditionalFormatting sqref="D10:BK10">
    <cfRule type="containsBlanks" dxfId="564" priority="5" stopIfTrue="1">
      <formula>LEN(TRIM(D10))=0</formula>
    </cfRule>
    <cfRule type="notContainsBlanks" dxfId="563" priority="6" stopIfTrue="1">
      <formula>LEN(TRIM(D10))&gt;0</formula>
    </cfRule>
  </conditionalFormatting>
  <conditionalFormatting sqref="D10:BJ10">
    <cfRule type="containsBlanks" dxfId="562" priority="3" stopIfTrue="1">
      <formula>LEN(TRIM(D10))=0</formula>
    </cfRule>
    <cfRule type="notContainsBlanks" dxfId="561" priority="4" stopIfTrue="1">
      <formula>LEN(TRIM(D10))&gt;0</formula>
    </cfRule>
  </conditionalFormatting>
  <conditionalFormatting sqref="BK10">
    <cfRule type="containsBlanks" dxfId="560" priority="1" stopIfTrue="1">
      <formula>LEN(TRIM(BK10))=0</formula>
    </cfRule>
    <cfRule type="notContainsBlanks" dxfId="559" priority="2" stopIfTrue="1">
      <formula>LEN(TRIM(BK10))&gt;0</formula>
    </cfRule>
  </conditionalFormatting>
  <pageMargins left="0.7" right="0.7" top="0.75" bottom="0.75" header="0.3" footer="0.3"/>
  <customProperties>
    <customPr name="IsPC"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CS33"/>
  <sheetViews>
    <sheetView zoomScale="85" zoomScaleNormal="85" workbookViewId="0">
      <selection activeCell="B2" sqref="B2"/>
    </sheetView>
  </sheetViews>
  <sheetFormatPr defaultColWidth="9.109375" defaultRowHeight="14.4"/>
  <cols>
    <col min="1" max="1" width="9.109375" style="125"/>
    <col min="2" max="2" width="12.6640625" style="125" bestFit="1" customWidth="1"/>
    <col min="3" max="3" width="25.33203125" style="125" bestFit="1" customWidth="1"/>
    <col min="4" max="4" width="7.44140625" style="125" bestFit="1" customWidth="1"/>
    <col min="5" max="96" width="5.88671875" style="125" bestFit="1" customWidth="1"/>
    <col min="97" max="97" width="3.6640625" style="125" customWidth="1"/>
    <col min="98" max="16384" width="9.109375" style="125"/>
  </cols>
  <sheetData>
    <row r="1" spans="2:97" s="124" customFormat="1">
      <c r="B1" s="149" t="s">
        <v>89</v>
      </c>
    </row>
    <row r="2" spans="2:97">
      <c r="C2" s="39"/>
    </row>
    <row r="3" spans="2:97">
      <c r="C3" s="39"/>
    </row>
    <row r="4" spans="2:97">
      <c r="B4" s="126"/>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126"/>
      <c r="CQ4" s="126"/>
      <c r="CR4" s="126"/>
      <c r="CS4" s="126"/>
    </row>
    <row r="5" spans="2:97">
      <c r="B5" s="126"/>
      <c r="C5" s="8" t="str">
        <f>"Energy Prices [" &amp; sAEO &amp; "]"</f>
        <v>Energy Prices [Reference]</v>
      </c>
      <c r="D5" s="9"/>
      <c r="E5" s="10">
        <f t="array" ref="E5:CR5">_yL</f>
        <v>2018</v>
      </c>
      <c r="F5" s="10">
        <v>2019</v>
      </c>
      <c r="G5" s="10">
        <v>2020</v>
      </c>
      <c r="H5" s="10">
        <v>2021</v>
      </c>
      <c r="I5" s="10">
        <v>2022</v>
      </c>
      <c r="J5" s="10">
        <v>2023</v>
      </c>
      <c r="K5" s="10">
        <v>2024</v>
      </c>
      <c r="L5" s="10">
        <v>2025</v>
      </c>
      <c r="M5" s="10">
        <v>2026</v>
      </c>
      <c r="N5" s="10">
        <v>2027</v>
      </c>
      <c r="O5" s="10">
        <v>2028</v>
      </c>
      <c r="P5" s="10">
        <v>2029</v>
      </c>
      <c r="Q5" s="10">
        <v>2030</v>
      </c>
      <c r="R5" s="10">
        <v>2031</v>
      </c>
      <c r="S5" s="10">
        <v>2032</v>
      </c>
      <c r="T5" s="10">
        <v>2033</v>
      </c>
      <c r="U5" s="10">
        <v>2034</v>
      </c>
      <c r="V5" s="10">
        <v>2035</v>
      </c>
      <c r="W5" s="10">
        <v>2036</v>
      </c>
      <c r="X5" s="10">
        <v>2037</v>
      </c>
      <c r="Y5" s="10">
        <v>2038</v>
      </c>
      <c r="Z5" s="10">
        <v>2039</v>
      </c>
      <c r="AA5" s="10">
        <v>2040</v>
      </c>
      <c r="AB5" s="10">
        <v>2041</v>
      </c>
      <c r="AC5" s="10">
        <v>2042</v>
      </c>
      <c r="AD5" s="10">
        <v>2043</v>
      </c>
      <c r="AE5" s="10">
        <v>2044</v>
      </c>
      <c r="AF5" s="10">
        <v>2045</v>
      </c>
      <c r="AG5" s="10">
        <v>2046</v>
      </c>
      <c r="AH5" s="10">
        <v>2047</v>
      </c>
      <c r="AI5" s="10">
        <v>2048</v>
      </c>
      <c r="AJ5" s="10">
        <v>2049</v>
      </c>
      <c r="AK5" s="10">
        <v>2050</v>
      </c>
      <c r="AL5" s="10">
        <v>2051</v>
      </c>
      <c r="AM5" s="10">
        <v>2052</v>
      </c>
      <c r="AN5" s="10">
        <v>2053</v>
      </c>
      <c r="AO5" s="10">
        <v>2054</v>
      </c>
      <c r="AP5" s="10">
        <v>2055</v>
      </c>
      <c r="AQ5" s="10">
        <v>2056</v>
      </c>
      <c r="AR5" s="10">
        <v>2057</v>
      </c>
      <c r="AS5" s="10">
        <v>2058</v>
      </c>
      <c r="AT5" s="10">
        <v>2059</v>
      </c>
      <c r="AU5" s="10">
        <v>2060</v>
      </c>
      <c r="AV5" s="10">
        <v>2061</v>
      </c>
      <c r="AW5" s="10">
        <v>2062</v>
      </c>
      <c r="AX5" s="10">
        <v>2063</v>
      </c>
      <c r="AY5" s="10">
        <v>2064</v>
      </c>
      <c r="AZ5" s="10">
        <v>2065</v>
      </c>
      <c r="BA5" s="10">
        <v>2066</v>
      </c>
      <c r="BB5" s="10">
        <v>2067</v>
      </c>
      <c r="BC5" s="10">
        <v>2068</v>
      </c>
      <c r="BD5" s="10">
        <v>2069</v>
      </c>
      <c r="BE5" s="10">
        <v>2070</v>
      </c>
      <c r="BF5" s="10">
        <v>2071</v>
      </c>
      <c r="BG5" s="10">
        <v>2072</v>
      </c>
      <c r="BH5" s="10">
        <v>2073</v>
      </c>
      <c r="BI5" s="10">
        <v>2074</v>
      </c>
      <c r="BJ5" s="10">
        <v>2075</v>
      </c>
      <c r="BK5" s="10">
        <v>2076</v>
      </c>
      <c r="BL5" s="10">
        <v>2077</v>
      </c>
      <c r="BM5" s="10">
        <v>2078</v>
      </c>
      <c r="BN5" s="10">
        <v>2079</v>
      </c>
      <c r="BO5" s="10">
        <v>2080</v>
      </c>
      <c r="BP5" s="10">
        <v>2081</v>
      </c>
      <c r="BQ5" s="10">
        <v>2082</v>
      </c>
      <c r="BR5" s="10">
        <v>2083</v>
      </c>
      <c r="BS5" s="10">
        <v>2084</v>
      </c>
      <c r="BT5" s="10">
        <v>2085</v>
      </c>
      <c r="BU5" s="10">
        <v>2086</v>
      </c>
      <c r="BV5" s="10">
        <v>2087</v>
      </c>
      <c r="BW5" s="10">
        <v>2088</v>
      </c>
      <c r="BX5" s="10">
        <v>2089</v>
      </c>
      <c r="BY5" s="10">
        <v>2090</v>
      </c>
      <c r="BZ5" s="10">
        <v>2091</v>
      </c>
      <c r="CA5" s="10">
        <v>2092</v>
      </c>
      <c r="CB5" s="10">
        <v>2093</v>
      </c>
      <c r="CC5" s="10">
        <v>2094</v>
      </c>
      <c r="CD5" s="10">
        <v>2095</v>
      </c>
      <c r="CE5" s="10">
        <v>2096</v>
      </c>
      <c r="CF5" s="10">
        <v>2097</v>
      </c>
      <c r="CG5" s="10">
        <v>2098</v>
      </c>
      <c r="CH5" s="10">
        <v>2099</v>
      </c>
      <c r="CI5" s="10">
        <v>2100</v>
      </c>
      <c r="CJ5" s="10">
        <v>2101</v>
      </c>
      <c r="CK5" s="10">
        <v>2102</v>
      </c>
      <c r="CL5" s="10">
        <v>2103</v>
      </c>
      <c r="CM5" s="10">
        <v>2104</v>
      </c>
      <c r="CN5" s="10">
        <v>2105</v>
      </c>
      <c r="CO5" s="10">
        <v>2106</v>
      </c>
      <c r="CP5" s="10">
        <v>2107</v>
      </c>
      <c r="CQ5" s="10">
        <v>2108</v>
      </c>
      <c r="CR5" s="11">
        <v>2109</v>
      </c>
      <c r="CS5" s="126"/>
    </row>
    <row r="6" spans="2:97">
      <c r="B6" s="126"/>
      <c r="C6" s="4" t="str">
        <f>INDEX(_fuel,1)</f>
        <v>Electricity</v>
      </c>
      <c r="D6" s="5" t="s">
        <v>31</v>
      </c>
      <c r="E6" s="150">
        <f t="array" ref="E6:CR6">CHOOSE(iAEO,tPrcElecR,tPrcElecL,tPrcElecH)</f>
        <v>9.6000000000000002E-2</v>
      </c>
      <c r="F6" s="150">
        <v>9.7000000000000003E-2</v>
      </c>
      <c r="G6" s="150">
        <v>9.7000000000000003E-2</v>
      </c>
      <c r="H6" s="150">
        <v>9.8000000000000004E-2</v>
      </c>
      <c r="I6" s="150">
        <v>9.8000000000000004E-2</v>
      </c>
      <c r="J6" s="150">
        <v>9.9000000000000005E-2</v>
      </c>
      <c r="K6" s="150">
        <v>9.9000000000000005E-2</v>
      </c>
      <c r="L6" s="150">
        <v>9.9000000000000005E-2</v>
      </c>
      <c r="M6" s="150">
        <v>0.1</v>
      </c>
      <c r="N6" s="150">
        <v>0.1</v>
      </c>
      <c r="O6" s="150">
        <v>0.1</v>
      </c>
      <c r="P6" s="150">
        <v>0.10100000000000001</v>
      </c>
      <c r="Q6" s="150">
        <v>0.10100000000000001</v>
      </c>
      <c r="R6" s="150">
        <v>0.10199999999999999</v>
      </c>
      <c r="S6" s="150">
        <v>0.10199999999999999</v>
      </c>
      <c r="T6" s="150">
        <v>0.10199999999999999</v>
      </c>
      <c r="U6" s="150">
        <v>0.10299999999999999</v>
      </c>
      <c r="V6" s="150">
        <v>0.10299999999999999</v>
      </c>
      <c r="W6" s="150">
        <v>0.104</v>
      </c>
      <c r="X6" s="150">
        <v>0.104</v>
      </c>
      <c r="Y6" s="150">
        <v>0.104</v>
      </c>
      <c r="Z6" s="150">
        <v>0.105</v>
      </c>
      <c r="AA6" s="150">
        <v>0.105</v>
      </c>
      <c r="AB6" s="150">
        <v>0.106</v>
      </c>
      <c r="AC6" s="150">
        <v>0.106</v>
      </c>
      <c r="AD6" s="150">
        <v>0.106</v>
      </c>
      <c r="AE6" s="150">
        <v>0.107</v>
      </c>
      <c r="AF6" s="150">
        <v>0.107</v>
      </c>
      <c r="AG6" s="150">
        <v>0.108</v>
      </c>
      <c r="AH6" s="150">
        <v>0.108</v>
      </c>
      <c r="AI6" s="150">
        <v>0.109</v>
      </c>
      <c r="AJ6" s="150">
        <v>0.109</v>
      </c>
      <c r="AK6" s="150">
        <v>0.109</v>
      </c>
      <c r="AL6" s="150">
        <v>0.11</v>
      </c>
      <c r="AM6" s="150">
        <v>0.11</v>
      </c>
      <c r="AN6" s="150">
        <v>0.111</v>
      </c>
      <c r="AO6" s="150">
        <v>0.111</v>
      </c>
      <c r="AP6" s="150">
        <v>0.112</v>
      </c>
      <c r="AQ6" s="150">
        <v>0.112</v>
      </c>
      <c r="AR6" s="150">
        <v>0.112</v>
      </c>
      <c r="AS6" s="150">
        <v>0.113</v>
      </c>
      <c r="AT6" s="150">
        <v>0.113</v>
      </c>
      <c r="AU6" s="150">
        <v>0.114</v>
      </c>
      <c r="AV6" s="150">
        <v>0.114</v>
      </c>
      <c r="AW6" s="150">
        <v>0.115</v>
      </c>
      <c r="AX6" s="150">
        <v>0.115</v>
      </c>
      <c r="AY6" s="150">
        <v>0.11600000000000001</v>
      </c>
      <c r="AZ6" s="150">
        <v>0.11600000000000001</v>
      </c>
      <c r="BA6" s="150">
        <v>0.11600000000000001</v>
      </c>
      <c r="BB6" s="150">
        <v>0.11700000000000001</v>
      </c>
      <c r="BC6" s="150">
        <v>0.11700000000000001</v>
      </c>
      <c r="BD6" s="150">
        <v>0.11799999999999999</v>
      </c>
      <c r="BE6" s="150">
        <v>0.11799999999999999</v>
      </c>
      <c r="BF6" s="150">
        <v>0.11899999999999999</v>
      </c>
      <c r="BG6" s="150">
        <v>0.11899999999999999</v>
      </c>
      <c r="BH6" s="150">
        <v>0.12</v>
      </c>
      <c r="BI6" s="150">
        <v>0.12</v>
      </c>
      <c r="BJ6" s="150">
        <v>0.121</v>
      </c>
      <c r="BK6" s="150">
        <v>0.121</v>
      </c>
      <c r="BL6" s="150">
        <v>0.122</v>
      </c>
      <c r="BM6" s="150">
        <v>0.122</v>
      </c>
      <c r="BN6" s="150">
        <v>0.123</v>
      </c>
      <c r="BO6" s="150">
        <v>0.123</v>
      </c>
      <c r="BP6" s="150">
        <v>0.124</v>
      </c>
      <c r="BQ6" s="150">
        <v>0.124</v>
      </c>
      <c r="BR6" s="150">
        <v>0.125</v>
      </c>
      <c r="BS6" s="150">
        <v>0.125</v>
      </c>
      <c r="BT6" s="150">
        <v>0.126</v>
      </c>
      <c r="BU6" s="150">
        <v>0.126</v>
      </c>
      <c r="BV6" s="150">
        <v>0.127</v>
      </c>
      <c r="BW6" s="150">
        <v>0.127</v>
      </c>
      <c r="BX6" s="150">
        <v>0.128</v>
      </c>
      <c r="BY6" s="150">
        <v>0.128</v>
      </c>
      <c r="BZ6" s="150">
        <v>0.129</v>
      </c>
      <c r="CA6" s="150">
        <v>0.129</v>
      </c>
      <c r="CB6" s="150">
        <v>0.13</v>
      </c>
      <c r="CC6" s="150">
        <v>0.13</v>
      </c>
      <c r="CD6" s="150">
        <v>0.13100000000000001</v>
      </c>
      <c r="CE6" s="150">
        <v>0.13100000000000001</v>
      </c>
      <c r="CF6" s="150">
        <v>0.13200000000000001</v>
      </c>
      <c r="CG6" s="150">
        <v>0.13200000000000001</v>
      </c>
      <c r="CH6" s="150">
        <v>0.13300000000000001</v>
      </c>
      <c r="CI6" s="150">
        <v>0.13300000000000001</v>
      </c>
      <c r="CJ6" s="150">
        <v>0.13400000000000001</v>
      </c>
      <c r="CK6" s="150">
        <v>0.13400000000000001</v>
      </c>
      <c r="CL6" s="150">
        <v>0.13500000000000001</v>
      </c>
      <c r="CM6" s="150">
        <v>0.13600000000000001</v>
      </c>
      <c r="CN6" s="150">
        <v>0.13600000000000001</v>
      </c>
      <c r="CO6" s="150">
        <v>0.13700000000000001</v>
      </c>
      <c r="CP6" s="150">
        <v>0.13700000000000001</v>
      </c>
      <c r="CQ6" s="150">
        <v>0.13800000000000001</v>
      </c>
      <c r="CR6" s="151">
        <v>0.13800000000000001</v>
      </c>
      <c r="CS6" s="126"/>
    </row>
    <row r="7" spans="2:97">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26"/>
      <c r="BR7" s="126"/>
      <c r="BS7" s="126"/>
      <c r="BT7" s="126"/>
      <c r="BU7" s="126"/>
      <c r="BV7" s="126"/>
      <c r="BW7" s="126"/>
      <c r="BX7" s="126"/>
      <c r="BY7" s="126"/>
      <c r="BZ7" s="126"/>
      <c r="CA7" s="126"/>
      <c r="CB7" s="126"/>
      <c r="CC7" s="126"/>
      <c r="CD7" s="126"/>
      <c r="CE7" s="126"/>
      <c r="CF7" s="126"/>
      <c r="CG7" s="126"/>
      <c r="CH7" s="126"/>
      <c r="CI7" s="126"/>
      <c r="CJ7" s="126"/>
      <c r="CK7" s="126"/>
      <c r="CL7" s="126"/>
      <c r="CM7" s="126"/>
      <c r="CN7" s="126"/>
      <c r="CO7" s="126"/>
      <c r="CP7" s="126"/>
      <c r="CQ7" s="126"/>
      <c r="CR7" s="126"/>
      <c r="CS7" s="126"/>
    </row>
    <row r="8" spans="2:97">
      <c r="B8" s="126"/>
      <c r="C8" s="8" t="s">
        <v>33</v>
      </c>
      <c r="D8" s="9"/>
      <c r="E8" s="10">
        <f t="array" ref="E8:CR8">_yL</f>
        <v>2018</v>
      </c>
      <c r="F8" s="10">
        <v>2019</v>
      </c>
      <c r="G8" s="10">
        <v>2020</v>
      </c>
      <c r="H8" s="10">
        <v>2021</v>
      </c>
      <c r="I8" s="10">
        <v>2022</v>
      </c>
      <c r="J8" s="10">
        <v>2023</v>
      </c>
      <c r="K8" s="10">
        <v>2024</v>
      </c>
      <c r="L8" s="10">
        <v>2025</v>
      </c>
      <c r="M8" s="10">
        <v>2026</v>
      </c>
      <c r="N8" s="10">
        <v>2027</v>
      </c>
      <c r="O8" s="10">
        <v>2028</v>
      </c>
      <c r="P8" s="10">
        <v>2029</v>
      </c>
      <c r="Q8" s="10">
        <v>2030</v>
      </c>
      <c r="R8" s="10">
        <v>2031</v>
      </c>
      <c r="S8" s="10">
        <v>2032</v>
      </c>
      <c r="T8" s="10">
        <v>2033</v>
      </c>
      <c r="U8" s="10">
        <v>2034</v>
      </c>
      <c r="V8" s="10">
        <v>2035</v>
      </c>
      <c r="W8" s="10">
        <v>2036</v>
      </c>
      <c r="X8" s="10">
        <v>2037</v>
      </c>
      <c r="Y8" s="10">
        <v>2038</v>
      </c>
      <c r="Z8" s="10">
        <v>2039</v>
      </c>
      <c r="AA8" s="10">
        <v>2040</v>
      </c>
      <c r="AB8" s="10">
        <v>2041</v>
      </c>
      <c r="AC8" s="10">
        <v>2042</v>
      </c>
      <c r="AD8" s="10">
        <v>2043</v>
      </c>
      <c r="AE8" s="10">
        <v>2044</v>
      </c>
      <c r="AF8" s="10">
        <v>2045</v>
      </c>
      <c r="AG8" s="10">
        <v>2046</v>
      </c>
      <c r="AH8" s="10">
        <v>2047</v>
      </c>
      <c r="AI8" s="10">
        <v>2048</v>
      </c>
      <c r="AJ8" s="10">
        <v>2049</v>
      </c>
      <c r="AK8" s="10">
        <v>2050</v>
      </c>
      <c r="AL8" s="10">
        <v>2051</v>
      </c>
      <c r="AM8" s="10">
        <v>2052</v>
      </c>
      <c r="AN8" s="10">
        <v>2053</v>
      </c>
      <c r="AO8" s="10">
        <v>2054</v>
      </c>
      <c r="AP8" s="10">
        <v>2055</v>
      </c>
      <c r="AQ8" s="10">
        <v>2056</v>
      </c>
      <c r="AR8" s="10">
        <v>2057</v>
      </c>
      <c r="AS8" s="10">
        <v>2058</v>
      </c>
      <c r="AT8" s="10">
        <v>2059</v>
      </c>
      <c r="AU8" s="10">
        <v>2060</v>
      </c>
      <c r="AV8" s="10">
        <v>2061</v>
      </c>
      <c r="AW8" s="10">
        <v>2062</v>
      </c>
      <c r="AX8" s="10">
        <v>2063</v>
      </c>
      <c r="AY8" s="10">
        <v>2064</v>
      </c>
      <c r="AZ8" s="10">
        <v>2065</v>
      </c>
      <c r="BA8" s="10">
        <v>2066</v>
      </c>
      <c r="BB8" s="10">
        <v>2067</v>
      </c>
      <c r="BC8" s="10">
        <v>2068</v>
      </c>
      <c r="BD8" s="10">
        <v>2069</v>
      </c>
      <c r="BE8" s="10">
        <v>2070</v>
      </c>
      <c r="BF8" s="10">
        <v>2071</v>
      </c>
      <c r="BG8" s="10">
        <v>2072</v>
      </c>
      <c r="BH8" s="10">
        <v>2073</v>
      </c>
      <c r="BI8" s="10">
        <v>2074</v>
      </c>
      <c r="BJ8" s="10">
        <v>2075</v>
      </c>
      <c r="BK8" s="10">
        <v>2076</v>
      </c>
      <c r="BL8" s="10">
        <v>2077</v>
      </c>
      <c r="BM8" s="10">
        <v>2078</v>
      </c>
      <c r="BN8" s="10">
        <v>2079</v>
      </c>
      <c r="BO8" s="10">
        <v>2080</v>
      </c>
      <c r="BP8" s="10">
        <v>2081</v>
      </c>
      <c r="BQ8" s="10">
        <v>2082</v>
      </c>
      <c r="BR8" s="10">
        <v>2083</v>
      </c>
      <c r="BS8" s="10">
        <v>2084</v>
      </c>
      <c r="BT8" s="10">
        <v>2085</v>
      </c>
      <c r="BU8" s="10">
        <v>2086</v>
      </c>
      <c r="BV8" s="10">
        <v>2087</v>
      </c>
      <c r="BW8" s="10">
        <v>2088</v>
      </c>
      <c r="BX8" s="10">
        <v>2089</v>
      </c>
      <c r="BY8" s="10">
        <v>2090</v>
      </c>
      <c r="BZ8" s="10">
        <v>2091</v>
      </c>
      <c r="CA8" s="10">
        <v>2092</v>
      </c>
      <c r="CB8" s="10">
        <v>2093</v>
      </c>
      <c r="CC8" s="10">
        <v>2094</v>
      </c>
      <c r="CD8" s="10">
        <v>2095</v>
      </c>
      <c r="CE8" s="10">
        <v>2096</v>
      </c>
      <c r="CF8" s="10">
        <v>2097</v>
      </c>
      <c r="CG8" s="10">
        <v>2098</v>
      </c>
      <c r="CH8" s="10">
        <v>2099</v>
      </c>
      <c r="CI8" s="10">
        <v>2100</v>
      </c>
      <c r="CJ8" s="10">
        <v>2101</v>
      </c>
      <c r="CK8" s="10">
        <v>2102</v>
      </c>
      <c r="CL8" s="10">
        <v>2103</v>
      </c>
      <c r="CM8" s="10">
        <v>2104</v>
      </c>
      <c r="CN8" s="10">
        <v>2105</v>
      </c>
      <c r="CO8" s="10">
        <v>2106</v>
      </c>
      <c r="CP8" s="10">
        <v>2107</v>
      </c>
      <c r="CQ8" s="10">
        <v>2108</v>
      </c>
      <c r="CR8" s="11">
        <v>2109</v>
      </c>
      <c r="CS8" s="126"/>
    </row>
    <row r="9" spans="2:97">
      <c r="B9" s="126"/>
      <c r="C9" s="4" t="str">
        <f>INDEX(_fuel,1)</f>
        <v>Electricity</v>
      </c>
      <c r="D9" s="5" t="s">
        <v>31</v>
      </c>
      <c r="E9" s="152">
        <v>9.6000000000000002E-2</v>
      </c>
      <c r="F9" s="152">
        <v>9.7000000000000003E-2</v>
      </c>
      <c r="G9" s="152">
        <v>9.7000000000000003E-2</v>
      </c>
      <c r="H9" s="152">
        <v>9.8000000000000004E-2</v>
      </c>
      <c r="I9" s="152">
        <v>9.8000000000000004E-2</v>
      </c>
      <c r="J9" s="152">
        <v>9.9000000000000005E-2</v>
      </c>
      <c r="K9" s="152">
        <v>9.9000000000000005E-2</v>
      </c>
      <c r="L9" s="152">
        <v>9.9000000000000005E-2</v>
      </c>
      <c r="M9" s="152">
        <v>0.1</v>
      </c>
      <c r="N9" s="152">
        <v>0.1</v>
      </c>
      <c r="O9" s="152">
        <v>0.1</v>
      </c>
      <c r="P9" s="152">
        <v>0.10100000000000001</v>
      </c>
      <c r="Q9" s="152">
        <v>0.10100000000000001</v>
      </c>
      <c r="R9" s="152">
        <v>0.10199999999999999</v>
      </c>
      <c r="S9" s="152">
        <v>0.10199999999999999</v>
      </c>
      <c r="T9" s="152">
        <v>0.10199999999999999</v>
      </c>
      <c r="U9" s="152">
        <v>0.10299999999999999</v>
      </c>
      <c r="V9" s="152">
        <v>0.10299999999999999</v>
      </c>
      <c r="W9" s="152">
        <v>0.104</v>
      </c>
      <c r="X9" s="152">
        <v>0.104</v>
      </c>
      <c r="Y9" s="152">
        <v>0.104</v>
      </c>
      <c r="Z9" s="152">
        <v>0.105</v>
      </c>
      <c r="AA9" s="152">
        <v>0.105</v>
      </c>
      <c r="AB9" s="152">
        <v>0.106</v>
      </c>
      <c r="AC9" s="152">
        <v>0.106</v>
      </c>
      <c r="AD9" s="152">
        <v>0.106</v>
      </c>
      <c r="AE9" s="152">
        <v>0.107</v>
      </c>
      <c r="AF9" s="152">
        <v>0.107</v>
      </c>
      <c r="AG9" s="152">
        <v>0.108</v>
      </c>
      <c r="AH9" s="152">
        <v>0.108</v>
      </c>
      <c r="AI9" s="152">
        <v>0.109</v>
      </c>
      <c r="AJ9" s="152">
        <v>0.109</v>
      </c>
      <c r="AK9" s="152">
        <v>0.109</v>
      </c>
      <c r="AL9" s="152">
        <v>0.11</v>
      </c>
      <c r="AM9" s="152">
        <v>0.11</v>
      </c>
      <c r="AN9" s="152">
        <v>0.111</v>
      </c>
      <c r="AO9" s="152">
        <v>0.111</v>
      </c>
      <c r="AP9" s="152">
        <v>0.112</v>
      </c>
      <c r="AQ9" s="152">
        <v>0.112</v>
      </c>
      <c r="AR9" s="152">
        <v>0.112</v>
      </c>
      <c r="AS9" s="152">
        <v>0.113</v>
      </c>
      <c r="AT9" s="152">
        <v>0.113</v>
      </c>
      <c r="AU9" s="152">
        <v>0.114</v>
      </c>
      <c r="AV9" s="152">
        <v>0.114</v>
      </c>
      <c r="AW9" s="152">
        <v>0.115</v>
      </c>
      <c r="AX9" s="152">
        <v>0.115</v>
      </c>
      <c r="AY9" s="152">
        <v>0.11600000000000001</v>
      </c>
      <c r="AZ9" s="152">
        <v>0.11600000000000001</v>
      </c>
      <c r="BA9" s="152">
        <v>0.11600000000000001</v>
      </c>
      <c r="BB9" s="152">
        <v>0.11700000000000001</v>
      </c>
      <c r="BC9" s="152">
        <v>0.11700000000000001</v>
      </c>
      <c r="BD9" s="152">
        <v>0.11799999999999999</v>
      </c>
      <c r="BE9" s="152">
        <v>0.11799999999999999</v>
      </c>
      <c r="BF9" s="152">
        <v>0.11899999999999999</v>
      </c>
      <c r="BG9" s="152">
        <v>0.11899999999999999</v>
      </c>
      <c r="BH9" s="152">
        <v>0.12</v>
      </c>
      <c r="BI9" s="152">
        <v>0.12</v>
      </c>
      <c r="BJ9" s="152">
        <v>0.121</v>
      </c>
      <c r="BK9" s="152">
        <v>0.121</v>
      </c>
      <c r="BL9" s="152">
        <v>0.122</v>
      </c>
      <c r="BM9" s="152">
        <v>0.122</v>
      </c>
      <c r="BN9" s="152">
        <v>0.123</v>
      </c>
      <c r="BO9" s="152">
        <v>0.123</v>
      </c>
      <c r="BP9" s="152">
        <v>0.124</v>
      </c>
      <c r="BQ9" s="152">
        <v>0.124</v>
      </c>
      <c r="BR9" s="152">
        <v>0.125</v>
      </c>
      <c r="BS9" s="152">
        <v>0.125</v>
      </c>
      <c r="BT9" s="152">
        <v>0.126</v>
      </c>
      <c r="BU9" s="152">
        <v>0.126</v>
      </c>
      <c r="BV9" s="152">
        <v>0.127</v>
      </c>
      <c r="BW9" s="152">
        <v>0.127</v>
      </c>
      <c r="BX9" s="152">
        <v>0.128</v>
      </c>
      <c r="BY9" s="152">
        <v>0.128</v>
      </c>
      <c r="BZ9" s="152">
        <v>0.129</v>
      </c>
      <c r="CA9" s="152">
        <v>0.129</v>
      </c>
      <c r="CB9" s="152">
        <v>0.13</v>
      </c>
      <c r="CC9" s="152">
        <v>0.13</v>
      </c>
      <c r="CD9" s="152">
        <v>0.13100000000000001</v>
      </c>
      <c r="CE9" s="152">
        <v>0.13100000000000001</v>
      </c>
      <c r="CF9" s="152">
        <v>0.13200000000000001</v>
      </c>
      <c r="CG9" s="152">
        <v>0.13200000000000001</v>
      </c>
      <c r="CH9" s="152">
        <v>0.13300000000000001</v>
      </c>
      <c r="CI9" s="152">
        <v>0.13300000000000001</v>
      </c>
      <c r="CJ9" s="152">
        <v>0.13400000000000001</v>
      </c>
      <c r="CK9" s="152">
        <v>0.13400000000000001</v>
      </c>
      <c r="CL9" s="152">
        <v>0.13500000000000001</v>
      </c>
      <c r="CM9" s="152">
        <v>0.13600000000000001</v>
      </c>
      <c r="CN9" s="152">
        <v>0.13600000000000001</v>
      </c>
      <c r="CO9" s="152">
        <v>0.13700000000000001</v>
      </c>
      <c r="CP9" s="152">
        <v>0.13700000000000001</v>
      </c>
      <c r="CQ9" s="152">
        <v>0.13800000000000001</v>
      </c>
      <c r="CR9" s="152">
        <v>0.13800000000000001</v>
      </c>
      <c r="CS9" s="126"/>
    </row>
    <row r="10" spans="2:97">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c r="BM10" s="126"/>
      <c r="BN10" s="126"/>
      <c r="BO10" s="126"/>
      <c r="BP10" s="126"/>
      <c r="BQ10" s="126"/>
      <c r="BR10" s="126"/>
      <c r="BS10" s="126"/>
      <c r="BT10" s="126"/>
      <c r="BU10" s="126"/>
      <c r="BV10" s="126"/>
      <c r="BW10" s="126"/>
      <c r="BX10" s="126"/>
      <c r="BY10" s="126"/>
      <c r="BZ10" s="126"/>
      <c r="CA10" s="126"/>
      <c r="CB10" s="126"/>
      <c r="CC10" s="126"/>
      <c r="CD10" s="126"/>
      <c r="CE10" s="126"/>
      <c r="CF10" s="126"/>
      <c r="CG10" s="126"/>
      <c r="CH10" s="126"/>
      <c r="CI10" s="126"/>
      <c r="CJ10" s="126"/>
      <c r="CK10" s="126"/>
      <c r="CL10" s="126"/>
      <c r="CM10" s="126"/>
      <c r="CN10" s="126"/>
      <c r="CO10" s="126"/>
      <c r="CP10" s="126"/>
      <c r="CQ10" s="126"/>
      <c r="CR10" s="126"/>
      <c r="CS10" s="126"/>
    </row>
    <row r="11" spans="2:97">
      <c r="B11" s="126"/>
      <c r="C11" s="8" t="s">
        <v>32</v>
      </c>
      <c r="D11" s="9"/>
      <c r="E11" s="10">
        <f t="array" ref="E11:CR11">_yL</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0">
        <v>2050</v>
      </c>
      <c r="AL11" s="10">
        <v>2051</v>
      </c>
      <c r="AM11" s="10">
        <v>2052</v>
      </c>
      <c r="AN11" s="10">
        <v>2053</v>
      </c>
      <c r="AO11" s="10">
        <v>2054</v>
      </c>
      <c r="AP11" s="10">
        <v>2055</v>
      </c>
      <c r="AQ11" s="10">
        <v>2056</v>
      </c>
      <c r="AR11" s="10">
        <v>2057</v>
      </c>
      <c r="AS11" s="10">
        <v>2058</v>
      </c>
      <c r="AT11" s="10">
        <v>2059</v>
      </c>
      <c r="AU11" s="10">
        <v>2060</v>
      </c>
      <c r="AV11" s="10">
        <v>2061</v>
      </c>
      <c r="AW11" s="10">
        <v>2062</v>
      </c>
      <c r="AX11" s="10">
        <v>2063</v>
      </c>
      <c r="AY11" s="10">
        <v>2064</v>
      </c>
      <c r="AZ11" s="10">
        <v>2065</v>
      </c>
      <c r="BA11" s="10">
        <v>2066</v>
      </c>
      <c r="BB11" s="10">
        <v>2067</v>
      </c>
      <c r="BC11" s="10">
        <v>2068</v>
      </c>
      <c r="BD11" s="10">
        <v>2069</v>
      </c>
      <c r="BE11" s="10">
        <v>2070</v>
      </c>
      <c r="BF11" s="10">
        <v>2071</v>
      </c>
      <c r="BG11" s="10">
        <v>2072</v>
      </c>
      <c r="BH11" s="10">
        <v>2073</v>
      </c>
      <c r="BI11" s="10">
        <v>2074</v>
      </c>
      <c r="BJ11" s="10">
        <v>2075</v>
      </c>
      <c r="BK11" s="10">
        <v>2076</v>
      </c>
      <c r="BL11" s="10">
        <v>2077</v>
      </c>
      <c r="BM11" s="10">
        <v>2078</v>
      </c>
      <c r="BN11" s="10">
        <v>2079</v>
      </c>
      <c r="BO11" s="10">
        <v>2080</v>
      </c>
      <c r="BP11" s="10">
        <v>2081</v>
      </c>
      <c r="BQ11" s="10">
        <v>2082</v>
      </c>
      <c r="BR11" s="10">
        <v>2083</v>
      </c>
      <c r="BS11" s="10">
        <v>2084</v>
      </c>
      <c r="BT11" s="10">
        <v>2085</v>
      </c>
      <c r="BU11" s="10">
        <v>2086</v>
      </c>
      <c r="BV11" s="10">
        <v>2087</v>
      </c>
      <c r="BW11" s="10">
        <v>2088</v>
      </c>
      <c r="BX11" s="10">
        <v>2089</v>
      </c>
      <c r="BY11" s="10">
        <v>2090</v>
      </c>
      <c r="BZ11" s="10">
        <v>2091</v>
      </c>
      <c r="CA11" s="10">
        <v>2092</v>
      </c>
      <c r="CB11" s="10">
        <v>2093</v>
      </c>
      <c r="CC11" s="10">
        <v>2094</v>
      </c>
      <c r="CD11" s="10">
        <v>2095</v>
      </c>
      <c r="CE11" s="10">
        <v>2096</v>
      </c>
      <c r="CF11" s="10">
        <v>2097</v>
      </c>
      <c r="CG11" s="10">
        <v>2098</v>
      </c>
      <c r="CH11" s="10">
        <v>2099</v>
      </c>
      <c r="CI11" s="10">
        <v>2100</v>
      </c>
      <c r="CJ11" s="10">
        <v>2101</v>
      </c>
      <c r="CK11" s="10">
        <v>2102</v>
      </c>
      <c r="CL11" s="10">
        <v>2103</v>
      </c>
      <c r="CM11" s="10">
        <v>2104</v>
      </c>
      <c r="CN11" s="10">
        <v>2105</v>
      </c>
      <c r="CO11" s="10">
        <v>2106</v>
      </c>
      <c r="CP11" s="10">
        <v>2107</v>
      </c>
      <c r="CQ11" s="10">
        <v>2108</v>
      </c>
      <c r="CR11" s="11">
        <v>2109</v>
      </c>
      <c r="CS11" s="126"/>
    </row>
    <row r="12" spans="2:97">
      <c r="B12" s="126"/>
      <c r="C12" s="4" t="str">
        <f>INDEX(_fuel,1)</f>
        <v>Electricity</v>
      </c>
      <c r="D12" s="5" t="s">
        <v>31</v>
      </c>
      <c r="E12" s="150">
        <v>9.4E-2</v>
      </c>
      <c r="F12" s="150">
        <v>9.5000000000000001E-2</v>
      </c>
      <c r="G12" s="150">
        <v>9.5000000000000001E-2</v>
      </c>
      <c r="H12" s="150">
        <v>9.6000000000000002E-2</v>
      </c>
      <c r="I12" s="150">
        <v>9.6000000000000002E-2</v>
      </c>
      <c r="J12" s="150">
        <v>9.6000000000000002E-2</v>
      </c>
      <c r="K12" s="150">
        <v>9.6000000000000002E-2</v>
      </c>
      <c r="L12" s="150">
        <v>9.7000000000000003E-2</v>
      </c>
      <c r="M12" s="150">
        <v>9.7000000000000003E-2</v>
      </c>
      <c r="N12" s="150">
        <v>9.7000000000000003E-2</v>
      </c>
      <c r="O12" s="150">
        <v>9.7000000000000003E-2</v>
      </c>
      <c r="P12" s="150">
        <v>9.8000000000000004E-2</v>
      </c>
      <c r="Q12" s="150">
        <v>9.8000000000000004E-2</v>
      </c>
      <c r="R12" s="150">
        <v>9.8000000000000004E-2</v>
      </c>
      <c r="S12" s="150">
        <v>9.8000000000000004E-2</v>
      </c>
      <c r="T12" s="150">
        <v>9.9000000000000005E-2</v>
      </c>
      <c r="U12" s="150">
        <v>9.9000000000000005E-2</v>
      </c>
      <c r="V12" s="150">
        <v>9.9000000000000005E-2</v>
      </c>
      <c r="W12" s="150">
        <v>9.9000000000000005E-2</v>
      </c>
      <c r="X12" s="150">
        <v>0.1</v>
      </c>
      <c r="Y12" s="150">
        <v>0.1</v>
      </c>
      <c r="Z12" s="150">
        <v>0.1</v>
      </c>
      <c r="AA12" s="150">
        <v>0.10100000000000001</v>
      </c>
      <c r="AB12" s="150">
        <v>0.10100000000000001</v>
      </c>
      <c r="AC12" s="150">
        <v>0.10100000000000001</v>
      </c>
      <c r="AD12" s="150">
        <v>0.10100000000000001</v>
      </c>
      <c r="AE12" s="150">
        <v>0.10199999999999999</v>
      </c>
      <c r="AF12" s="150">
        <v>0.10199999999999999</v>
      </c>
      <c r="AG12" s="150">
        <v>0.10199999999999999</v>
      </c>
      <c r="AH12" s="150">
        <v>0.10199999999999999</v>
      </c>
      <c r="AI12" s="150">
        <v>0.10299999999999999</v>
      </c>
      <c r="AJ12" s="150">
        <v>0.10299999999999999</v>
      </c>
      <c r="AK12" s="150">
        <v>0.10299999999999999</v>
      </c>
      <c r="AL12" s="150">
        <v>0.104</v>
      </c>
      <c r="AM12" s="150">
        <v>0.104</v>
      </c>
      <c r="AN12" s="150">
        <v>0.104</v>
      </c>
      <c r="AO12" s="150">
        <v>0.104</v>
      </c>
      <c r="AP12" s="150">
        <v>0.105</v>
      </c>
      <c r="AQ12" s="150">
        <v>0.105</v>
      </c>
      <c r="AR12" s="150">
        <v>0.105</v>
      </c>
      <c r="AS12" s="150">
        <v>0.106</v>
      </c>
      <c r="AT12" s="150">
        <v>0.106</v>
      </c>
      <c r="AU12" s="150">
        <v>0.106</v>
      </c>
      <c r="AV12" s="150">
        <v>0.106</v>
      </c>
      <c r="AW12" s="150">
        <v>0.107</v>
      </c>
      <c r="AX12" s="150">
        <v>0.107</v>
      </c>
      <c r="AY12" s="150">
        <v>0.107</v>
      </c>
      <c r="AZ12" s="150">
        <v>0.108</v>
      </c>
      <c r="BA12" s="150">
        <v>0.108</v>
      </c>
      <c r="BB12" s="150">
        <v>0.108</v>
      </c>
      <c r="BC12" s="150">
        <v>0.109</v>
      </c>
      <c r="BD12" s="150">
        <v>0.109</v>
      </c>
      <c r="BE12" s="150">
        <v>0.109</v>
      </c>
      <c r="BF12" s="150">
        <v>0.109</v>
      </c>
      <c r="BG12" s="150">
        <v>0.11</v>
      </c>
      <c r="BH12" s="150">
        <v>0.11</v>
      </c>
      <c r="BI12" s="150">
        <v>0.11</v>
      </c>
      <c r="BJ12" s="150">
        <v>0.111</v>
      </c>
      <c r="BK12" s="150">
        <v>0.111</v>
      </c>
      <c r="BL12" s="150">
        <v>0.111</v>
      </c>
      <c r="BM12" s="150">
        <v>0.112</v>
      </c>
      <c r="BN12" s="150">
        <v>0.112</v>
      </c>
      <c r="BO12" s="150">
        <v>0.112</v>
      </c>
      <c r="BP12" s="150">
        <v>0.113</v>
      </c>
      <c r="BQ12" s="150">
        <v>0.113</v>
      </c>
      <c r="BR12" s="150">
        <v>0.113</v>
      </c>
      <c r="BS12" s="150">
        <v>0.113</v>
      </c>
      <c r="BT12" s="150">
        <v>0.114</v>
      </c>
      <c r="BU12" s="150">
        <v>0.114</v>
      </c>
      <c r="BV12" s="150">
        <v>0.114</v>
      </c>
      <c r="BW12" s="150">
        <v>0.115</v>
      </c>
      <c r="BX12" s="150">
        <v>0.115</v>
      </c>
      <c r="BY12" s="150">
        <v>0.115</v>
      </c>
      <c r="BZ12" s="150">
        <v>0.11600000000000001</v>
      </c>
      <c r="CA12" s="150">
        <v>0.11600000000000001</v>
      </c>
      <c r="CB12" s="150">
        <v>0.11600000000000001</v>
      </c>
      <c r="CC12" s="150">
        <v>0.11700000000000001</v>
      </c>
      <c r="CD12" s="150">
        <v>0.11700000000000001</v>
      </c>
      <c r="CE12" s="150">
        <v>0.11700000000000001</v>
      </c>
      <c r="CF12" s="150">
        <v>0.11799999999999999</v>
      </c>
      <c r="CG12" s="150">
        <v>0.11799999999999999</v>
      </c>
      <c r="CH12" s="150">
        <v>0.11799999999999999</v>
      </c>
      <c r="CI12" s="150">
        <v>0.11899999999999999</v>
      </c>
      <c r="CJ12" s="150">
        <v>0.11899999999999999</v>
      </c>
      <c r="CK12" s="150">
        <v>0.11899999999999999</v>
      </c>
      <c r="CL12" s="150">
        <v>0.12</v>
      </c>
      <c r="CM12" s="150">
        <v>0.12</v>
      </c>
      <c r="CN12" s="150">
        <v>0.12</v>
      </c>
      <c r="CO12" s="150">
        <v>0.121</v>
      </c>
      <c r="CP12" s="150">
        <v>0.121</v>
      </c>
      <c r="CQ12" s="150">
        <v>0.121</v>
      </c>
      <c r="CR12" s="151">
        <v>0.122</v>
      </c>
      <c r="CS12" s="126"/>
    </row>
    <row r="13" spans="2:97">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row>
    <row r="14" spans="2:97">
      <c r="B14" s="126"/>
      <c r="C14" s="8" t="s">
        <v>30</v>
      </c>
      <c r="D14" s="9"/>
      <c r="E14" s="10">
        <f t="array" ref="E14:CR14">_yL</f>
        <v>2018</v>
      </c>
      <c r="F14" s="10">
        <v>2019</v>
      </c>
      <c r="G14" s="10">
        <v>2020</v>
      </c>
      <c r="H14" s="10">
        <v>2021</v>
      </c>
      <c r="I14" s="10">
        <v>2022</v>
      </c>
      <c r="J14" s="10">
        <v>2023</v>
      </c>
      <c r="K14" s="10">
        <v>2024</v>
      </c>
      <c r="L14" s="10">
        <v>2025</v>
      </c>
      <c r="M14" s="10">
        <v>2026</v>
      </c>
      <c r="N14" s="10">
        <v>2027</v>
      </c>
      <c r="O14" s="10">
        <v>2028</v>
      </c>
      <c r="P14" s="10">
        <v>2029</v>
      </c>
      <c r="Q14" s="10">
        <v>2030</v>
      </c>
      <c r="R14" s="10">
        <v>2031</v>
      </c>
      <c r="S14" s="10">
        <v>2032</v>
      </c>
      <c r="T14" s="10">
        <v>2033</v>
      </c>
      <c r="U14" s="10">
        <v>2034</v>
      </c>
      <c r="V14" s="10">
        <v>2035</v>
      </c>
      <c r="W14" s="10">
        <v>2036</v>
      </c>
      <c r="X14" s="10">
        <v>2037</v>
      </c>
      <c r="Y14" s="10">
        <v>2038</v>
      </c>
      <c r="Z14" s="10">
        <v>2039</v>
      </c>
      <c r="AA14" s="10">
        <v>2040</v>
      </c>
      <c r="AB14" s="10">
        <v>2041</v>
      </c>
      <c r="AC14" s="10">
        <v>2042</v>
      </c>
      <c r="AD14" s="10">
        <v>2043</v>
      </c>
      <c r="AE14" s="10">
        <v>2044</v>
      </c>
      <c r="AF14" s="10">
        <v>2045</v>
      </c>
      <c r="AG14" s="10">
        <v>2046</v>
      </c>
      <c r="AH14" s="10">
        <v>2047</v>
      </c>
      <c r="AI14" s="10">
        <v>2048</v>
      </c>
      <c r="AJ14" s="10">
        <v>2049</v>
      </c>
      <c r="AK14" s="10">
        <v>2050</v>
      </c>
      <c r="AL14" s="10">
        <v>2051</v>
      </c>
      <c r="AM14" s="10">
        <v>2052</v>
      </c>
      <c r="AN14" s="10">
        <v>2053</v>
      </c>
      <c r="AO14" s="10">
        <v>2054</v>
      </c>
      <c r="AP14" s="10">
        <v>2055</v>
      </c>
      <c r="AQ14" s="10">
        <v>2056</v>
      </c>
      <c r="AR14" s="10">
        <v>2057</v>
      </c>
      <c r="AS14" s="10">
        <v>2058</v>
      </c>
      <c r="AT14" s="10">
        <v>2059</v>
      </c>
      <c r="AU14" s="10">
        <v>2060</v>
      </c>
      <c r="AV14" s="10">
        <v>2061</v>
      </c>
      <c r="AW14" s="10">
        <v>2062</v>
      </c>
      <c r="AX14" s="10">
        <v>2063</v>
      </c>
      <c r="AY14" s="10">
        <v>2064</v>
      </c>
      <c r="AZ14" s="10">
        <v>2065</v>
      </c>
      <c r="BA14" s="10">
        <v>2066</v>
      </c>
      <c r="BB14" s="10">
        <v>2067</v>
      </c>
      <c r="BC14" s="10">
        <v>2068</v>
      </c>
      <c r="BD14" s="10">
        <v>2069</v>
      </c>
      <c r="BE14" s="10">
        <v>2070</v>
      </c>
      <c r="BF14" s="10">
        <v>2071</v>
      </c>
      <c r="BG14" s="10">
        <v>2072</v>
      </c>
      <c r="BH14" s="10">
        <v>2073</v>
      </c>
      <c r="BI14" s="10">
        <v>2074</v>
      </c>
      <c r="BJ14" s="10">
        <v>2075</v>
      </c>
      <c r="BK14" s="10">
        <v>2076</v>
      </c>
      <c r="BL14" s="10">
        <v>2077</v>
      </c>
      <c r="BM14" s="10">
        <v>2078</v>
      </c>
      <c r="BN14" s="10">
        <v>2079</v>
      </c>
      <c r="BO14" s="10">
        <v>2080</v>
      </c>
      <c r="BP14" s="10">
        <v>2081</v>
      </c>
      <c r="BQ14" s="10">
        <v>2082</v>
      </c>
      <c r="BR14" s="10">
        <v>2083</v>
      </c>
      <c r="BS14" s="10">
        <v>2084</v>
      </c>
      <c r="BT14" s="10">
        <v>2085</v>
      </c>
      <c r="BU14" s="10">
        <v>2086</v>
      </c>
      <c r="BV14" s="10">
        <v>2087</v>
      </c>
      <c r="BW14" s="10">
        <v>2088</v>
      </c>
      <c r="BX14" s="10">
        <v>2089</v>
      </c>
      <c r="BY14" s="10">
        <v>2090</v>
      </c>
      <c r="BZ14" s="10">
        <v>2091</v>
      </c>
      <c r="CA14" s="10">
        <v>2092</v>
      </c>
      <c r="CB14" s="10">
        <v>2093</v>
      </c>
      <c r="CC14" s="10">
        <v>2094</v>
      </c>
      <c r="CD14" s="10">
        <v>2095</v>
      </c>
      <c r="CE14" s="10">
        <v>2096</v>
      </c>
      <c r="CF14" s="10">
        <v>2097</v>
      </c>
      <c r="CG14" s="10">
        <v>2098</v>
      </c>
      <c r="CH14" s="10">
        <v>2099</v>
      </c>
      <c r="CI14" s="10">
        <v>2100</v>
      </c>
      <c r="CJ14" s="10">
        <v>2101</v>
      </c>
      <c r="CK14" s="10">
        <v>2102</v>
      </c>
      <c r="CL14" s="10">
        <v>2103</v>
      </c>
      <c r="CM14" s="10">
        <v>2104</v>
      </c>
      <c r="CN14" s="10">
        <v>2105</v>
      </c>
      <c r="CO14" s="10">
        <v>2106</v>
      </c>
      <c r="CP14" s="10">
        <v>2107</v>
      </c>
      <c r="CQ14" s="10">
        <v>2108</v>
      </c>
      <c r="CR14" s="11">
        <v>2109</v>
      </c>
      <c r="CS14" s="126"/>
    </row>
    <row r="15" spans="2:97">
      <c r="B15" s="126"/>
      <c r="C15" s="4" t="str">
        <f>INDEX(_fuel,1)</f>
        <v>Electricity</v>
      </c>
      <c r="D15" s="5" t="s">
        <v>31</v>
      </c>
      <c r="E15" s="150">
        <v>9.7000000000000003E-2</v>
      </c>
      <c r="F15" s="150">
        <v>9.8000000000000004E-2</v>
      </c>
      <c r="G15" s="150">
        <v>9.7000000000000003E-2</v>
      </c>
      <c r="H15" s="150">
        <v>9.8000000000000004E-2</v>
      </c>
      <c r="I15" s="150">
        <v>9.8000000000000004E-2</v>
      </c>
      <c r="J15" s="150">
        <v>9.9000000000000005E-2</v>
      </c>
      <c r="K15" s="150">
        <v>9.9000000000000005E-2</v>
      </c>
      <c r="L15" s="150">
        <v>0.1</v>
      </c>
      <c r="M15" s="150">
        <v>0.10100000000000001</v>
      </c>
      <c r="N15" s="150">
        <v>0.10100000000000001</v>
      </c>
      <c r="O15" s="150">
        <v>0.10199999999999999</v>
      </c>
      <c r="P15" s="150">
        <v>0.10199999999999999</v>
      </c>
      <c r="Q15" s="150">
        <v>0.10299999999999999</v>
      </c>
      <c r="R15" s="150">
        <v>0.104</v>
      </c>
      <c r="S15" s="150">
        <v>0.104</v>
      </c>
      <c r="T15" s="150">
        <v>0.105</v>
      </c>
      <c r="U15" s="150">
        <v>0.106</v>
      </c>
      <c r="V15" s="150">
        <v>0.106</v>
      </c>
      <c r="W15" s="150">
        <v>0.107</v>
      </c>
      <c r="X15" s="150">
        <v>0.107</v>
      </c>
      <c r="Y15" s="150">
        <v>0.108</v>
      </c>
      <c r="Z15" s="150">
        <v>0.109</v>
      </c>
      <c r="AA15" s="150">
        <v>0.109</v>
      </c>
      <c r="AB15" s="150">
        <v>0.11</v>
      </c>
      <c r="AC15" s="150">
        <v>0.111</v>
      </c>
      <c r="AD15" s="150">
        <v>0.111</v>
      </c>
      <c r="AE15" s="150">
        <v>0.112</v>
      </c>
      <c r="AF15" s="150">
        <v>0.113</v>
      </c>
      <c r="AG15" s="150">
        <v>0.113</v>
      </c>
      <c r="AH15" s="150">
        <v>0.114</v>
      </c>
      <c r="AI15" s="150">
        <v>0.115</v>
      </c>
      <c r="AJ15" s="150">
        <v>0.11600000000000001</v>
      </c>
      <c r="AK15" s="150">
        <v>0.11600000000000001</v>
      </c>
      <c r="AL15" s="150">
        <v>0.11700000000000001</v>
      </c>
      <c r="AM15" s="150">
        <v>0.11799999999999999</v>
      </c>
      <c r="AN15" s="150">
        <v>0.11799999999999999</v>
      </c>
      <c r="AO15" s="150">
        <v>0.11899999999999999</v>
      </c>
      <c r="AP15" s="150">
        <v>0.12</v>
      </c>
      <c r="AQ15" s="150">
        <v>0.121</v>
      </c>
      <c r="AR15" s="150">
        <v>0.121</v>
      </c>
      <c r="AS15" s="150">
        <v>0.122</v>
      </c>
      <c r="AT15" s="150">
        <v>0.123</v>
      </c>
      <c r="AU15" s="150">
        <v>0.123</v>
      </c>
      <c r="AV15" s="150">
        <v>0.124</v>
      </c>
      <c r="AW15" s="150">
        <v>0.125</v>
      </c>
      <c r="AX15" s="150">
        <v>0.126</v>
      </c>
      <c r="AY15" s="150">
        <v>0.127</v>
      </c>
      <c r="AZ15" s="150">
        <v>0.127</v>
      </c>
      <c r="BA15" s="150">
        <v>0.128</v>
      </c>
      <c r="BB15" s="150">
        <v>0.129</v>
      </c>
      <c r="BC15" s="150">
        <v>0.13</v>
      </c>
      <c r="BD15" s="150">
        <v>0.13</v>
      </c>
      <c r="BE15" s="150">
        <v>0.13100000000000001</v>
      </c>
      <c r="BF15" s="150">
        <v>0.13200000000000001</v>
      </c>
      <c r="BG15" s="150">
        <v>0.13300000000000001</v>
      </c>
      <c r="BH15" s="150">
        <v>0.13400000000000001</v>
      </c>
      <c r="BI15" s="150">
        <v>0.13400000000000001</v>
      </c>
      <c r="BJ15" s="150">
        <v>0.13500000000000001</v>
      </c>
      <c r="BK15" s="150">
        <v>0.13600000000000001</v>
      </c>
      <c r="BL15" s="150">
        <v>0.13700000000000001</v>
      </c>
      <c r="BM15" s="150">
        <v>0.13800000000000001</v>
      </c>
      <c r="BN15" s="150">
        <v>0.13900000000000001</v>
      </c>
      <c r="BO15" s="150">
        <v>0.14000000000000001</v>
      </c>
      <c r="BP15" s="150">
        <v>0.14000000000000001</v>
      </c>
      <c r="BQ15" s="150">
        <v>0.14099999999999999</v>
      </c>
      <c r="BR15" s="150">
        <v>0.14199999999999999</v>
      </c>
      <c r="BS15" s="150">
        <v>0.14299999999999999</v>
      </c>
      <c r="BT15" s="150">
        <v>0.14399999999999999</v>
      </c>
      <c r="BU15" s="150">
        <v>0.14499999999999999</v>
      </c>
      <c r="BV15" s="150">
        <v>0.14599999999999999</v>
      </c>
      <c r="BW15" s="150">
        <v>0.14699999999999999</v>
      </c>
      <c r="BX15" s="150">
        <v>0.14699999999999999</v>
      </c>
      <c r="BY15" s="150">
        <v>0.14799999999999999</v>
      </c>
      <c r="BZ15" s="150">
        <v>0.14899999999999999</v>
      </c>
      <c r="CA15" s="150">
        <v>0.15</v>
      </c>
      <c r="CB15" s="150">
        <v>0.151</v>
      </c>
      <c r="CC15" s="150">
        <v>0.152</v>
      </c>
      <c r="CD15" s="150">
        <v>0.153</v>
      </c>
      <c r="CE15" s="150">
        <v>0.154</v>
      </c>
      <c r="CF15" s="150">
        <v>0.155</v>
      </c>
      <c r="CG15" s="150">
        <v>0.156</v>
      </c>
      <c r="CH15" s="150">
        <v>0.157</v>
      </c>
      <c r="CI15" s="150">
        <v>0.158</v>
      </c>
      <c r="CJ15" s="150">
        <v>0.159</v>
      </c>
      <c r="CK15" s="150">
        <v>0.16</v>
      </c>
      <c r="CL15" s="150">
        <v>0.161</v>
      </c>
      <c r="CM15" s="150">
        <v>0.16200000000000001</v>
      </c>
      <c r="CN15" s="150">
        <v>0.16300000000000001</v>
      </c>
      <c r="CO15" s="150">
        <v>0.16400000000000001</v>
      </c>
      <c r="CP15" s="150">
        <v>0.16500000000000001</v>
      </c>
      <c r="CQ15" s="150">
        <v>0.16600000000000001</v>
      </c>
      <c r="CR15" s="151">
        <v>0.16700000000000001</v>
      </c>
      <c r="CS15" s="126"/>
    </row>
    <row r="16" spans="2:97">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row>
    <row r="17" spans="3:13">
      <c r="C17" s="39"/>
    </row>
    <row r="19" spans="3:13">
      <c r="C19" s="153" t="s">
        <v>85</v>
      </c>
      <c r="D19" s="154"/>
      <c r="E19" s="154"/>
      <c r="F19" s="154"/>
      <c r="G19" s="120"/>
      <c r="H19" s="120"/>
      <c r="I19" s="120"/>
      <c r="J19" s="120"/>
      <c r="K19" s="120"/>
      <c r="L19" s="120"/>
      <c r="M19" s="120"/>
    </row>
    <row r="20" spans="3:13" ht="15" customHeight="1">
      <c r="C20" s="258" t="s">
        <v>151</v>
      </c>
      <c r="D20" s="258"/>
      <c r="E20" s="258"/>
      <c r="F20" s="258"/>
      <c r="G20" s="258"/>
      <c r="H20" s="258"/>
      <c r="I20" s="258"/>
      <c r="J20" s="258"/>
      <c r="K20" s="258"/>
      <c r="L20" s="258"/>
      <c r="M20" s="258"/>
    </row>
    <row r="21" spans="3:13">
      <c r="C21" s="258"/>
      <c r="D21" s="258"/>
      <c r="E21" s="258"/>
      <c r="F21" s="258"/>
      <c r="G21" s="258"/>
      <c r="H21" s="258"/>
      <c r="I21" s="258"/>
      <c r="J21" s="258"/>
      <c r="K21" s="258"/>
      <c r="L21" s="258"/>
      <c r="M21" s="258"/>
    </row>
    <row r="22" spans="3:13">
      <c r="C22" s="258"/>
      <c r="D22" s="258"/>
      <c r="E22" s="258"/>
      <c r="F22" s="258"/>
      <c r="G22" s="258"/>
      <c r="H22" s="258"/>
      <c r="I22" s="258"/>
      <c r="J22" s="258"/>
      <c r="K22" s="258"/>
      <c r="L22" s="258"/>
      <c r="M22" s="258"/>
    </row>
    <row r="23" spans="3:13">
      <c r="C23" s="258"/>
      <c r="D23" s="258"/>
      <c r="E23" s="258"/>
      <c r="F23" s="258"/>
      <c r="G23" s="258"/>
      <c r="H23" s="258"/>
      <c r="I23" s="258"/>
      <c r="J23" s="258"/>
      <c r="K23" s="258"/>
      <c r="L23" s="258"/>
      <c r="M23" s="258"/>
    </row>
    <row r="24" spans="3:13">
      <c r="C24" s="258"/>
      <c r="D24" s="258"/>
      <c r="E24" s="258"/>
      <c r="F24" s="258"/>
      <c r="G24" s="258"/>
      <c r="H24" s="258"/>
      <c r="I24" s="258"/>
      <c r="J24" s="258"/>
      <c r="K24" s="258"/>
      <c r="L24" s="258"/>
      <c r="M24" s="258"/>
    </row>
    <row r="25" spans="3:13">
      <c r="C25" s="258"/>
      <c r="D25" s="258"/>
      <c r="E25" s="258"/>
      <c r="F25" s="258"/>
      <c r="G25" s="258"/>
      <c r="H25" s="258"/>
      <c r="I25" s="258"/>
      <c r="J25" s="258"/>
      <c r="K25" s="258"/>
      <c r="L25" s="258"/>
      <c r="M25" s="258"/>
    </row>
    <row r="26" spans="3:13">
      <c r="C26" s="258"/>
      <c r="D26" s="258"/>
      <c r="E26" s="258"/>
      <c r="F26" s="258"/>
      <c r="G26" s="258"/>
      <c r="H26" s="258"/>
      <c r="I26" s="258"/>
      <c r="J26" s="258"/>
      <c r="K26" s="258"/>
      <c r="L26" s="258"/>
      <c r="M26" s="258"/>
    </row>
    <row r="27" spans="3:13" ht="11.25" customHeight="1">
      <c r="C27" s="258"/>
      <c r="D27" s="258"/>
      <c r="E27" s="258"/>
      <c r="F27" s="258"/>
      <c r="G27" s="258"/>
      <c r="H27" s="258"/>
      <c r="I27" s="258"/>
      <c r="J27" s="258"/>
      <c r="K27" s="258"/>
      <c r="L27" s="258"/>
      <c r="M27" s="258"/>
    </row>
    <row r="28" spans="3:13">
      <c r="C28" s="258"/>
      <c r="D28" s="258"/>
      <c r="E28" s="258"/>
      <c r="F28" s="258"/>
      <c r="G28" s="258"/>
      <c r="H28" s="258"/>
      <c r="I28" s="258"/>
      <c r="J28" s="258"/>
      <c r="K28" s="258"/>
      <c r="L28" s="258"/>
      <c r="M28" s="258"/>
    </row>
    <row r="29" spans="3:13">
      <c r="C29" s="258"/>
      <c r="D29" s="258"/>
      <c r="E29" s="258"/>
      <c r="F29" s="258"/>
      <c r="G29" s="258"/>
      <c r="H29" s="258"/>
      <c r="I29" s="258"/>
      <c r="J29" s="258"/>
      <c r="K29" s="258"/>
      <c r="L29" s="258"/>
      <c r="M29" s="258"/>
    </row>
    <row r="30" spans="3:13">
      <c r="C30" s="258"/>
      <c r="D30" s="258"/>
      <c r="E30" s="258"/>
      <c r="F30" s="258"/>
      <c r="G30" s="258"/>
      <c r="H30" s="258"/>
      <c r="I30" s="258"/>
      <c r="J30" s="258"/>
      <c r="K30" s="258"/>
      <c r="L30" s="258"/>
      <c r="M30" s="258"/>
    </row>
    <row r="31" spans="3:13">
      <c r="C31" s="258"/>
      <c r="D31" s="258"/>
      <c r="E31" s="258"/>
      <c r="F31" s="258"/>
      <c r="G31" s="258"/>
      <c r="H31" s="258"/>
      <c r="I31" s="258"/>
      <c r="J31" s="258"/>
      <c r="K31" s="258"/>
      <c r="L31" s="258"/>
      <c r="M31" s="258"/>
    </row>
    <row r="32" spans="3:13">
      <c r="C32" s="258"/>
      <c r="D32" s="258"/>
      <c r="E32" s="258"/>
      <c r="F32" s="258"/>
      <c r="G32" s="258"/>
      <c r="H32" s="258"/>
      <c r="I32" s="258"/>
      <c r="J32" s="258"/>
      <c r="K32" s="258"/>
      <c r="L32" s="258"/>
      <c r="M32" s="258"/>
    </row>
    <row r="33" spans="3:13" ht="36" customHeight="1">
      <c r="C33" s="258"/>
      <c r="D33" s="258"/>
      <c r="E33" s="258"/>
      <c r="F33" s="258"/>
      <c r="G33" s="258"/>
      <c r="H33" s="258"/>
      <c r="I33" s="258"/>
      <c r="J33" s="258"/>
      <c r="K33" s="258"/>
      <c r="L33" s="258"/>
      <c r="M33" s="258"/>
    </row>
  </sheetData>
  <mergeCells count="1">
    <mergeCell ref="C20:M33"/>
  </mergeCells>
  <conditionalFormatting sqref="E15:CR15">
    <cfRule type="containsBlanks" dxfId="558" priority="3" stopIfTrue="1">
      <formula>LEN(TRIM(E15))=0</formula>
    </cfRule>
    <cfRule type="notContainsBlanks" dxfId="557" priority="4" stopIfTrue="1">
      <formula>LEN(TRIM(E15))&gt;0</formula>
    </cfRule>
  </conditionalFormatting>
  <conditionalFormatting sqref="E12:CR12">
    <cfRule type="containsBlanks" dxfId="556" priority="5" stopIfTrue="1">
      <formula>LEN(TRIM(E12))=0</formula>
    </cfRule>
    <cfRule type="notContainsBlanks" dxfId="555" priority="6" stopIfTrue="1">
      <formula>LEN(TRIM(E12))&gt;0</formula>
    </cfRule>
  </conditionalFormatting>
  <conditionalFormatting sqref="E6:CR6">
    <cfRule type="containsBlanks" dxfId="554" priority="9" stopIfTrue="1">
      <formula>LEN(TRIM(E6))=0</formula>
    </cfRule>
    <cfRule type="notContainsBlanks" dxfId="553" priority="10" stopIfTrue="1">
      <formula>LEN(TRIM(E6))&gt;0</formula>
    </cfRule>
  </conditionalFormatting>
  <conditionalFormatting sqref="E9:CR9">
    <cfRule type="containsBlanks" dxfId="552" priority="1" stopIfTrue="1">
      <formula>LEN(TRIM(E9))=0</formula>
    </cfRule>
    <cfRule type="notContainsBlanks" dxfId="551" priority="2" stopIfTrue="1">
      <formula>LEN(TRIM(E9))&gt;0</formula>
    </cfRule>
  </conditionalFormatting>
  <pageMargins left="0.7" right="0.7" top="0.75" bottom="0.75" header="0.3" footer="0.3"/>
  <customProperties>
    <customPr name="IsPC" r:id="rId1"/>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NiaTables"/>
  <dimension ref="A1:BJ986"/>
  <sheetViews>
    <sheetView showGridLines="0" zoomScaleNormal="100" workbookViewId="0">
      <selection activeCell="E46" sqref="E46"/>
    </sheetView>
  </sheetViews>
  <sheetFormatPr defaultColWidth="9.109375" defaultRowHeight="10.199999999999999"/>
  <cols>
    <col min="1" max="1" width="9.109375" style="57"/>
    <col min="2" max="2" width="18.109375" style="57" bestFit="1" customWidth="1"/>
    <col min="3" max="3" width="7.5546875" style="57" bestFit="1" customWidth="1"/>
    <col min="4" max="4" width="7.109375" style="57" bestFit="1" customWidth="1"/>
    <col min="5" max="62" width="4.88671875" style="57" bestFit="1" customWidth="1"/>
    <col min="63" max="16384" width="9.109375" style="57"/>
  </cols>
  <sheetData>
    <row r="1" spans="2:9" s="54" customFormat="1">
      <c r="B1" s="55" t="s">
        <v>91</v>
      </c>
    </row>
    <row r="2" spans="2:9" s="61" customFormat="1">
      <c r="B2" s="62"/>
    </row>
    <row r="3" spans="2:9" s="61" customFormat="1">
      <c r="B3" s="62"/>
    </row>
    <row r="4" spans="2:9">
      <c r="B4" s="56" t="s">
        <v>0</v>
      </c>
    </row>
    <row r="5" spans="2:9">
      <c r="B5" s="57" t="s">
        <v>1</v>
      </c>
      <c r="C5" s="58" t="s">
        <v>2</v>
      </c>
      <c r="D5" s="58" t="s">
        <v>3</v>
      </c>
      <c r="E5" s="58" t="s">
        <v>4</v>
      </c>
      <c r="F5" s="58" t="s">
        <v>5</v>
      </c>
      <c r="G5" s="58" t="s">
        <v>6</v>
      </c>
      <c r="H5" s="58" t="s">
        <v>7</v>
      </c>
      <c r="I5" s="58" t="s">
        <v>8</v>
      </c>
    </row>
    <row r="6" spans="2:9">
      <c r="B6" s="59" t="s">
        <v>9</v>
      </c>
      <c r="C6" s="57" t="s">
        <v>2</v>
      </c>
      <c r="D6" s="57" t="s">
        <v>3</v>
      </c>
      <c r="E6" s="57" t="s">
        <v>4</v>
      </c>
      <c r="F6" s="57" t="s">
        <v>5</v>
      </c>
      <c r="G6" s="57" t="s">
        <v>6</v>
      </c>
      <c r="H6" s="57" t="s">
        <v>7</v>
      </c>
      <c r="I6" s="57" t="s">
        <v>8</v>
      </c>
    </row>
    <row r="7" spans="2:9">
      <c r="B7" s="59" t="s">
        <v>10</v>
      </c>
      <c r="C7" s="57" t="s">
        <v>2</v>
      </c>
      <c r="D7" s="57" t="s">
        <v>3</v>
      </c>
      <c r="E7" s="57" t="s">
        <v>4</v>
      </c>
      <c r="F7" s="57" t="s">
        <v>5</v>
      </c>
      <c r="G7" s="57" t="s">
        <v>6</v>
      </c>
      <c r="H7" s="57" t="s">
        <v>7</v>
      </c>
      <c r="I7" s="57" t="s">
        <v>8</v>
      </c>
    </row>
    <row r="8" spans="2:9">
      <c r="B8" s="59" t="s">
        <v>11</v>
      </c>
      <c r="C8" s="57" t="s">
        <v>2</v>
      </c>
      <c r="D8" s="57" t="s">
        <v>3</v>
      </c>
      <c r="E8" s="57" t="s">
        <v>4</v>
      </c>
      <c r="F8" s="57" t="s">
        <v>5</v>
      </c>
      <c r="G8" s="57" t="s">
        <v>6</v>
      </c>
      <c r="H8" s="57" t="s">
        <v>7</v>
      </c>
      <c r="I8" s="57" t="s">
        <v>8</v>
      </c>
    </row>
    <row r="9" spans="2:9">
      <c r="B9" s="59" t="s">
        <v>12</v>
      </c>
      <c r="C9" s="57" t="s">
        <v>2</v>
      </c>
      <c r="D9" s="57" t="s">
        <v>3</v>
      </c>
      <c r="E9" s="57" t="s">
        <v>4</v>
      </c>
      <c r="F9" s="57" t="s">
        <v>5</v>
      </c>
      <c r="G9" s="57" t="s">
        <v>6</v>
      </c>
      <c r="H9" s="57" t="s">
        <v>7</v>
      </c>
      <c r="I9" s="57" t="s">
        <v>8</v>
      </c>
    </row>
    <row r="10" spans="2:9">
      <c r="B10" s="59" t="s">
        <v>13</v>
      </c>
      <c r="C10" s="57" t="s">
        <v>2</v>
      </c>
      <c r="D10" s="57" t="s">
        <v>3</v>
      </c>
      <c r="E10" s="57" t="s">
        <v>4</v>
      </c>
      <c r="F10" s="57" t="s">
        <v>5</v>
      </c>
      <c r="G10" s="57" t="s">
        <v>6</v>
      </c>
      <c r="H10" s="57" t="s">
        <v>7</v>
      </c>
      <c r="I10" s="57" t="s">
        <v>8</v>
      </c>
    </row>
    <row r="11" spans="2:9">
      <c r="B11" s="59" t="s">
        <v>14</v>
      </c>
      <c r="C11" s="57" t="s">
        <v>2</v>
      </c>
      <c r="D11" s="57" t="s">
        <v>3</v>
      </c>
      <c r="E11" s="57" t="s">
        <v>4</v>
      </c>
      <c r="F11" s="57" t="s">
        <v>5</v>
      </c>
      <c r="G11" s="57" t="s">
        <v>6</v>
      </c>
      <c r="H11" s="57" t="s">
        <v>7</v>
      </c>
      <c r="I11" s="57" t="s">
        <v>8</v>
      </c>
    </row>
    <row r="12" spans="2:9">
      <c r="B12" s="59" t="s">
        <v>15</v>
      </c>
      <c r="C12" s="57" t="s">
        <v>2</v>
      </c>
      <c r="D12" s="57" t="s">
        <v>3</v>
      </c>
      <c r="E12" s="57" t="s">
        <v>4</v>
      </c>
      <c r="F12" s="57" t="s">
        <v>5</v>
      </c>
      <c r="G12" s="57" t="s">
        <v>6</v>
      </c>
      <c r="H12" s="57" t="s">
        <v>7</v>
      </c>
      <c r="I12" s="57" t="s">
        <v>8</v>
      </c>
    </row>
    <row r="13" spans="2:9">
      <c r="B13" s="57" t="s">
        <v>16</v>
      </c>
      <c r="C13" s="58" t="s">
        <v>2</v>
      </c>
      <c r="D13" s="58" t="s">
        <v>3</v>
      </c>
      <c r="E13" s="58" t="s">
        <v>4</v>
      </c>
      <c r="F13" s="58" t="s">
        <v>5</v>
      </c>
      <c r="G13" s="58" t="s">
        <v>6</v>
      </c>
      <c r="H13" s="58" t="s">
        <v>7</v>
      </c>
      <c r="I13" s="58" t="s">
        <v>8</v>
      </c>
    </row>
    <row r="14" spans="2:9">
      <c r="B14" s="59" t="str">
        <f t="array" ref="B14:B20">TRANSPOSE(sPC)</f>
        <v>AxH</v>
      </c>
      <c r="C14" s="57" t="s">
        <v>2</v>
      </c>
      <c r="D14" s="57" t="s">
        <v>3</v>
      </c>
      <c r="E14" s="57" t="s">
        <v>4</v>
      </c>
      <c r="F14" s="57" t="s">
        <v>5</v>
      </c>
      <c r="G14" s="57" t="s">
        <v>6</v>
      </c>
      <c r="H14" s="57" t="s">
        <v>7</v>
      </c>
      <c r="I14" s="57" t="s">
        <v>8</v>
      </c>
    </row>
    <row r="15" spans="2:9">
      <c r="B15" s="59" t="str">
        <v>AxU</v>
      </c>
      <c r="C15" s="57" t="s">
        <v>2</v>
      </c>
      <c r="D15" s="57" t="s">
        <v>3</v>
      </c>
      <c r="E15" s="57" t="s">
        <v>4</v>
      </c>
      <c r="F15" s="57" t="s">
        <v>5</v>
      </c>
      <c r="G15" s="57" t="s">
        <v>6</v>
      </c>
      <c r="H15" s="57" t="s">
        <v>7</v>
      </c>
      <c r="I15" s="57" t="s">
        <v>8</v>
      </c>
    </row>
    <row r="16" spans="2:9">
      <c r="B16" s="59" t="str">
        <v>CnH</v>
      </c>
      <c r="C16" s="57" t="s">
        <v>2</v>
      </c>
      <c r="D16" s="57" t="s">
        <v>3</v>
      </c>
      <c r="E16" s="57" t="s">
        <v>4</v>
      </c>
      <c r="F16" s="57" t="s">
        <v>5</v>
      </c>
      <c r="G16" s="57" t="s">
        <v>6</v>
      </c>
      <c r="H16" s="57" t="s">
        <v>7</v>
      </c>
      <c r="I16" s="57" t="s">
        <v>8</v>
      </c>
    </row>
    <row r="17" spans="2:9">
      <c r="B17" s="59" t="str">
        <v>CnU</v>
      </c>
      <c r="C17" s="57" t="s">
        <v>2</v>
      </c>
      <c r="D17" s="57" t="s">
        <v>3</v>
      </c>
      <c r="E17" s="57" t="s">
        <v>4</v>
      </c>
      <c r="F17" s="57" t="s">
        <v>5</v>
      </c>
      <c r="G17" s="57" t="s">
        <v>6</v>
      </c>
      <c r="H17" s="57" t="s">
        <v>7</v>
      </c>
      <c r="I17" s="57" t="s">
        <v>8</v>
      </c>
    </row>
    <row r="18" spans="2:9">
      <c r="B18" s="59" t="str">
        <v>InMx</v>
      </c>
      <c r="C18" s="57" t="s">
        <v>2</v>
      </c>
      <c r="D18" s="57" t="s">
        <v>3</v>
      </c>
      <c r="E18" s="57" t="s">
        <v>4</v>
      </c>
      <c r="F18" s="57" t="s">
        <v>5</v>
      </c>
      <c r="G18" s="57" t="s">
        <v>6</v>
      </c>
      <c r="H18" s="57" t="s">
        <v>7</v>
      </c>
      <c r="I18" s="57" t="s">
        <v>8</v>
      </c>
    </row>
    <row r="19" spans="2:9">
      <c r="B19" s="59" t="str">
        <v>Rad</v>
      </c>
      <c r="C19" s="57" t="s">
        <v>2</v>
      </c>
      <c r="D19" s="57" t="s">
        <v>3</v>
      </c>
      <c r="E19" s="57" t="s">
        <v>4</v>
      </c>
      <c r="F19" s="57" t="s">
        <v>5</v>
      </c>
      <c r="G19" s="57" t="s">
        <v>6</v>
      </c>
      <c r="H19" s="57" t="s">
        <v>7</v>
      </c>
      <c r="I19" s="57" t="s">
        <v>8</v>
      </c>
    </row>
    <row r="20" spans="2:9">
      <c r="B20" s="59" t="str">
        <v>PRV</v>
      </c>
      <c r="C20" s="57" t="s">
        <v>2</v>
      </c>
      <c r="D20" s="57" t="s">
        <v>3</v>
      </c>
      <c r="E20" s="57" t="s">
        <v>4</v>
      </c>
      <c r="F20" s="57" t="s">
        <v>5</v>
      </c>
      <c r="G20" s="57" t="s">
        <v>6</v>
      </c>
      <c r="H20" s="57" t="s">
        <v>7</v>
      </c>
      <c r="I20" s="57" t="s">
        <v>8</v>
      </c>
    </row>
    <row r="22" spans="2:9">
      <c r="B22" s="56" t="s">
        <v>17</v>
      </c>
    </row>
    <row r="23" spans="2:9">
      <c r="B23" s="57" t="s">
        <v>18</v>
      </c>
      <c r="C23" s="57" t="s">
        <v>72</v>
      </c>
    </row>
    <row r="25" spans="2:9">
      <c r="B25" s="56" t="s">
        <v>19</v>
      </c>
      <c r="C25" s="58">
        <v>1</v>
      </c>
      <c r="D25" s="58">
        <v>2</v>
      </c>
      <c r="E25" s="58">
        <v>3</v>
      </c>
      <c r="F25" s="58">
        <v>4</v>
      </c>
      <c r="G25" s="58">
        <v>5</v>
      </c>
      <c r="H25" s="58">
        <v>6</v>
      </c>
    </row>
    <row r="26" spans="2:9">
      <c r="B26" s="59" t="str">
        <f t="array" ref="B26:B32">_pcName</f>
        <v>Axial Housed</v>
      </c>
      <c r="C26" s="57">
        <v>1</v>
      </c>
      <c r="D26" s="57">
        <v>2</v>
      </c>
      <c r="E26" s="57">
        <v>3</v>
      </c>
      <c r="F26" s="57">
        <v>4</v>
      </c>
      <c r="G26" s="57">
        <v>5</v>
      </c>
      <c r="H26" s="57">
        <v>6</v>
      </c>
    </row>
    <row r="27" spans="2:9">
      <c r="B27" s="59" t="str">
        <v>Axial Unhoused</v>
      </c>
      <c r="C27" s="57">
        <v>1</v>
      </c>
      <c r="D27" s="57">
        <v>2</v>
      </c>
      <c r="E27" s="57">
        <v>3</v>
      </c>
      <c r="F27" s="57">
        <v>4</v>
      </c>
      <c r="G27" s="57">
        <v>5</v>
      </c>
      <c r="H27" s="57">
        <v>6</v>
      </c>
    </row>
    <row r="28" spans="2:9">
      <c r="B28" s="59" t="str">
        <v>Centrif Housed</v>
      </c>
      <c r="C28" s="57">
        <v>1</v>
      </c>
      <c r="D28" s="57">
        <v>2</v>
      </c>
      <c r="E28" s="57">
        <v>3</v>
      </c>
      <c r="F28" s="57">
        <v>4</v>
      </c>
      <c r="G28" s="57">
        <v>5</v>
      </c>
      <c r="H28" s="57">
        <v>6</v>
      </c>
    </row>
    <row r="29" spans="2:9">
      <c r="B29" s="59" t="str">
        <v>Centrif Unhous</v>
      </c>
      <c r="C29" s="57">
        <v>1</v>
      </c>
      <c r="D29" s="57">
        <v>2</v>
      </c>
      <c r="E29" s="57">
        <v>3</v>
      </c>
      <c r="F29" s="57">
        <v>4</v>
      </c>
      <c r="G29" s="57">
        <v>5</v>
      </c>
      <c r="H29" s="57">
        <v>6</v>
      </c>
    </row>
    <row r="30" spans="2:9">
      <c r="B30" s="59" t="str">
        <v>Inline-Mixed</v>
      </c>
      <c r="C30" s="57">
        <v>1</v>
      </c>
      <c r="D30" s="57">
        <v>2</v>
      </c>
      <c r="E30" s="57">
        <v>3</v>
      </c>
      <c r="F30" s="57">
        <v>4</v>
      </c>
      <c r="G30" s="57">
        <v>5</v>
      </c>
      <c r="H30" s="57">
        <v>6</v>
      </c>
    </row>
    <row r="31" spans="2:9">
      <c r="B31" s="59" t="str">
        <v>Radial</v>
      </c>
      <c r="C31" s="57">
        <v>1</v>
      </c>
      <c r="D31" s="57">
        <v>2</v>
      </c>
      <c r="E31" s="57">
        <v>3</v>
      </c>
      <c r="F31" s="57">
        <v>4</v>
      </c>
      <c r="G31" s="57">
        <v>5</v>
      </c>
      <c r="H31" s="57">
        <v>6</v>
      </c>
    </row>
    <row r="32" spans="2:9">
      <c r="B32" s="59" t="str">
        <v>Power Roof Vent</v>
      </c>
      <c r="C32" s="57">
        <v>1</v>
      </c>
      <c r="D32" s="57">
        <v>2</v>
      </c>
      <c r="E32" s="57">
        <v>3</v>
      </c>
      <c r="F32" s="57">
        <v>4</v>
      </c>
      <c r="G32" s="57">
        <v>5</v>
      </c>
      <c r="H32" s="57">
        <v>6</v>
      </c>
    </row>
    <row r="33" spans="2:62">
      <c r="B33" s="56" t="s">
        <v>20</v>
      </c>
      <c r="C33" s="57">
        <v>2019</v>
      </c>
      <c r="D33" s="57">
        <v>2019</v>
      </c>
      <c r="E33" s="57">
        <v>2019</v>
      </c>
      <c r="F33" s="57">
        <v>2019</v>
      </c>
      <c r="G33" s="57">
        <v>2019</v>
      </c>
      <c r="H33" s="57">
        <v>2019</v>
      </c>
    </row>
    <row r="34" spans="2:62">
      <c r="B34" s="56" t="s">
        <v>21</v>
      </c>
      <c r="C34" s="57">
        <v>30</v>
      </c>
      <c r="D34" s="57">
        <v>30</v>
      </c>
      <c r="E34" s="57">
        <v>30</v>
      </c>
      <c r="F34" s="57">
        <v>30</v>
      </c>
      <c r="G34" s="57">
        <v>30</v>
      </c>
      <c r="H34" s="57">
        <v>30</v>
      </c>
    </row>
    <row r="36" spans="2:62">
      <c r="B36" s="56" t="s">
        <v>22</v>
      </c>
      <c r="C36" s="60">
        <f t="array" ref="C36:BJ36">(1+dRate)^(1-_t)</f>
        <v>1</v>
      </c>
      <c r="D36" s="60">
        <v>0.93457943925233644</v>
      </c>
      <c r="E36" s="60">
        <v>0.87343872827321156</v>
      </c>
      <c r="F36" s="60">
        <v>0.81629787689085187</v>
      </c>
      <c r="G36" s="60">
        <v>0.7628952120475252</v>
      </c>
      <c r="H36" s="60">
        <v>0.71298617948366838</v>
      </c>
      <c r="I36" s="60">
        <v>0.66634222381651254</v>
      </c>
      <c r="J36" s="60">
        <v>0.62274974188459109</v>
      </c>
      <c r="K36" s="60">
        <v>0.5820091045650384</v>
      </c>
      <c r="L36" s="60">
        <v>0.54393374258414806</v>
      </c>
      <c r="M36" s="60">
        <v>0.5083492921347178</v>
      </c>
      <c r="N36" s="60">
        <v>0.47509279638758667</v>
      </c>
      <c r="O36" s="60">
        <v>0.44401195924073528</v>
      </c>
      <c r="P36" s="60">
        <v>0.41496444788853759</v>
      </c>
      <c r="Q36" s="60">
        <v>0.3878172410173249</v>
      </c>
      <c r="R36" s="60">
        <v>0.36244601964235967</v>
      </c>
      <c r="S36" s="60">
        <v>0.33873459779659787</v>
      </c>
      <c r="T36" s="60">
        <v>0.31657439046411018</v>
      </c>
      <c r="U36" s="60">
        <v>0.29586391632159825</v>
      </c>
      <c r="V36" s="60">
        <v>0.27650833301083949</v>
      </c>
      <c r="W36" s="60">
        <v>0.2584190028138687</v>
      </c>
      <c r="X36" s="60">
        <v>0.24151308674193336</v>
      </c>
      <c r="Y36" s="60">
        <v>0.22571316517937698</v>
      </c>
      <c r="Z36" s="60">
        <v>0.21094688334521211</v>
      </c>
      <c r="AA36" s="60">
        <v>0.19714661994879637</v>
      </c>
      <c r="AB36" s="60">
        <v>0.18424917752223957</v>
      </c>
      <c r="AC36" s="60">
        <v>0.17219549301143888</v>
      </c>
      <c r="AD36" s="60">
        <v>0.16093036730041013</v>
      </c>
      <c r="AE36" s="60">
        <v>0.15040221243028987</v>
      </c>
      <c r="AF36" s="60">
        <v>0.1405628153554111</v>
      </c>
      <c r="AG36" s="60">
        <v>0.13136711715458982</v>
      </c>
      <c r="AH36" s="60">
        <v>0.1227730066865325</v>
      </c>
      <c r="AI36" s="60">
        <v>0.11474112774442291</v>
      </c>
      <c r="AJ36" s="60">
        <v>0.10723469882656347</v>
      </c>
      <c r="AK36" s="60">
        <v>0.10021934469772288</v>
      </c>
      <c r="AL36" s="60">
        <v>9.366293896983445E-2</v>
      </c>
      <c r="AM36" s="60">
        <v>8.7535456981153698E-2</v>
      </c>
      <c r="AN36" s="60">
        <v>8.1808838300143641E-2</v>
      </c>
      <c r="AO36" s="60">
        <v>7.6456858224433308E-2</v>
      </c>
      <c r="AP36" s="60">
        <v>7.1455007686386268E-2</v>
      </c>
      <c r="AQ36" s="60">
        <v>6.6780381015314264E-2</v>
      </c>
      <c r="AR36" s="60">
        <v>6.2411571042349782E-2</v>
      </c>
      <c r="AS36" s="60">
        <v>5.8328571067616623E-2</v>
      </c>
      <c r="AT36" s="60">
        <v>5.4512683240763193E-2</v>
      </c>
      <c r="AU36" s="60">
        <v>5.0946432935292711E-2</v>
      </c>
      <c r="AV36" s="60">
        <v>4.761348872457262E-2</v>
      </c>
      <c r="AW36" s="60">
        <v>4.4498587593058525E-2</v>
      </c>
      <c r="AX36" s="60">
        <v>4.1587465040241613E-2</v>
      </c>
      <c r="AY36" s="60">
        <v>3.8866789757235155E-2</v>
      </c>
      <c r="AZ36" s="60">
        <v>3.6324102576855283E-2</v>
      </c>
      <c r="BA36" s="60">
        <v>3.3947759417621758E-2</v>
      </c>
      <c r="BB36" s="60">
        <v>3.1726877960394168E-2</v>
      </c>
      <c r="BC36" s="60">
        <v>2.9651287813452491E-2</v>
      </c>
      <c r="BD36" s="60">
        <v>2.7711483937806064E-2</v>
      </c>
      <c r="BE36" s="60">
        <v>2.5898583119444922E-2</v>
      </c>
      <c r="BF36" s="60">
        <v>2.4204283289200861E-2</v>
      </c>
      <c r="BG36" s="60">
        <v>2.262082550392604E-2</v>
      </c>
      <c r="BH36" s="60">
        <v>2.1140958414884149E-2</v>
      </c>
      <c r="BI36" s="60">
        <v>1.9757905060639392E-2</v>
      </c>
      <c r="BJ36" s="60">
        <v>1.8465331832373259E-2</v>
      </c>
    </row>
    <row r="38" spans="2:62">
      <c r="B38" s="56" t="s">
        <v>23</v>
      </c>
      <c r="C38" s="57" t="s">
        <v>73</v>
      </c>
      <c r="D38" s="57" t="s">
        <v>73</v>
      </c>
    </row>
    <row r="39" spans="2:62">
      <c r="B39" s="57" t="s">
        <v>24</v>
      </c>
      <c r="C39" s="57" t="s">
        <v>73</v>
      </c>
    </row>
    <row r="41" spans="2:62">
      <c r="B41" s="56" t="s">
        <v>25</v>
      </c>
      <c r="C41" s="57" t="s">
        <v>74</v>
      </c>
      <c r="D41" s="57" t="s">
        <v>75</v>
      </c>
      <c r="E41" s="57" t="s">
        <v>76</v>
      </c>
    </row>
    <row r="42" spans="2:62">
      <c r="B42" s="57" t="s">
        <v>26</v>
      </c>
    </row>
    <row r="43" spans="2:62">
      <c r="B43" s="59" t="s">
        <v>27</v>
      </c>
      <c r="C43" s="57" t="s">
        <v>74</v>
      </c>
    </row>
    <row r="44" spans="2:62">
      <c r="B44" s="59" t="s">
        <v>28</v>
      </c>
      <c r="C44" s="57" t="s">
        <v>76</v>
      </c>
    </row>
    <row r="45" spans="2:62">
      <c r="B45" s="59" t="s">
        <v>29</v>
      </c>
      <c r="C45" s="57" t="s">
        <v>75</v>
      </c>
    </row>
    <row r="986" spans="1:1">
      <c r="A986" s="58"/>
    </row>
  </sheetData>
  <conditionalFormatting sqref="C6:I12">
    <cfRule type="containsBlanks" dxfId="550" priority="99" stopIfTrue="1">
      <formula>LEN(TRIM(C6))=0</formula>
    </cfRule>
    <cfRule type="notContainsBlanks" dxfId="549" priority="100" stopIfTrue="1">
      <formula>LEN(TRIM(C6))&gt;0</formula>
    </cfRule>
  </conditionalFormatting>
  <conditionalFormatting sqref="C23">
    <cfRule type="containsBlanks" dxfId="548" priority="169" stopIfTrue="1">
      <formula>LEN(TRIM(C23))=0</formula>
    </cfRule>
    <cfRule type="notContainsBlanks" dxfId="547" priority="170" stopIfTrue="1">
      <formula>LEN(TRIM(C23))&gt;0</formula>
    </cfRule>
  </conditionalFormatting>
  <conditionalFormatting sqref="A988">
    <cfRule type="containsBlanks" dxfId="546" priority="203" stopIfTrue="1">
      <formula>LEN(TRIM(A988))=0</formula>
    </cfRule>
    <cfRule type="notContainsBlanks" dxfId="545" priority="204" stopIfTrue="1">
      <formula>LEN(TRIM(A988))&gt;0</formula>
    </cfRule>
  </conditionalFormatting>
  <conditionalFormatting sqref="A989">
    <cfRule type="containsBlanks" dxfId="544" priority="213" stopIfTrue="1">
      <formula>LEN(TRIM(A989))=0</formula>
    </cfRule>
    <cfRule type="notContainsBlanks" dxfId="543" priority="214" stopIfTrue="1">
      <formula>LEN(TRIM(A989))&gt;0</formula>
    </cfRule>
  </conditionalFormatting>
  <conditionalFormatting sqref="C36:BJ36">
    <cfRule type="containsBlanks" dxfId="542" priority="235" stopIfTrue="1">
      <formula>LEN(TRIM(C36))=0</formula>
    </cfRule>
    <cfRule type="notContainsBlanks" dxfId="541" priority="236" stopIfTrue="1">
      <formula>LEN(TRIM(C36))&gt;0</formula>
    </cfRule>
  </conditionalFormatting>
  <conditionalFormatting sqref="C38:D38">
    <cfRule type="containsBlanks" dxfId="540" priority="243" stopIfTrue="1">
      <formula>LEN(TRIM(C38))=0</formula>
    </cfRule>
    <cfRule type="notContainsBlanks" dxfId="539" priority="244" stopIfTrue="1">
      <formula>LEN(TRIM(C38))&gt;0</formula>
    </cfRule>
  </conditionalFormatting>
  <conditionalFormatting sqref="C39">
    <cfRule type="containsBlanks" dxfId="538" priority="251" stopIfTrue="1">
      <formula>LEN(TRIM(C39))=0</formula>
    </cfRule>
    <cfRule type="notContainsBlanks" dxfId="537" priority="252" stopIfTrue="1">
      <formula>LEN(TRIM(C39))&gt;0</formula>
    </cfRule>
  </conditionalFormatting>
  <conditionalFormatting sqref="C41:E41">
    <cfRule type="containsBlanks" dxfId="536" priority="259" stopIfTrue="1">
      <formula>LEN(TRIM(C41))=0</formula>
    </cfRule>
    <cfRule type="notContainsBlanks" dxfId="535" priority="260" stopIfTrue="1">
      <formula>LEN(TRIM(C41))&gt;0</formula>
    </cfRule>
  </conditionalFormatting>
  <conditionalFormatting sqref="C43">
    <cfRule type="containsBlanks" dxfId="534" priority="273" stopIfTrue="1">
      <formula>LEN(TRIM(C43))=0</formula>
    </cfRule>
    <cfRule type="expression" dxfId="533" priority="274" stopIfTrue="1">
      <formula>COUNTIF($C$43:$C$45,sPIdxRef)&gt;1</formula>
    </cfRule>
    <cfRule type="notContainsBlanks" dxfId="532" priority="275" stopIfTrue="1">
      <formula>LEN(TRIM(C43))&gt;0</formula>
    </cfRule>
  </conditionalFormatting>
  <conditionalFormatting sqref="C44">
    <cfRule type="containsBlanks" dxfId="531" priority="282" stopIfTrue="1">
      <formula>LEN(TRIM(C44))=0</formula>
    </cfRule>
    <cfRule type="expression" dxfId="530" priority="283" stopIfTrue="1">
      <formula>COUNTIF($C$43:$C$45,sPIdxLow)&gt;1</formula>
    </cfRule>
    <cfRule type="notContainsBlanks" dxfId="529" priority="284" stopIfTrue="1">
      <formula>LEN(TRIM(C44))&gt;0</formula>
    </cfRule>
  </conditionalFormatting>
  <conditionalFormatting sqref="C45">
    <cfRule type="containsBlanks" dxfId="528" priority="291" stopIfTrue="1">
      <formula>LEN(TRIM(C45))=0</formula>
    </cfRule>
    <cfRule type="expression" dxfId="527" priority="292" stopIfTrue="1">
      <formula>COUNTIF($C$43:$C$45,sPIdxHigh)&gt;1</formula>
    </cfRule>
    <cfRule type="notContainsBlanks" dxfId="526" priority="293" stopIfTrue="1">
      <formula>LEN(TRIM(C45))&gt;0</formula>
    </cfRule>
  </conditionalFormatting>
  <conditionalFormatting sqref="C14:I20">
    <cfRule type="containsBlanks" dxfId="525" priority="1" stopIfTrue="1">
      <formula>LEN(TRIM(C14))=0</formula>
    </cfRule>
    <cfRule type="notContainsBlanks" dxfId="524" priority="2" stopIfTrue="1">
      <formula>LEN(TRIM(C14))&gt;0</formula>
    </cfRule>
  </conditionalFormatting>
  <conditionalFormatting sqref="C26:H32">
    <cfRule type="containsBlanks" dxfId="523" priority="540" stopIfTrue="1">
      <formula>LEN(TRIM(C26))=0</formula>
    </cfRule>
    <cfRule type="notContainsBlanks" dxfId="522" priority="541" stopIfTrue="1">
      <formula>LEN(TRIM(C26))&gt;0</formula>
    </cfRule>
  </conditionalFormatting>
  <conditionalFormatting sqref="C33:H33">
    <cfRule type="containsBlanks" dxfId="521" priority="542" stopIfTrue="1">
      <formula>LEN(TRIM(C33))=0</formula>
    </cfRule>
    <cfRule type="notContainsBlanks" dxfId="520" priority="543" stopIfTrue="1">
      <formula>LEN(TRIM(C33))&gt;0</formula>
    </cfRule>
  </conditionalFormatting>
  <conditionalFormatting sqref="C34:H34">
    <cfRule type="containsBlanks" dxfId="519" priority="544" stopIfTrue="1">
      <formula>LEN(TRIM(C34))=0</formula>
    </cfRule>
    <cfRule type="notContainsBlanks" dxfId="518" priority="545" stopIfTrue="1">
      <formula>LEN(TRIM(C34))&gt;0</formula>
    </cfRule>
  </conditionalFormatting>
  <dataValidations count="5">
    <dataValidation type="list" allowBlank="1" showInputMessage="1" showErrorMessage="1" sqref="C23">
      <formula1>"Res,Com,Ind"</formula1>
    </dataValidation>
    <dataValidation type="whole" allowBlank="1" showInputMessage="1" showErrorMessage="1" sqref="C33">
      <formula1>2018</formula1>
      <formula2>2021</formula2>
    </dataValidation>
    <dataValidation type="whole" allowBlank="1" showInputMessage="1" showErrorMessage="1" sqref="C34">
      <formula1>1</formula1>
      <formula2>33</formula2>
    </dataValidation>
    <dataValidation type="list" allowBlank="1" showInputMessage="1" showErrorMessage="1" sqref="C39">
      <formula1>_EIdx</formula1>
    </dataValidation>
    <dataValidation type="list" allowBlank="1" showInputMessage="1" showErrorMessage="1" sqref="C43:C45">
      <formula1>_PIdx</formula1>
    </dataValidation>
  </dataValidations>
  <pageMargins left="0.7" right="0.7" top="0.75" bottom="0.75" header="0.3" footer="0.3"/>
  <pageSetup paperSize="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CF94"/>
  <sheetViews>
    <sheetView showGridLines="0" zoomScaleNormal="100" workbookViewId="0">
      <selection activeCell="B3" sqref="B3"/>
    </sheetView>
  </sheetViews>
  <sheetFormatPr defaultColWidth="9.109375" defaultRowHeight="10.199999999999999"/>
  <cols>
    <col min="1" max="1" width="9.109375" style="63" customWidth="1"/>
    <col min="2" max="2" width="9.6640625" style="63" bestFit="1" customWidth="1"/>
    <col min="3" max="3" width="15.33203125" style="63" bestFit="1" customWidth="1"/>
    <col min="4" max="4" width="5.88671875" style="63" bestFit="1" customWidth="1"/>
    <col min="5" max="7" width="6.88671875" style="63" bestFit="1" customWidth="1"/>
    <col min="8" max="8" width="7.6640625" style="63" bestFit="1" customWidth="1"/>
    <col min="9" max="11" width="6.88671875" style="63" bestFit="1" customWidth="1"/>
    <col min="12" max="12" width="3.6640625" style="63" customWidth="1"/>
    <col min="13" max="13" width="9.109375" style="63"/>
    <col min="14" max="14" width="3.6640625" style="63" customWidth="1"/>
    <col min="15" max="15" width="15.33203125" style="63" bestFit="1" customWidth="1"/>
    <col min="16" max="16" width="5.88671875" style="63" bestFit="1" customWidth="1"/>
    <col min="17" max="19" width="6" style="63" bestFit="1" customWidth="1"/>
    <col min="20" max="23" width="6.88671875" style="63" bestFit="1" customWidth="1"/>
    <col min="24" max="24" width="3.6640625" style="63" customWidth="1"/>
    <col min="25" max="25" width="9.109375" style="63"/>
    <col min="26" max="26" width="3.6640625" style="63" customWidth="1"/>
    <col min="27" max="27" width="15.33203125" style="63" bestFit="1" customWidth="1"/>
    <col min="28" max="28" width="5.88671875" style="63" bestFit="1" customWidth="1"/>
    <col min="29" max="29" width="6.88671875" style="63" bestFit="1" customWidth="1"/>
    <col min="30" max="30" width="7.6640625" style="63" bestFit="1" customWidth="1"/>
    <col min="31" max="35" width="6.88671875" style="63" bestFit="1" customWidth="1"/>
    <col min="36" max="36" width="3.6640625" style="63" customWidth="1"/>
    <col min="37" max="37" width="9.109375" style="63"/>
    <col min="38" max="38" width="3.6640625" style="63" customWidth="1"/>
    <col min="39" max="39" width="15.33203125" style="63" bestFit="1" customWidth="1"/>
    <col min="40" max="40" width="6" style="63" bestFit="1" customWidth="1"/>
    <col min="41" max="41" width="6.88671875" style="63" bestFit="1" customWidth="1"/>
    <col min="42" max="44" width="7" style="63" bestFit="1" customWidth="1"/>
    <col min="45" max="46" width="6.88671875" style="63" bestFit="1" customWidth="1"/>
    <col min="47" max="47" width="7" style="63" bestFit="1" customWidth="1"/>
    <col min="48" max="48" width="3.6640625" style="63" customWidth="1"/>
    <col min="49" max="49" width="9.109375" style="63"/>
    <col min="50" max="50" width="3.6640625" style="63" customWidth="1"/>
    <col min="51" max="51" width="15.33203125" style="63" bestFit="1" customWidth="1"/>
    <col min="52" max="52" width="5.88671875" style="63" bestFit="1" customWidth="1"/>
    <col min="53" max="53" width="6" style="63" bestFit="1" customWidth="1"/>
    <col min="54" max="59" width="6.88671875" style="63" bestFit="1" customWidth="1"/>
    <col min="60" max="60" width="3.6640625" style="63" customWidth="1"/>
    <col min="61" max="61" width="9.109375" style="63"/>
    <col min="62" max="62" width="3.6640625" style="63" customWidth="1"/>
    <col min="63" max="63" width="15.33203125" style="63" bestFit="1" customWidth="1"/>
    <col min="64" max="64" width="5.88671875" style="63" bestFit="1" customWidth="1"/>
    <col min="65" max="71" width="6.88671875" style="63" bestFit="1" customWidth="1"/>
    <col min="72" max="72" width="3.6640625" style="63" customWidth="1"/>
    <col min="73" max="73" width="9.109375" style="63"/>
    <col min="74" max="74" width="3.6640625" style="63" customWidth="1"/>
    <col min="75" max="75" width="15.33203125" style="63" bestFit="1" customWidth="1"/>
    <col min="76" max="76" width="5.88671875" style="63" bestFit="1" customWidth="1"/>
    <col min="77" max="77" width="6.88671875" style="63" bestFit="1" customWidth="1"/>
    <col min="78" max="78" width="6" style="63" bestFit="1" customWidth="1"/>
    <col min="79" max="83" width="6.88671875" style="63" bestFit="1" customWidth="1"/>
    <col min="84" max="84" width="3.6640625" style="63" customWidth="1"/>
    <col min="85" max="16384" width="9.109375" style="63"/>
  </cols>
  <sheetData>
    <row r="1" spans="2:84" s="54" customFormat="1">
      <c r="B1" s="55" t="s">
        <v>94</v>
      </c>
    </row>
    <row r="3" spans="2:84">
      <c r="B3" s="64"/>
      <c r="C3" s="64"/>
      <c r="D3" s="64"/>
      <c r="E3" s="64"/>
      <c r="F3" s="64"/>
      <c r="G3" s="64"/>
      <c r="H3" s="64"/>
      <c r="I3" s="64"/>
      <c r="J3" s="64"/>
      <c r="K3" s="64"/>
      <c r="L3" s="64"/>
      <c r="N3" s="64"/>
      <c r="O3" s="64"/>
      <c r="P3" s="64"/>
      <c r="Q3" s="64"/>
      <c r="R3" s="64"/>
      <c r="S3" s="64"/>
      <c r="T3" s="64"/>
      <c r="U3" s="64"/>
      <c r="V3" s="64"/>
      <c r="W3" s="64"/>
      <c r="X3" s="64"/>
      <c r="Z3" s="64"/>
      <c r="AA3" s="64"/>
      <c r="AB3" s="64"/>
      <c r="AC3" s="64"/>
      <c r="AD3" s="64"/>
      <c r="AE3" s="64"/>
      <c r="AF3" s="64"/>
      <c r="AG3" s="64"/>
      <c r="AH3" s="64"/>
      <c r="AI3" s="64"/>
      <c r="AJ3" s="64"/>
      <c r="AL3" s="64"/>
      <c r="AM3" s="64"/>
      <c r="AN3" s="64"/>
      <c r="AO3" s="64"/>
      <c r="AP3" s="64"/>
      <c r="AQ3" s="64"/>
      <c r="AR3" s="64"/>
      <c r="AS3" s="64"/>
      <c r="AT3" s="64"/>
      <c r="AU3" s="64"/>
      <c r="AV3" s="64"/>
      <c r="AX3" s="64"/>
      <c r="AY3" s="64"/>
      <c r="AZ3" s="64"/>
      <c r="BA3" s="64"/>
      <c r="BB3" s="64"/>
      <c r="BC3" s="64"/>
      <c r="BD3" s="64"/>
      <c r="BE3" s="64"/>
      <c r="BF3" s="64"/>
      <c r="BG3" s="64"/>
      <c r="BH3" s="64"/>
      <c r="BJ3" s="64"/>
      <c r="BK3" s="64"/>
      <c r="BL3" s="64"/>
      <c r="BM3" s="64"/>
      <c r="BN3" s="64"/>
      <c r="BO3" s="64"/>
      <c r="BP3" s="64"/>
      <c r="BQ3" s="64"/>
      <c r="BR3" s="64"/>
      <c r="BS3" s="64"/>
      <c r="BT3" s="64"/>
      <c r="BV3" s="64"/>
      <c r="BW3" s="64"/>
      <c r="BX3" s="64"/>
      <c r="BY3" s="64"/>
      <c r="BZ3" s="64"/>
      <c r="CA3" s="64"/>
      <c r="CB3" s="64"/>
      <c r="CC3" s="64"/>
      <c r="CD3" s="64"/>
      <c r="CE3" s="64"/>
      <c r="CF3" s="64"/>
    </row>
    <row r="4" spans="2:84">
      <c r="B4" s="64"/>
      <c r="C4" s="65" t="str">
        <f>INDEX(_pcName,1)</f>
        <v>Axial Housed</v>
      </c>
      <c r="D4" s="66"/>
      <c r="E4" s="67" t="str">
        <f t="array" ref="E4:K4">INDEX(_doShort,1,)</f>
        <v>EL 0</v>
      </c>
      <c r="F4" s="67" t="str">
        <v>EL 1</v>
      </c>
      <c r="G4" s="67" t="str">
        <v>EL 2</v>
      </c>
      <c r="H4" s="67" t="str">
        <v>EL 3</v>
      </c>
      <c r="I4" s="67" t="str">
        <v>EL 4</v>
      </c>
      <c r="J4" s="67" t="str">
        <v>EL 5</v>
      </c>
      <c r="K4" s="68" t="str">
        <v>EL 6</v>
      </c>
      <c r="L4" s="64"/>
      <c r="N4" s="64"/>
      <c r="O4" s="65" t="str">
        <f>INDEX(_pcName,2)</f>
        <v>Axial Unhoused</v>
      </c>
      <c r="P4" s="66"/>
      <c r="Q4" s="67" t="str">
        <f t="array" ref="Q4:W4">INDEX(_doShort,2,)</f>
        <v>EL 0</v>
      </c>
      <c r="R4" s="67" t="str">
        <v>EL 1</v>
      </c>
      <c r="S4" s="67" t="str">
        <v>EL 2</v>
      </c>
      <c r="T4" s="67" t="str">
        <v>EL 3</v>
      </c>
      <c r="U4" s="67" t="str">
        <v>EL 4</v>
      </c>
      <c r="V4" s="67" t="str">
        <v>EL 5</v>
      </c>
      <c r="W4" s="68" t="str">
        <v>EL 6</v>
      </c>
      <c r="X4" s="64"/>
      <c r="Z4" s="64"/>
      <c r="AA4" s="65" t="str">
        <f>INDEX(_pcName,3)</f>
        <v>Centrif Housed</v>
      </c>
      <c r="AB4" s="66"/>
      <c r="AC4" s="67" t="str">
        <f t="array" ref="AC4:AI4">INDEX(_doShort,3,)</f>
        <v>EL 0</v>
      </c>
      <c r="AD4" s="67" t="str">
        <v>EL 1</v>
      </c>
      <c r="AE4" s="67" t="str">
        <v>EL 2</v>
      </c>
      <c r="AF4" s="67" t="str">
        <v>EL 3</v>
      </c>
      <c r="AG4" s="67" t="str">
        <v>EL 4</v>
      </c>
      <c r="AH4" s="67" t="str">
        <v>EL 5</v>
      </c>
      <c r="AI4" s="68" t="str">
        <v>EL 6</v>
      </c>
      <c r="AJ4" s="64"/>
      <c r="AL4" s="64"/>
      <c r="AM4" s="65" t="str">
        <f>INDEX(_pcName,4)</f>
        <v>Centrif Unhous</v>
      </c>
      <c r="AN4" s="66"/>
      <c r="AO4" s="67" t="str">
        <f t="array" ref="AO4:AU4">INDEX(_doShort,4,)</f>
        <v>EL 0</v>
      </c>
      <c r="AP4" s="67" t="str">
        <v>EL 1</v>
      </c>
      <c r="AQ4" s="67" t="str">
        <v>EL 2</v>
      </c>
      <c r="AR4" s="67" t="str">
        <v>EL 3</v>
      </c>
      <c r="AS4" s="67" t="str">
        <v>EL 4</v>
      </c>
      <c r="AT4" s="67" t="str">
        <v>EL 5</v>
      </c>
      <c r="AU4" s="68" t="str">
        <v>EL 6</v>
      </c>
      <c r="AV4" s="64"/>
      <c r="AX4" s="64"/>
      <c r="AY4" s="65" t="str">
        <f>INDEX(_pcName,5)</f>
        <v>Inline-Mixed</v>
      </c>
      <c r="AZ4" s="66"/>
      <c r="BA4" s="67" t="str">
        <f t="array" ref="BA4:BG4">INDEX(_doShort,5,)</f>
        <v>EL 0</v>
      </c>
      <c r="BB4" s="67" t="str">
        <v>EL 1</v>
      </c>
      <c r="BC4" s="67" t="str">
        <v>EL 2</v>
      </c>
      <c r="BD4" s="67" t="str">
        <v>EL 3</v>
      </c>
      <c r="BE4" s="67" t="str">
        <v>EL 4</v>
      </c>
      <c r="BF4" s="67" t="str">
        <v>EL 5</v>
      </c>
      <c r="BG4" s="68" t="str">
        <v>EL 6</v>
      </c>
      <c r="BH4" s="64"/>
      <c r="BJ4" s="64"/>
      <c r="BK4" s="65" t="str">
        <f>INDEX(_pcName,6)</f>
        <v>Radial</v>
      </c>
      <c r="BL4" s="66"/>
      <c r="BM4" s="67" t="str">
        <f t="array" ref="BM4:BS4">INDEX(_doShort,6,)</f>
        <v>EL 0</v>
      </c>
      <c r="BN4" s="67" t="str">
        <v>EL 1</v>
      </c>
      <c r="BO4" s="67" t="str">
        <v>EL 2</v>
      </c>
      <c r="BP4" s="67" t="str">
        <v>EL 3</v>
      </c>
      <c r="BQ4" s="67" t="str">
        <v>EL 4</v>
      </c>
      <c r="BR4" s="67" t="str">
        <v>EL 5</v>
      </c>
      <c r="BS4" s="68" t="str">
        <v>EL 6</v>
      </c>
      <c r="BT4" s="64"/>
      <c r="BV4" s="64"/>
      <c r="BW4" s="65" t="str">
        <f>INDEX(_pcName,7)</f>
        <v>Power Roof Vent</v>
      </c>
      <c r="BX4" s="66"/>
      <c r="BY4" s="67" t="str">
        <f t="array" ref="BY4:CE4">INDEX(_doShort,7,)</f>
        <v>EL 0</v>
      </c>
      <c r="BZ4" s="67" t="str">
        <v>EL 1</v>
      </c>
      <c r="CA4" s="67" t="str">
        <v>EL 2</v>
      </c>
      <c r="CB4" s="67" t="str">
        <v>EL 3</v>
      </c>
      <c r="CC4" s="67" t="str">
        <v>EL 4</v>
      </c>
      <c r="CD4" s="67" t="str">
        <v>EL 5</v>
      </c>
      <c r="CE4" s="68" t="str">
        <v>EL 6</v>
      </c>
      <c r="CF4" s="64"/>
    </row>
    <row r="5" spans="2:84">
      <c r="B5" s="64"/>
      <c r="C5" s="72" t="s">
        <v>39</v>
      </c>
      <c r="D5" s="73"/>
      <c r="E5" s="73"/>
      <c r="F5" s="73"/>
      <c r="G5" s="73"/>
      <c r="H5" s="73"/>
      <c r="I5" s="73"/>
      <c r="J5" s="73"/>
      <c r="K5" s="74"/>
      <c r="L5" s="64"/>
      <c r="N5" s="64"/>
      <c r="O5" s="72" t="s">
        <v>39</v>
      </c>
      <c r="P5" s="73"/>
      <c r="Q5" s="73"/>
      <c r="R5" s="73"/>
      <c r="S5" s="73"/>
      <c r="T5" s="73"/>
      <c r="U5" s="73"/>
      <c r="V5" s="73"/>
      <c r="W5" s="74"/>
      <c r="X5" s="64"/>
      <c r="Z5" s="64"/>
      <c r="AA5" s="72" t="s">
        <v>39</v>
      </c>
      <c r="AB5" s="73"/>
      <c r="AC5" s="73"/>
      <c r="AD5" s="73"/>
      <c r="AE5" s="73"/>
      <c r="AF5" s="73"/>
      <c r="AG5" s="73"/>
      <c r="AH5" s="73"/>
      <c r="AI5" s="74"/>
      <c r="AJ5" s="64"/>
      <c r="AL5" s="64"/>
      <c r="AM5" s="72" t="s">
        <v>39</v>
      </c>
      <c r="AN5" s="73"/>
      <c r="AO5" s="73"/>
      <c r="AP5" s="73"/>
      <c r="AQ5" s="73"/>
      <c r="AR5" s="73"/>
      <c r="AS5" s="73"/>
      <c r="AT5" s="73"/>
      <c r="AU5" s="74"/>
      <c r="AV5" s="64"/>
      <c r="AX5" s="64"/>
      <c r="AY5" s="72" t="s">
        <v>39</v>
      </c>
      <c r="AZ5" s="73"/>
      <c r="BA5" s="73"/>
      <c r="BB5" s="73"/>
      <c r="BC5" s="73"/>
      <c r="BD5" s="73"/>
      <c r="BE5" s="73"/>
      <c r="BF5" s="73"/>
      <c r="BG5" s="74"/>
      <c r="BH5" s="64"/>
      <c r="BJ5" s="64"/>
      <c r="BK5" s="72" t="s">
        <v>39</v>
      </c>
      <c r="BL5" s="73"/>
      <c r="BM5" s="73"/>
      <c r="BN5" s="73"/>
      <c r="BO5" s="73"/>
      <c r="BP5" s="73"/>
      <c r="BQ5" s="73"/>
      <c r="BR5" s="73"/>
      <c r="BS5" s="74"/>
      <c r="BT5" s="64"/>
      <c r="BV5" s="64"/>
      <c r="BW5" s="72" t="s">
        <v>39</v>
      </c>
      <c r="BX5" s="73"/>
      <c r="BY5" s="73"/>
      <c r="BZ5" s="73"/>
      <c r="CA5" s="73"/>
      <c r="CB5" s="73"/>
      <c r="CC5" s="73"/>
      <c r="CD5" s="73"/>
      <c r="CE5" s="74"/>
      <c r="CF5" s="64"/>
    </row>
    <row r="6" spans="2:84">
      <c r="B6" s="64"/>
      <c r="C6" s="75" t="s">
        <v>40</v>
      </c>
      <c r="D6" s="76"/>
      <c r="E6" s="76"/>
      <c r="F6" s="76"/>
      <c r="G6" s="76"/>
      <c r="H6" s="76"/>
      <c r="I6" s="76"/>
      <c r="J6" s="76"/>
      <c r="K6" s="77"/>
      <c r="L6" s="64"/>
      <c r="N6" s="64"/>
      <c r="O6" s="75" t="s">
        <v>40</v>
      </c>
      <c r="P6" s="76"/>
      <c r="Q6" s="76"/>
      <c r="R6" s="76"/>
      <c r="S6" s="76"/>
      <c r="T6" s="76"/>
      <c r="U6" s="76"/>
      <c r="V6" s="76"/>
      <c r="W6" s="77"/>
      <c r="X6" s="64"/>
      <c r="Z6" s="64"/>
      <c r="AA6" s="75" t="s">
        <v>40</v>
      </c>
      <c r="AB6" s="76"/>
      <c r="AC6" s="76"/>
      <c r="AD6" s="76"/>
      <c r="AE6" s="76"/>
      <c r="AF6" s="76"/>
      <c r="AG6" s="76"/>
      <c r="AH6" s="76"/>
      <c r="AI6" s="77"/>
      <c r="AJ6" s="64"/>
      <c r="AL6" s="64"/>
      <c r="AM6" s="75" t="s">
        <v>40</v>
      </c>
      <c r="AN6" s="76"/>
      <c r="AO6" s="76"/>
      <c r="AP6" s="76"/>
      <c r="AQ6" s="76"/>
      <c r="AR6" s="76"/>
      <c r="AS6" s="76"/>
      <c r="AT6" s="76"/>
      <c r="AU6" s="77"/>
      <c r="AV6" s="64"/>
      <c r="AX6" s="64"/>
      <c r="AY6" s="75" t="s">
        <v>40</v>
      </c>
      <c r="AZ6" s="76"/>
      <c r="BA6" s="76"/>
      <c r="BB6" s="76"/>
      <c r="BC6" s="76"/>
      <c r="BD6" s="76"/>
      <c r="BE6" s="76"/>
      <c r="BF6" s="76"/>
      <c r="BG6" s="77"/>
      <c r="BH6" s="64"/>
      <c r="BJ6" s="64"/>
      <c r="BK6" s="75" t="s">
        <v>40</v>
      </c>
      <c r="BL6" s="76"/>
      <c r="BM6" s="76"/>
      <c r="BN6" s="76"/>
      <c r="BO6" s="76"/>
      <c r="BP6" s="76"/>
      <c r="BQ6" s="76"/>
      <c r="BR6" s="76"/>
      <c r="BS6" s="77"/>
      <c r="BT6" s="64"/>
      <c r="BV6" s="64"/>
      <c r="BW6" s="75" t="s">
        <v>40</v>
      </c>
      <c r="BX6" s="76"/>
      <c r="BY6" s="76"/>
      <c r="BZ6" s="76"/>
      <c r="CA6" s="76"/>
      <c r="CB6" s="76"/>
      <c r="CC6" s="76"/>
      <c r="CD6" s="76"/>
      <c r="CE6" s="77"/>
      <c r="CF6" s="64"/>
    </row>
    <row r="7" spans="2:84">
      <c r="B7" s="64"/>
      <c r="C7" s="78" t="s">
        <v>2</v>
      </c>
      <c r="D7" s="79" t="str">
        <f t="shared" ref="D7:D13" si="0">_yearDol &amp; "$"</f>
        <v>2013$</v>
      </c>
      <c r="E7" s="93">
        <v>1702.74</v>
      </c>
      <c r="F7" s="93">
        <v>1554.57</v>
      </c>
      <c r="G7" s="93">
        <v>2250.92</v>
      </c>
      <c r="H7" s="93">
        <v>3135.13</v>
      </c>
      <c r="I7" s="93">
        <v>2441.2600000000002</v>
      </c>
      <c r="J7" s="93">
        <v>2869.8</v>
      </c>
      <c r="K7" s="94">
        <v>2920.21</v>
      </c>
      <c r="L7" s="64"/>
      <c r="N7" s="64"/>
      <c r="O7" s="78" t="s">
        <v>2</v>
      </c>
      <c r="P7" s="79" t="str">
        <f t="shared" ref="P7:P13" si="1">_yearDol &amp; "$"</f>
        <v>2013$</v>
      </c>
      <c r="Q7" s="93">
        <v>182.45</v>
      </c>
      <c r="R7" s="93">
        <v>396.83</v>
      </c>
      <c r="S7" s="93">
        <v>182.45</v>
      </c>
      <c r="T7" s="93">
        <v>370</v>
      </c>
      <c r="U7" s="93">
        <v>772.21</v>
      </c>
      <c r="V7" s="93">
        <v>705.8</v>
      </c>
      <c r="W7" s="94">
        <v>624.83000000000004</v>
      </c>
      <c r="X7" s="90"/>
      <c r="Z7" s="64"/>
      <c r="AA7" s="78" t="s">
        <v>2</v>
      </c>
      <c r="AB7" s="79" t="str">
        <f t="shared" ref="AB7:AB13" si="2">_yearDol &amp; "$"</f>
        <v>2013$</v>
      </c>
      <c r="AC7" s="93">
        <v>491.04</v>
      </c>
      <c r="AD7" s="93">
        <v>1266.44</v>
      </c>
      <c r="AE7" s="93">
        <v>805.86</v>
      </c>
      <c r="AF7" s="93">
        <v>1001.32</v>
      </c>
      <c r="AG7" s="93">
        <v>1122.76</v>
      </c>
      <c r="AH7" s="93">
        <v>1386.05</v>
      </c>
      <c r="AI7" s="94">
        <v>1469.91</v>
      </c>
      <c r="AJ7" s="64"/>
      <c r="AL7" s="64"/>
      <c r="AM7" s="78" t="s">
        <v>2</v>
      </c>
      <c r="AN7" s="79" t="str">
        <f t="shared" ref="AN7:AN13" si="3">_yearDol &amp; "$"</f>
        <v>2013$</v>
      </c>
      <c r="AO7" s="80">
        <v>489.02</v>
      </c>
      <c r="AP7" s="80">
        <v>1148.8800000000001</v>
      </c>
      <c r="AQ7" s="80">
        <v>1258.72</v>
      </c>
      <c r="AR7" s="80">
        <v>903.93</v>
      </c>
      <c r="AS7" s="80">
        <v>852.93</v>
      </c>
      <c r="AT7" s="80">
        <v>995.1</v>
      </c>
      <c r="AU7" s="81">
        <v>1008.24</v>
      </c>
      <c r="AV7" s="64"/>
      <c r="AX7" s="64"/>
      <c r="AY7" s="78" t="s">
        <v>2</v>
      </c>
      <c r="AZ7" s="79" t="str">
        <f t="shared" ref="AZ7:AZ13" si="4">_yearDol &amp; "$"</f>
        <v>2013$</v>
      </c>
      <c r="BA7" s="97">
        <v>633.27</v>
      </c>
      <c r="BB7" s="97">
        <v>848.17</v>
      </c>
      <c r="BC7" s="97">
        <v>935.73</v>
      </c>
      <c r="BD7" s="97">
        <v>994.32</v>
      </c>
      <c r="BE7" s="97">
        <v>1057.93</v>
      </c>
      <c r="BF7" s="97">
        <v>1481.68</v>
      </c>
      <c r="BG7" s="98">
        <v>1627.92</v>
      </c>
      <c r="BH7" s="64"/>
      <c r="BJ7" s="64"/>
      <c r="BK7" s="78" t="s">
        <v>2</v>
      </c>
      <c r="BL7" s="79" t="str">
        <f t="shared" ref="BL7:BL13" si="5">_yearDol &amp; "$"</f>
        <v>2013$</v>
      </c>
      <c r="BM7" s="97">
        <v>1026.19</v>
      </c>
      <c r="BN7" s="97">
        <v>571.55999999999995</v>
      </c>
      <c r="BO7" s="97">
        <v>1551.09</v>
      </c>
      <c r="BP7" s="97">
        <v>1300.8699999999999</v>
      </c>
      <c r="BQ7" s="97">
        <v>1332.54</v>
      </c>
      <c r="BR7" s="97">
        <v>917.92</v>
      </c>
      <c r="BS7" s="98">
        <v>752.74</v>
      </c>
      <c r="BT7" s="64"/>
      <c r="BV7" s="64"/>
      <c r="BW7" s="78" t="s">
        <v>2</v>
      </c>
      <c r="BX7" s="79" t="str">
        <f t="shared" ref="BX7:BX13" si="6">_yearDol &amp; "$"</f>
        <v>2013$</v>
      </c>
      <c r="BY7" s="93">
        <v>457.82</v>
      </c>
      <c r="BZ7" s="93">
        <v>495.3</v>
      </c>
      <c r="CA7" s="93">
        <v>1449.46</v>
      </c>
      <c r="CB7" s="93">
        <v>1413.84</v>
      </c>
      <c r="CC7" s="93">
        <v>1020.93</v>
      </c>
      <c r="CD7" s="93">
        <v>1069.4000000000001</v>
      </c>
      <c r="CE7" s="94">
        <v>863.48</v>
      </c>
      <c r="CF7" s="64"/>
    </row>
    <row r="8" spans="2:84">
      <c r="B8" s="64"/>
      <c r="C8" s="78" t="s">
        <v>3</v>
      </c>
      <c r="D8" s="79" t="str">
        <f t="shared" si="0"/>
        <v>2013$</v>
      </c>
      <c r="E8" s="93"/>
      <c r="F8" s="93">
        <v>1889.38</v>
      </c>
      <c r="G8" s="93">
        <v>2250.92</v>
      </c>
      <c r="H8" s="93">
        <v>3135.13</v>
      </c>
      <c r="I8" s="93">
        <v>2441.2600000000002</v>
      </c>
      <c r="J8" s="93">
        <v>2869.8</v>
      </c>
      <c r="K8" s="94">
        <v>2920.21</v>
      </c>
      <c r="L8" s="64"/>
      <c r="N8" s="64"/>
      <c r="O8" s="78" t="s">
        <v>3</v>
      </c>
      <c r="P8" s="79" t="str">
        <f t="shared" si="1"/>
        <v>2013$</v>
      </c>
      <c r="Q8" s="93"/>
      <c r="R8" s="93">
        <v>380.76</v>
      </c>
      <c r="S8" s="93">
        <v>182.45</v>
      </c>
      <c r="T8" s="93">
        <v>370</v>
      </c>
      <c r="U8" s="93">
        <v>772.21</v>
      </c>
      <c r="V8" s="93">
        <v>705.8</v>
      </c>
      <c r="W8" s="94">
        <v>624.83000000000004</v>
      </c>
      <c r="X8" s="90"/>
      <c r="Z8" s="64"/>
      <c r="AA8" s="78" t="s">
        <v>3</v>
      </c>
      <c r="AB8" s="79" t="str">
        <f t="shared" si="2"/>
        <v>2013$</v>
      </c>
      <c r="AC8" s="93"/>
      <c r="AD8" s="93">
        <v>1100.17</v>
      </c>
      <c r="AE8" s="93">
        <v>805.86</v>
      </c>
      <c r="AF8" s="93">
        <v>1001.32</v>
      </c>
      <c r="AG8" s="93">
        <v>1122.76</v>
      </c>
      <c r="AH8" s="93">
        <v>1386.05</v>
      </c>
      <c r="AI8" s="94">
        <v>1469.91</v>
      </c>
      <c r="AJ8" s="64"/>
      <c r="AL8" s="64"/>
      <c r="AM8" s="78" t="s">
        <v>3</v>
      </c>
      <c r="AN8" s="79" t="str">
        <f t="shared" si="3"/>
        <v>2013$</v>
      </c>
      <c r="AO8" s="80"/>
      <c r="AP8" s="80">
        <v>862.25</v>
      </c>
      <c r="AQ8" s="80">
        <v>1258.72</v>
      </c>
      <c r="AR8" s="80">
        <v>903.93</v>
      </c>
      <c r="AS8" s="80">
        <v>852.93</v>
      </c>
      <c r="AT8" s="80">
        <v>995.1</v>
      </c>
      <c r="AU8" s="81">
        <v>1008.24</v>
      </c>
      <c r="AV8" s="64"/>
      <c r="AX8" s="64"/>
      <c r="AY8" s="78" t="s">
        <v>3</v>
      </c>
      <c r="AZ8" s="79" t="str">
        <f t="shared" si="4"/>
        <v>2013$</v>
      </c>
      <c r="BA8" s="97"/>
      <c r="BB8" s="97">
        <v>938.81</v>
      </c>
      <c r="BC8" s="97">
        <v>935.73</v>
      </c>
      <c r="BD8" s="97">
        <v>994.32</v>
      </c>
      <c r="BE8" s="97">
        <v>1057.93</v>
      </c>
      <c r="BF8" s="97">
        <v>1481.68</v>
      </c>
      <c r="BG8" s="98">
        <v>1627.92</v>
      </c>
      <c r="BH8" s="64"/>
      <c r="BJ8" s="64"/>
      <c r="BK8" s="78" t="s">
        <v>3</v>
      </c>
      <c r="BL8" s="79" t="str">
        <f t="shared" si="5"/>
        <v>2013$</v>
      </c>
      <c r="BM8" s="97"/>
      <c r="BN8" s="97">
        <v>959.56</v>
      </c>
      <c r="BO8" s="97">
        <v>1551.09</v>
      </c>
      <c r="BP8" s="97">
        <v>1300.8699999999999</v>
      </c>
      <c r="BQ8" s="97">
        <v>1332.54</v>
      </c>
      <c r="BR8" s="97">
        <v>917.92</v>
      </c>
      <c r="BS8" s="98">
        <v>752.74</v>
      </c>
      <c r="BT8" s="64"/>
      <c r="BV8" s="64"/>
      <c r="BW8" s="78" t="s">
        <v>3</v>
      </c>
      <c r="BX8" s="79" t="str">
        <f t="shared" si="6"/>
        <v>2013$</v>
      </c>
      <c r="BY8" s="93"/>
      <c r="BZ8" s="93">
        <v>532.66</v>
      </c>
      <c r="CA8" s="93">
        <v>1449.46</v>
      </c>
      <c r="CB8" s="93">
        <v>1413.84</v>
      </c>
      <c r="CC8" s="93">
        <v>1020.93</v>
      </c>
      <c r="CD8" s="93">
        <v>1069.4000000000001</v>
      </c>
      <c r="CE8" s="94">
        <v>863.48</v>
      </c>
      <c r="CF8" s="64"/>
    </row>
    <row r="9" spans="2:84">
      <c r="B9" s="64"/>
      <c r="C9" s="78" t="s">
        <v>4</v>
      </c>
      <c r="D9" s="79" t="str">
        <f t="shared" si="0"/>
        <v>2013$</v>
      </c>
      <c r="E9" s="93"/>
      <c r="F9" s="93"/>
      <c r="G9" s="93">
        <v>2182.38</v>
      </c>
      <c r="H9" s="93">
        <v>3135.13</v>
      </c>
      <c r="I9" s="93">
        <v>2441.2600000000002</v>
      </c>
      <c r="J9" s="93">
        <v>2869.8</v>
      </c>
      <c r="K9" s="94">
        <v>2920.21</v>
      </c>
      <c r="L9" s="64"/>
      <c r="N9" s="64"/>
      <c r="O9" s="78" t="s">
        <v>4</v>
      </c>
      <c r="P9" s="79" t="str">
        <f t="shared" si="1"/>
        <v>2013$</v>
      </c>
      <c r="Q9" s="93"/>
      <c r="R9" s="93"/>
      <c r="S9" s="93">
        <v>372.05</v>
      </c>
      <c r="T9" s="93">
        <v>370</v>
      </c>
      <c r="U9" s="93">
        <v>772.21</v>
      </c>
      <c r="V9" s="93">
        <v>705.8</v>
      </c>
      <c r="W9" s="94">
        <v>624.83000000000004</v>
      </c>
      <c r="X9" s="90"/>
      <c r="Z9" s="64"/>
      <c r="AA9" s="78" t="s">
        <v>4</v>
      </c>
      <c r="AB9" s="79" t="str">
        <f t="shared" si="2"/>
        <v>2013$</v>
      </c>
      <c r="AC9" s="93"/>
      <c r="AD9" s="93"/>
      <c r="AE9" s="93">
        <v>1280.69</v>
      </c>
      <c r="AF9" s="93">
        <v>1001.32</v>
      </c>
      <c r="AG9" s="93">
        <v>1122.76</v>
      </c>
      <c r="AH9" s="93">
        <v>1386.05</v>
      </c>
      <c r="AI9" s="94">
        <v>1469.91</v>
      </c>
      <c r="AJ9" s="64"/>
      <c r="AL9" s="64"/>
      <c r="AM9" s="78" t="s">
        <v>4</v>
      </c>
      <c r="AN9" s="79" t="str">
        <f t="shared" si="3"/>
        <v>2013$</v>
      </c>
      <c r="AO9" s="80"/>
      <c r="AP9" s="80"/>
      <c r="AQ9" s="80">
        <v>989.16</v>
      </c>
      <c r="AR9" s="80">
        <v>903.93</v>
      </c>
      <c r="AS9" s="80">
        <v>852.93</v>
      </c>
      <c r="AT9" s="80">
        <v>995.1</v>
      </c>
      <c r="AU9" s="81">
        <v>1008.24</v>
      </c>
      <c r="AV9" s="64"/>
      <c r="AX9" s="64"/>
      <c r="AY9" s="78" t="s">
        <v>4</v>
      </c>
      <c r="AZ9" s="79" t="str">
        <f t="shared" si="4"/>
        <v>2013$</v>
      </c>
      <c r="BA9" s="97"/>
      <c r="BB9" s="97"/>
      <c r="BC9" s="97">
        <v>1145.52</v>
      </c>
      <c r="BD9" s="97">
        <v>994.32</v>
      </c>
      <c r="BE9" s="97">
        <v>1057.93</v>
      </c>
      <c r="BF9" s="97">
        <v>1481.68</v>
      </c>
      <c r="BG9" s="98">
        <v>1627.92</v>
      </c>
      <c r="BH9" s="64"/>
      <c r="BJ9" s="64"/>
      <c r="BK9" s="78" t="s">
        <v>4</v>
      </c>
      <c r="BL9" s="79" t="str">
        <f t="shared" si="5"/>
        <v>2013$</v>
      </c>
      <c r="BM9" s="97"/>
      <c r="BN9" s="97"/>
      <c r="BO9" s="97">
        <v>1268.57</v>
      </c>
      <c r="BP9" s="97">
        <v>1300.8699999999999</v>
      </c>
      <c r="BQ9" s="97">
        <v>1332.54</v>
      </c>
      <c r="BR9" s="97">
        <v>917.92</v>
      </c>
      <c r="BS9" s="98">
        <v>752.74</v>
      </c>
      <c r="BT9" s="64"/>
      <c r="BV9" s="64"/>
      <c r="BW9" s="78" t="s">
        <v>4</v>
      </c>
      <c r="BX9" s="79" t="str">
        <f t="shared" si="6"/>
        <v>2013$</v>
      </c>
      <c r="BY9" s="93"/>
      <c r="BZ9" s="93"/>
      <c r="CA9" s="93">
        <v>784</v>
      </c>
      <c r="CB9" s="93">
        <v>1413.84</v>
      </c>
      <c r="CC9" s="93">
        <v>1020.93</v>
      </c>
      <c r="CD9" s="93">
        <v>1069.4000000000001</v>
      </c>
      <c r="CE9" s="94">
        <v>863.48</v>
      </c>
      <c r="CF9" s="64"/>
    </row>
    <row r="10" spans="2:84">
      <c r="B10" s="64"/>
      <c r="C10" s="78" t="s">
        <v>5</v>
      </c>
      <c r="D10" s="79" t="str">
        <f t="shared" si="0"/>
        <v>2013$</v>
      </c>
      <c r="E10" s="93"/>
      <c r="F10" s="93"/>
      <c r="G10" s="93"/>
      <c r="H10" s="93">
        <v>2517.0100000000002</v>
      </c>
      <c r="I10" s="93">
        <v>2441.2600000000002</v>
      </c>
      <c r="J10" s="93">
        <v>2869.8</v>
      </c>
      <c r="K10" s="94">
        <v>2920.21</v>
      </c>
      <c r="L10" s="64"/>
      <c r="N10" s="64"/>
      <c r="O10" s="78" t="s">
        <v>5</v>
      </c>
      <c r="P10" s="79" t="str">
        <f t="shared" si="1"/>
        <v>2013$</v>
      </c>
      <c r="Q10" s="93"/>
      <c r="R10" s="93"/>
      <c r="S10" s="93"/>
      <c r="T10" s="93">
        <v>378.19</v>
      </c>
      <c r="U10" s="93">
        <v>772.21</v>
      </c>
      <c r="V10" s="93">
        <v>705.8</v>
      </c>
      <c r="W10" s="94">
        <v>624.83000000000004</v>
      </c>
      <c r="X10" s="90"/>
      <c r="Z10" s="64"/>
      <c r="AA10" s="78" t="s">
        <v>5</v>
      </c>
      <c r="AB10" s="79" t="str">
        <f t="shared" si="2"/>
        <v>2013$</v>
      </c>
      <c r="AC10" s="93"/>
      <c r="AD10" s="93"/>
      <c r="AE10" s="93"/>
      <c r="AF10" s="93">
        <v>1408.77</v>
      </c>
      <c r="AG10" s="93">
        <v>1122.76</v>
      </c>
      <c r="AH10" s="93">
        <v>1386.05</v>
      </c>
      <c r="AI10" s="94">
        <v>1469.91</v>
      </c>
      <c r="AJ10" s="64"/>
      <c r="AL10" s="64"/>
      <c r="AM10" s="78" t="s">
        <v>5</v>
      </c>
      <c r="AN10" s="79" t="str">
        <f t="shared" si="3"/>
        <v>2013$</v>
      </c>
      <c r="AO10" s="80"/>
      <c r="AP10" s="80"/>
      <c r="AQ10" s="80"/>
      <c r="AR10" s="80">
        <v>1023.66</v>
      </c>
      <c r="AS10" s="80">
        <v>852.93</v>
      </c>
      <c r="AT10" s="80">
        <v>995.1</v>
      </c>
      <c r="AU10" s="81">
        <v>1008.24</v>
      </c>
      <c r="AV10" s="64"/>
      <c r="AX10" s="64"/>
      <c r="AY10" s="78" t="s">
        <v>5</v>
      </c>
      <c r="AZ10" s="79" t="str">
        <f t="shared" si="4"/>
        <v>2013$</v>
      </c>
      <c r="BA10" s="97"/>
      <c r="BB10" s="97"/>
      <c r="BC10" s="97"/>
      <c r="BD10" s="97">
        <v>1260.33</v>
      </c>
      <c r="BE10" s="97">
        <v>1057.93</v>
      </c>
      <c r="BF10" s="97">
        <v>1481.68</v>
      </c>
      <c r="BG10" s="98">
        <v>1627.92</v>
      </c>
      <c r="BH10" s="64"/>
      <c r="BJ10" s="64"/>
      <c r="BK10" s="78" t="s">
        <v>5</v>
      </c>
      <c r="BL10" s="79" t="str">
        <f t="shared" si="5"/>
        <v>2013$</v>
      </c>
      <c r="BM10" s="97"/>
      <c r="BN10" s="97"/>
      <c r="BO10" s="97"/>
      <c r="BP10" s="97">
        <v>1372.73</v>
      </c>
      <c r="BQ10" s="97">
        <v>1332.54</v>
      </c>
      <c r="BR10" s="97">
        <v>917.92</v>
      </c>
      <c r="BS10" s="98">
        <v>752.74</v>
      </c>
      <c r="BT10" s="64"/>
      <c r="BV10" s="64"/>
      <c r="BW10" s="78" t="s">
        <v>5</v>
      </c>
      <c r="BX10" s="79" t="str">
        <f t="shared" si="6"/>
        <v>2013$</v>
      </c>
      <c r="BY10" s="93"/>
      <c r="BZ10" s="93"/>
      <c r="CA10" s="93"/>
      <c r="CB10" s="93">
        <v>890.51</v>
      </c>
      <c r="CC10" s="93">
        <v>1020.93</v>
      </c>
      <c r="CD10" s="93">
        <v>1069.4000000000001</v>
      </c>
      <c r="CE10" s="94">
        <v>863.48</v>
      </c>
      <c r="CF10" s="64"/>
    </row>
    <row r="11" spans="2:84">
      <c r="B11" s="64"/>
      <c r="C11" s="78" t="s">
        <v>6</v>
      </c>
      <c r="D11" s="79" t="str">
        <f t="shared" si="0"/>
        <v>2013$</v>
      </c>
      <c r="E11" s="93"/>
      <c r="F11" s="93"/>
      <c r="G11" s="93"/>
      <c r="H11" s="93"/>
      <c r="I11" s="93">
        <v>2526.92</v>
      </c>
      <c r="J11" s="93">
        <v>2869.8</v>
      </c>
      <c r="K11" s="94">
        <v>2920.21</v>
      </c>
      <c r="L11" s="64"/>
      <c r="N11" s="64"/>
      <c r="O11" s="78" t="s">
        <v>6</v>
      </c>
      <c r="P11" s="79" t="str">
        <f t="shared" si="1"/>
        <v>2013$</v>
      </c>
      <c r="Q11" s="93"/>
      <c r="R11" s="93"/>
      <c r="S11" s="93"/>
      <c r="T11" s="93"/>
      <c r="U11" s="93">
        <v>668.97</v>
      </c>
      <c r="V11" s="93">
        <v>705.8</v>
      </c>
      <c r="W11" s="94">
        <v>624.83000000000004</v>
      </c>
      <c r="X11" s="90"/>
      <c r="Z11" s="64"/>
      <c r="AA11" s="78" t="s">
        <v>6</v>
      </c>
      <c r="AB11" s="79" t="str">
        <f t="shared" si="2"/>
        <v>2013$</v>
      </c>
      <c r="AC11" s="93"/>
      <c r="AD11" s="93"/>
      <c r="AE11" s="93"/>
      <c r="AF11" s="93"/>
      <c r="AG11" s="93">
        <v>1285.44</v>
      </c>
      <c r="AH11" s="93">
        <v>1386.05</v>
      </c>
      <c r="AI11" s="94">
        <v>1469.91</v>
      </c>
      <c r="AJ11" s="64"/>
      <c r="AL11" s="64"/>
      <c r="AM11" s="78" t="s">
        <v>6</v>
      </c>
      <c r="AN11" s="79" t="str">
        <f t="shared" si="3"/>
        <v>2013$</v>
      </c>
      <c r="AO11" s="80"/>
      <c r="AP11" s="80"/>
      <c r="AQ11" s="80"/>
      <c r="AR11" s="80"/>
      <c r="AS11" s="80">
        <v>923.53</v>
      </c>
      <c r="AT11" s="80">
        <v>995.1</v>
      </c>
      <c r="AU11" s="81">
        <v>1008.24</v>
      </c>
      <c r="AV11" s="64"/>
      <c r="AX11" s="64"/>
      <c r="AY11" s="78" t="s">
        <v>6</v>
      </c>
      <c r="AZ11" s="79" t="str">
        <f t="shared" si="4"/>
        <v>2013$</v>
      </c>
      <c r="BA11" s="97"/>
      <c r="BB11" s="97"/>
      <c r="BC11" s="97"/>
      <c r="BD11" s="97"/>
      <c r="BE11" s="97">
        <v>1166.99</v>
      </c>
      <c r="BF11" s="97">
        <v>1481.68</v>
      </c>
      <c r="BG11" s="98">
        <v>1627.92</v>
      </c>
      <c r="BH11" s="64"/>
      <c r="BJ11" s="64"/>
      <c r="BK11" s="78" t="s">
        <v>6</v>
      </c>
      <c r="BL11" s="79" t="str">
        <f t="shared" si="5"/>
        <v>2013$</v>
      </c>
      <c r="BM11" s="97"/>
      <c r="BN11" s="97"/>
      <c r="BO11" s="97"/>
      <c r="BP11" s="97"/>
      <c r="BQ11" s="97">
        <v>1397.86</v>
      </c>
      <c r="BR11" s="97">
        <v>917.92</v>
      </c>
      <c r="BS11" s="98">
        <v>752.74</v>
      </c>
      <c r="BT11" s="64"/>
      <c r="BV11" s="64"/>
      <c r="BW11" s="78" t="s">
        <v>6</v>
      </c>
      <c r="BX11" s="79" t="str">
        <f t="shared" si="6"/>
        <v>2013$</v>
      </c>
      <c r="BY11" s="93"/>
      <c r="BZ11" s="93"/>
      <c r="CA11" s="93"/>
      <c r="CB11" s="93"/>
      <c r="CC11" s="93">
        <v>979.52</v>
      </c>
      <c r="CD11" s="93">
        <v>1069.4000000000001</v>
      </c>
      <c r="CE11" s="94">
        <v>863.48</v>
      </c>
      <c r="CF11" s="64"/>
    </row>
    <row r="12" spans="2:84">
      <c r="B12" s="64"/>
      <c r="C12" s="78" t="s">
        <v>7</v>
      </c>
      <c r="D12" s="79" t="str">
        <f t="shared" si="0"/>
        <v>2013$</v>
      </c>
      <c r="E12" s="93"/>
      <c r="F12" s="93"/>
      <c r="G12" s="93"/>
      <c r="H12" s="93"/>
      <c r="I12" s="93"/>
      <c r="J12" s="93">
        <v>2934.91</v>
      </c>
      <c r="K12" s="94">
        <v>2920.21</v>
      </c>
      <c r="L12" s="64"/>
      <c r="N12" s="64"/>
      <c r="O12" s="78" t="s">
        <v>7</v>
      </c>
      <c r="P12" s="79" t="str">
        <f t="shared" si="1"/>
        <v>2013$</v>
      </c>
      <c r="Q12" s="93"/>
      <c r="R12" s="93"/>
      <c r="S12" s="93"/>
      <c r="T12" s="93"/>
      <c r="U12" s="93"/>
      <c r="V12" s="93">
        <v>699.74</v>
      </c>
      <c r="W12" s="94">
        <v>624.83000000000004</v>
      </c>
      <c r="X12" s="90"/>
      <c r="Z12" s="64"/>
      <c r="AA12" s="78" t="s">
        <v>7</v>
      </c>
      <c r="AB12" s="79" t="str">
        <f t="shared" si="2"/>
        <v>2013$</v>
      </c>
      <c r="AC12" s="93"/>
      <c r="AD12" s="93"/>
      <c r="AE12" s="93"/>
      <c r="AF12" s="93"/>
      <c r="AG12" s="93"/>
      <c r="AH12" s="93">
        <v>1627.24</v>
      </c>
      <c r="AI12" s="94">
        <v>1469.91</v>
      </c>
      <c r="AJ12" s="64"/>
      <c r="AL12" s="64"/>
      <c r="AM12" s="78" t="s">
        <v>7</v>
      </c>
      <c r="AN12" s="79" t="str">
        <f t="shared" si="3"/>
        <v>2013$</v>
      </c>
      <c r="AO12" s="80"/>
      <c r="AP12" s="80"/>
      <c r="AQ12" s="80"/>
      <c r="AR12" s="80"/>
      <c r="AS12" s="80"/>
      <c r="AT12" s="80">
        <v>990.04</v>
      </c>
      <c r="AU12" s="81">
        <v>1008.24</v>
      </c>
      <c r="AV12" s="64"/>
      <c r="AX12" s="64"/>
      <c r="AY12" s="78" t="s">
        <v>7</v>
      </c>
      <c r="AZ12" s="79" t="str">
        <f t="shared" si="4"/>
        <v>2013$</v>
      </c>
      <c r="BA12" s="97"/>
      <c r="BB12" s="97"/>
      <c r="BC12" s="97"/>
      <c r="BD12" s="97"/>
      <c r="BE12" s="97"/>
      <c r="BF12" s="97">
        <v>1504.37</v>
      </c>
      <c r="BG12" s="98">
        <v>1627.92</v>
      </c>
      <c r="BH12" s="64"/>
      <c r="BJ12" s="64"/>
      <c r="BK12" s="78" t="s">
        <v>7</v>
      </c>
      <c r="BL12" s="79" t="str">
        <f t="shared" si="5"/>
        <v>2013$</v>
      </c>
      <c r="BM12" s="97"/>
      <c r="BN12" s="97"/>
      <c r="BO12" s="97"/>
      <c r="BP12" s="97"/>
      <c r="BQ12" s="97"/>
      <c r="BR12" s="97">
        <v>1421.56</v>
      </c>
      <c r="BS12" s="98">
        <v>752.74</v>
      </c>
      <c r="BT12" s="64"/>
      <c r="BV12" s="64"/>
      <c r="BW12" s="78" t="s">
        <v>7</v>
      </c>
      <c r="BX12" s="79" t="str">
        <f t="shared" si="6"/>
        <v>2013$</v>
      </c>
      <c r="BY12" s="93"/>
      <c r="BZ12" s="93"/>
      <c r="CA12" s="93"/>
      <c r="CB12" s="93"/>
      <c r="CC12" s="93"/>
      <c r="CD12" s="93">
        <v>1056.1500000000001</v>
      </c>
      <c r="CE12" s="94">
        <v>863.48</v>
      </c>
      <c r="CF12" s="64"/>
    </row>
    <row r="13" spans="2:84">
      <c r="B13" s="64"/>
      <c r="C13" s="78" t="s">
        <v>8</v>
      </c>
      <c r="D13" s="79" t="str">
        <f t="shared" si="0"/>
        <v>2013$</v>
      </c>
      <c r="E13" s="93"/>
      <c r="F13" s="93"/>
      <c r="G13" s="93"/>
      <c r="H13" s="93"/>
      <c r="I13" s="93"/>
      <c r="J13" s="93"/>
      <c r="K13" s="94">
        <v>3091.21</v>
      </c>
      <c r="L13" s="64"/>
      <c r="N13" s="64"/>
      <c r="O13" s="78" t="s">
        <v>8</v>
      </c>
      <c r="P13" s="79" t="str">
        <f t="shared" si="1"/>
        <v>2013$</v>
      </c>
      <c r="Q13" s="93"/>
      <c r="R13" s="93"/>
      <c r="S13" s="93"/>
      <c r="T13" s="93"/>
      <c r="U13" s="93"/>
      <c r="V13" s="93"/>
      <c r="W13" s="94">
        <v>676.64</v>
      </c>
      <c r="X13" s="90"/>
      <c r="Z13" s="64"/>
      <c r="AA13" s="78" t="s">
        <v>8</v>
      </c>
      <c r="AB13" s="79" t="str">
        <f t="shared" si="2"/>
        <v>2013$</v>
      </c>
      <c r="AC13" s="93"/>
      <c r="AD13" s="93"/>
      <c r="AE13" s="93"/>
      <c r="AF13" s="93"/>
      <c r="AG13" s="93"/>
      <c r="AH13" s="93"/>
      <c r="AI13" s="94">
        <v>1723.43</v>
      </c>
      <c r="AJ13" s="64"/>
      <c r="AL13" s="64"/>
      <c r="AM13" s="78" t="s">
        <v>8</v>
      </c>
      <c r="AN13" s="79" t="str">
        <f t="shared" si="3"/>
        <v>2013$</v>
      </c>
      <c r="AO13" s="80"/>
      <c r="AP13" s="80"/>
      <c r="AQ13" s="80"/>
      <c r="AR13" s="80"/>
      <c r="AS13" s="80"/>
      <c r="AT13" s="80"/>
      <c r="AU13" s="81">
        <v>1013.57</v>
      </c>
      <c r="AV13" s="64"/>
      <c r="AX13" s="64"/>
      <c r="AY13" s="78" t="s">
        <v>8</v>
      </c>
      <c r="AZ13" s="79" t="str">
        <f t="shared" si="4"/>
        <v>2013$</v>
      </c>
      <c r="BA13" s="97"/>
      <c r="BB13" s="97"/>
      <c r="BC13" s="97"/>
      <c r="BD13" s="97"/>
      <c r="BE13" s="97"/>
      <c r="BF13" s="97"/>
      <c r="BG13" s="98">
        <v>1666.18</v>
      </c>
      <c r="BH13" s="64"/>
      <c r="BJ13" s="64"/>
      <c r="BK13" s="78" t="s">
        <v>8</v>
      </c>
      <c r="BL13" s="79" t="str">
        <f t="shared" si="5"/>
        <v>2013$</v>
      </c>
      <c r="BM13" s="97"/>
      <c r="BN13" s="97"/>
      <c r="BO13" s="97"/>
      <c r="BP13" s="97"/>
      <c r="BQ13" s="97"/>
      <c r="BR13" s="97"/>
      <c r="BS13" s="98">
        <v>1350</v>
      </c>
      <c r="BT13" s="64"/>
      <c r="BV13" s="64"/>
      <c r="BW13" s="78" t="s">
        <v>8</v>
      </c>
      <c r="BX13" s="79" t="str">
        <f t="shared" si="6"/>
        <v>2013$</v>
      </c>
      <c r="BY13" s="99"/>
      <c r="BZ13" s="99"/>
      <c r="CA13" s="99"/>
      <c r="CB13" s="99"/>
      <c r="CC13" s="99"/>
      <c r="CD13" s="99"/>
      <c r="CE13" s="94">
        <v>988.24</v>
      </c>
      <c r="CF13" s="64"/>
    </row>
    <row r="14" spans="2:84">
      <c r="B14" s="64"/>
      <c r="C14" s="75" t="s">
        <v>41</v>
      </c>
      <c r="D14" s="76"/>
      <c r="E14" s="86"/>
      <c r="F14" s="86"/>
      <c r="G14" s="86"/>
      <c r="H14" s="86"/>
      <c r="I14" s="86"/>
      <c r="J14" s="86"/>
      <c r="K14" s="87"/>
      <c r="L14" s="64"/>
      <c r="N14" s="64"/>
      <c r="O14" s="75" t="s">
        <v>41</v>
      </c>
      <c r="P14" s="76"/>
      <c r="Q14" s="95"/>
      <c r="R14" s="95"/>
      <c r="S14" s="95"/>
      <c r="T14" s="95"/>
      <c r="U14" s="95"/>
      <c r="V14" s="95"/>
      <c r="W14" s="96"/>
      <c r="X14" s="90"/>
      <c r="Z14" s="64"/>
      <c r="AA14" s="75" t="s">
        <v>41</v>
      </c>
      <c r="AB14" s="76"/>
      <c r="AC14" s="86"/>
      <c r="AD14" s="86"/>
      <c r="AE14" s="86"/>
      <c r="AF14" s="86"/>
      <c r="AG14" s="86"/>
      <c r="AH14" s="86"/>
      <c r="AI14" s="87"/>
      <c r="AJ14" s="64"/>
      <c r="AL14" s="64"/>
      <c r="AM14" s="75" t="s">
        <v>41</v>
      </c>
      <c r="AN14" s="76"/>
      <c r="AO14" s="76"/>
      <c r="AP14" s="76"/>
      <c r="AQ14" s="76"/>
      <c r="AR14" s="76"/>
      <c r="AS14" s="76"/>
      <c r="AT14" s="76"/>
      <c r="AU14" s="77"/>
      <c r="AV14" s="64"/>
      <c r="AX14" s="64"/>
      <c r="AY14" s="75" t="s">
        <v>41</v>
      </c>
      <c r="AZ14" s="76"/>
      <c r="BA14" s="101"/>
      <c r="BB14" s="101"/>
      <c r="BC14" s="101"/>
      <c r="BD14" s="101"/>
      <c r="BE14" s="101"/>
      <c r="BF14" s="101"/>
      <c r="BG14" s="102"/>
      <c r="BH14" s="64"/>
      <c r="BJ14" s="64"/>
      <c r="BK14" s="75" t="s">
        <v>41</v>
      </c>
      <c r="BL14" s="76"/>
      <c r="BM14" s="76"/>
      <c r="BN14" s="76"/>
      <c r="BO14" s="76"/>
      <c r="BP14" s="76"/>
      <c r="BQ14" s="76"/>
      <c r="BR14" s="76"/>
      <c r="BS14" s="77"/>
      <c r="BT14" s="64"/>
      <c r="BV14" s="64"/>
      <c r="BW14" s="75" t="s">
        <v>41</v>
      </c>
      <c r="BX14" s="76"/>
      <c r="BY14" s="86"/>
      <c r="BZ14" s="86"/>
      <c r="CA14" s="86"/>
      <c r="CB14" s="86"/>
      <c r="CC14" s="86"/>
      <c r="CD14" s="86"/>
      <c r="CE14" s="87"/>
      <c r="CF14" s="64"/>
    </row>
    <row r="15" spans="2:84">
      <c r="B15" s="64"/>
      <c r="C15" s="78" t="s">
        <v>2</v>
      </c>
      <c r="D15" s="79" t="s">
        <v>35</v>
      </c>
      <c r="E15" s="91">
        <v>0.82989999999999997</v>
      </c>
      <c r="F15" s="91">
        <v>0.82989999999999997</v>
      </c>
      <c r="G15" s="91">
        <v>0.82989999999999997</v>
      </c>
      <c r="H15" s="91">
        <v>0.82989999999999997</v>
      </c>
      <c r="I15" s="91">
        <v>0.82989999999999997</v>
      </c>
      <c r="J15" s="91">
        <v>0.82989999999999997</v>
      </c>
      <c r="K15" s="92">
        <v>0.82989999999999997</v>
      </c>
      <c r="L15" s="64"/>
      <c r="N15" s="64"/>
      <c r="O15" s="78" t="s">
        <v>2</v>
      </c>
      <c r="P15" s="79" t="s">
        <v>35</v>
      </c>
      <c r="Q15" s="91">
        <v>0.7913</v>
      </c>
      <c r="R15" s="91">
        <v>0.7913</v>
      </c>
      <c r="S15" s="91">
        <v>0.7913</v>
      </c>
      <c r="T15" s="91">
        <v>0.79139999999999999</v>
      </c>
      <c r="U15" s="91">
        <v>0.79139999999999999</v>
      </c>
      <c r="V15" s="91">
        <v>0.79139999999999999</v>
      </c>
      <c r="W15" s="92">
        <v>0.79139999999999999</v>
      </c>
      <c r="X15" s="90"/>
      <c r="Z15" s="64"/>
      <c r="AA15" s="78" t="s">
        <v>2</v>
      </c>
      <c r="AB15" s="79" t="s">
        <v>35</v>
      </c>
      <c r="AC15" s="88">
        <v>0.72789999999999999</v>
      </c>
      <c r="AD15" s="88">
        <v>0.72789999999999999</v>
      </c>
      <c r="AE15" s="88">
        <v>0.72789999999999999</v>
      </c>
      <c r="AF15" s="88">
        <v>0.72789999999999999</v>
      </c>
      <c r="AG15" s="88">
        <v>0.72789999999999999</v>
      </c>
      <c r="AH15" s="88">
        <v>0.72789999999999999</v>
      </c>
      <c r="AI15" s="89">
        <v>0.72789999999999999</v>
      </c>
      <c r="AJ15" s="64"/>
      <c r="AL15" s="64"/>
      <c r="AM15" s="78" t="s">
        <v>2</v>
      </c>
      <c r="AN15" s="79" t="s">
        <v>35</v>
      </c>
      <c r="AO15" s="91">
        <v>0.75380000000000003</v>
      </c>
      <c r="AP15" s="91">
        <v>0.75380000000000003</v>
      </c>
      <c r="AQ15" s="91">
        <v>0.75380000000000003</v>
      </c>
      <c r="AR15" s="91">
        <v>0.75380000000000003</v>
      </c>
      <c r="AS15" s="91">
        <v>0.75380000000000003</v>
      </c>
      <c r="AT15" s="91">
        <v>0.75380000000000003</v>
      </c>
      <c r="AU15" s="92">
        <v>0.75380000000000003</v>
      </c>
      <c r="AV15" s="64"/>
      <c r="AX15" s="64"/>
      <c r="AY15" s="78" t="s">
        <v>2</v>
      </c>
      <c r="AZ15" s="79" t="s">
        <v>35</v>
      </c>
      <c r="BA15" s="91">
        <v>0.66659999999999997</v>
      </c>
      <c r="BB15" s="91">
        <v>0.66659999999999997</v>
      </c>
      <c r="BC15" s="91">
        <v>0.66659999999999997</v>
      </c>
      <c r="BD15" s="91">
        <v>0.66659999999999997</v>
      </c>
      <c r="BE15" s="91">
        <v>0.66659999999999997</v>
      </c>
      <c r="BF15" s="91">
        <v>0.66659999999999997</v>
      </c>
      <c r="BG15" s="92">
        <v>0.66659999999999997</v>
      </c>
      <c r="BH15" s="64"/>
      <c r="BJ15" s="64"/>
      <c r="BK15" s="78" t="s">
        <v>2</v>
      </c>
      <c r="BL15" s="79" t="s">
        <v>35</v>
      </c>
      <c r="BM15" s="91">
        <v>0.52529999999999999</v>
      </c>
      <c r="BN15" s="91">
        <v>0.52529999999999999</v>
      </c>
      <c r="BO15" s="91">
        <v>0.52529999999999999</v>
      </c>
      <c r="BP15" s="91">
        <v>0.52529999999999999</v>
      </c>
      <c r="BQ15" s="91">
        <v>0.52529999999999999</v>
      </c>
      <c r="BR15" s="91">
        <v>0.52529999999999999</v>
      </c>
      <c r="BS15" s="92">
        <v>0.52529999999999999</v>
      </c>
      <c r="BT15" s="64"/>
      <c r="BV15" s="64"/>
      <c r="BW15" s="78" t="s">
        <v>2</v>
      </c>
      <c r="BX15" s="79" t="s">
        <v>35</v>
      </c>
      <c r="BY15" s="91">
        <v>0.65329999999999999</v>
      </c>
      <c r="BZ15" s="91">
        <v>0.65339999999999998</v>
      </c>
      <c r="CA15" s="91">
        <v>0.65329999999999999</v>
      </c>
      <c r="CB15" s="91">
        <v>0.65329999999999999</v>
      </c>
      <c r="CC15" s="91">
        <v>0.65339999999999998</v>
      </c>
      <c r="CD15" s="91">
        <v>0.65329999999999999</v>
      </c>
      <c r="CE15" s="92">
        <v>0.65339999999999998</v>
      </c>
      <c r="CF15" s="64"/>
    </row>
    <row r="16" spans="2:84">
      <c r="B16" s="64"/>
      <c r="C16" s="78" t="s">
        <v>3</v>
      </c>
      <c r="D16" s="79" t="s">
        <v>35</v>
      </c>
      <c r="E16" s="91"/>
      <c r="F16" s="91">
        <v>0.7944</v>
      </c>
      <c r="G16" s="91">
        <v>0.82989999999999997</v>
      </c>
      <c r="H16" s="91">
        <v>0.82989999999999997</v>
      </c>
      <c r="I16" s="91">
        <v>0.82989999999999997</v>
      </c>
      <c r="J16" s="91">
        <v>0.82989999999999997</v>
      </c>
      <c r="K16" s="92">
        <v>0.82989999999999997</v>
      </c>
      <c r="L16" s="64"/>
      <c r="N16" s="64"/>
      <c r="O16" s="78" t="s">
        <v>3</v>
      </c>
      <c r="P16" s="79" t="s">
        <v>35</v>
      </c>
      <c r="Q16" s="91"/>
      <c r="R16" s="91">
        <v>0.77990000000000004</v>
      </c>
      <c r="S16" s="91">
        <v>0.7913</v>
      </c>
      <c r="T16" s="91">
        <v>0.79139999999999999</v>
      </c>
      <c r="U16" s="91">
        <v>0.79139999999999999</v>
      </c>
      <c r="V16" s="91">
        <v>0.79139999999999999</v>
      </c>
      <c r="W16" s="92">
        <v>0.79139999999999999</v>
      </c>
      <c r="X16" s="90"/>
      <c r="Z16" s="64"/>
      <c r="AA16" s="78" t="s">
        <v>3</v>
      </c>
      <c r="AB16" s="79" t="s">
        <v>35</v>
      </c>
      <c r="AC16" s="88"/>
      <c r="AD16" s="88">
        <v>0.66500000000000004</v>
      </c>
      <c r="AE16" s="88">
        <v>0.72789999999999999</v>
      </c>
      <c r="AF16" s="88">
        <v>0.72789999999999999</v>
      </c>
      <c r="AG16" s="88">
        <v>0.72789999999999999</v>
      </c>
      <c r="AH16" s="88">
        <v>0.72789999999999999</v>
      </c>
      <c r="AI16" s="89">
        <v>0.72789999999999999</v>
      </c>
      <c r="AJ16" s="64"/>
      <c r="AL16" s="64"/>
      <c r="AM16" s="78" t="s">
        <v>3</v>
      </c>
      <c r="AN16" s="79" t="s">
        <v>35</v>
      </c>
      <c r="AO16" s="91"/>
      <c r="AP16" s="91">
        <v>0.73770000000000002</v>
      </c>
      <c r="AQ16" s="91">
        <v>0.75380000000000003</v>
      </c>
      <c r="AR16" s="91">
        <v>0.75380000000000003</v>
      </c>
      <c r="AS16" s="91">
        <v>0.75380000000000003</v>
      </c>
      <c r="AT16" s="91">
        <v>0.75380000000000003</v>
      </c>
      <c r="AU16" s="92">
        <v>0.75380000000000003</v>
      </c>
      <c r="AV16" s="64"/>
      <c r="AX16" s="64"/>
      <c r="AY16" s="78" t="s">
        <v>3</v>
      </c>
      <c r="AZ16" s="79" t="s">
        <v>35</v>
      </c>
      <c r="BA16" s="91"/>
      <c r="BB16" s="91">
        <v>0.62319999999999998</v>
      </c>
      <c r="BC16" s="91">
        <v>0.66659999999999997</v>
      </c>
      <c r="BD16" s="91">
        <v>0.66659999999999997</v>
      </c>
      <c r="BE16" s="91">
        <v>0.66659999999999997</v>
      </c>
      <c r="BF16" s="91">
        <v>0.66659999999999997</v>
      </c>
      <c r="BG16" s="92">
        <v>0.66659999999999997</v>
      </c>
      <c r="BH16" s="64"/>
      <c r="BJ16" s="64"/>
      <c r="BK16" s="78" t="s">
        <v>3</v>
      </c>
      <c r="BL16" s="79" t="s">
        <v>35</v>
      </c>
      <c r="BM16" s="91"/>
      <c r="BN16" s="91">
        <v>0.4909</v>
      </c>
      <c r="BO16" s="91">
        <v>0.52529999999999999</v>
      </c>
      <c r="BP16" s="91">
        <v>0.52529999999999999</v>
      </c>
      <c r="BQ16" s="91">
        <v>0.52529999999999999</v>
      </c>
      <c r="BR16" s="91">
        <v>0.52529999999999999</v>
      </c>
      <c r="BS16" s="92">
        <v>0.52529999999999999</v>
      </c>
      <c r="BT16" s="64"/>
      <c r="BV16" s="64"/>
      <c r="BW16" s="78" t="s">
        <v>3</v>
      </c>
      <c r="BX16" s="79" t="s">
        <v>35</v>
      </c>
      <c r="BY16" s="91"/>
      <c r="BZ16" s="91">
        <v>0.63790000000000002</v>
      </c>
      <c r="CA16" s="91">
        <v>0.65329999999999999</v>
      </c>
      <c r="CB16" s="91">
        <v>0.65329999999999999</v>
      </c>
      <c r="CC16" s="91">
        <v>0.65339999999999998</v>
      </c>
      <c r="CD16" s="91">
        <v>0.65329999999999999</v>
      </c>
      <c r="CE16" s="92">
        <v>0.65339999999999998</v>
      </c>
      <c r="CF16" s="64"/>
    </row>
    <row r="17" spans="2:84">
      <c r="B17" s="64"/>
      <c r="C17" s="78" t="s">
        <v>4</v>
      </c>
      <c r="D17" s="79" t="s">
        <v>35</v>
      </c>
      <c r="E17" s="91"/>
      <c r="F17" s="91"/>
      <c r="G17" s="91">
        <v>0.78239999999999998</v>
      </c>
      <c r="H17" s="91">
        <v>0.82989999999999997</v>
      </c>
      <c r="I17" s="91">
        <v>0.82989999999999997</v>
      </c>
      <c r="J17" s="91">
        <v>0.82989999999999997</v>
      </c>
      <c r="K17" s="92">
        <v>0.82989999999999997</v>
      </c>
      <c r="L17" s="64"/>
      <c r="N17" s="64"/>
      <c r="O17" s="78" t="s">
        <v>4</v>
      </c>
      <c r="P17" s="79" t="s">
        <v>35</v>
      </c>
      <c r="Q17" s="91"/>
      <c r="R17" s="91"/>
      <c r="S17" s="91">
        <v>0.77180000000000004</v>
      </c>
      <c r="T17" s="91">
        <v>0.79139999999999999</v>
      </c>
      <c r="U17" s="91">
        <v>0.79139999999999999</v>
      </c>
      <c r="V17" s="91">
        <v>0.79139999999999999</v>
      </c>
      <c r="W17" s="92">
        <v>0.79139999999999999</v>
      </c>
      <c r="X17" s="90"/>
      <c r="Z17" s="64"/>
      <c r="AA17" s="78" t="s">
        <v>4</v>
      </c>
      <c r="AB17" s="79" t="s">
        <v>35</v>
      </c>
      <c r="AC17" s="88"/>
      <c r="AD17" s="88"/>
      <c r="AE17" s="88">
        <v>0.64400000000000002</v>
      </c>
      <c r="AF17" s="88">
        <v>0.72789999999999999</v>
      </c>
      <c r="AG17" s="88">
        <v>0.72789999999999999</v>
      </c>
      <c r="AH17" s="88">
        <v>0.72789999999999999</v>
      </c>
      <c r="AI17" s="89">
        <v>0.72789999999999999</v>
      </c>
      <c r="AJ17" s="64"/>
      <c r="AL17" s="64"/>
      <c r="AM17" s="78" t="s">
        <v>4</v>
      </c>
      <c r="AN17" s="79" t="s">
        <v>35</v>
      </c>
      <c r="AO17" s="91"/>
      <c r="AP17" s="91"/>
      <c r="AQ17" s="91">
        <v>0.72370000000000001</v>
      </c>
      <c r="AR17" s="91">
        <v>0.75380000000000003</v>
      </c>
      <c r="AS17" s="91">
        <v>0.75380000000000003</v>
      </c>
      <c r="AT17" s="91">
        <v>0.75380000000000003</v>
      </c>
      <c r="AU17" s="92">
        <v>0.75380000000000003</v>
      </c>
      <c r="AV17" s="64"/>
      <c r="AX17" s="64"/>
      <c r="AY17" s="78" t="s">
        <v>4</v>
      </c>
      <c r="AZ17" s="79" t="s">
        <v>35</v>
      </c>
      <c r="BA17" s="91"/>
      <c r="BB17" s="91"/>
      <c r="BC17" s="91">
        <v>0.60050000000000003</v>
      </c>
      <c r="BD17" s="91">
        <v>0.66659999999999997</v>
      </c>
      <c r="BE17" s="91">
        <v>0.66659999999999997</v>
      </c>
      <c r="BF17" s="91">
        <v>0.66659999999999997</v>
      </c>
      <c r="BG17" s="92">
        <v>0.66659999999999997</v>
      </c>
      <c r="BH17" s="64"/>
      <c r="BJ17" s="64"/>
      <c r="BK17" s="78" t="s">
        <v>4</v>
      </c>
      <c r="BL17" s="79" t="s">
        <v>35</v>
      </c>
      <c r="BM17" s="91"/>
      <c r="BN17" s="91"/>
      <c r="BO17" s="91">
        <v>0.49130000000000001</v>
      </c>
      <c r="BP17" s="91">
        <v>0.52529999999999999</v>
      </c>
      <c r="BQ17" s="91">
        <v>0.52529999999999999</v>
      </c>
      <c r="BR17" s="91">
        <v>0.52529999999999999</v>
      </c>
      <c r="BS17" s="92">
        <v>0.52529999999999999</v>
      </c>
      <c r="BT17" s="64"/>
      <c r="BV17" s="64"/>
      <c r="BW17" s="78" t="s">
        <v>4</v>
      </c>
      <c r="BX17" s="79" t="s">
        <v>35</v>
      </c>
      <c r="BY17" s="91"/>
      <c r="BZ17" s="91"/>
      <c r="CA17" s="91">
        <v>0.6371</v>
      </c>
      <c r="CB17" s="91">
        <v>0.65329999999999999</v>
      </c>
      <c r="CC17" s="91">
        <v>0.65339999999999998</v>
      </c>
      <c r="CD17" s="91">
        <v>0.65329999999999999</v>
      </c>
      <c r="CE17" s="92">
        <v>0.65339999999999998</v>
      </c>
      <c r="CF17" s="64"/>
    </row>
    <row r="18" spans="2:84">
      <c r="B18" s="64"/>
      <c r="C18" s="78" t="s">
        <v>5</v>
      </c>
      <c r="D18" s="79" t="s">
        <v>35</v>
      </c>
      <c r="E18" s="91"/>
      <c r="F18" s="91"/>
      <c r="G18" s="91"/>
      <c r="H18" s="91">
        <v>0.78139999999999998</v>
      </c>
      <c r="I18" s="91">
        <v>0.82989999999999997</v>
      </c>
      <c r="J18" s="91">
        <v>0.82989999999999997</v>
      </c>
      <c r="K18" s="92">
        <v>0.82989999999999997</v>
      </c>
      <c r="L18" s="64"/>
      <c r="N18" s="64"/>
      <c r="O18" s="78" t="s">
        <v>5</v>
      </c>
      <c r="P18" s="79" t="s">
        <v>35</v>
      </c>
      <c r="Q18" s="91"/>
      <c r="R18" s="91"/>
      <c r="S18" s="91"/>
      <c r="T18" s="91">
        <v>0.78059999999999996</v>
      </c>
      <c r="U18" s="91">
        <v>0.79139999999999999</v>
      </c>
      <c r="V18" s="91">
        <v>0.79139999999999999</v>
      </c>
      <c r="W18" s="92">
        <v>0.79139999999999999</v>
      </c>
      <c r="X18" s="90"/>
      <c r="Z18" s="64"/>
      <c r="AA18" s="78" t="s">
        <v>5</v>
      </c>
      <c r="AB18" s="79" t="s">
        <v>35</v>
      </c>
      <c r="AC18" s="88"/>
      <c r="AD18" s="88"/>
      <c r="AE18" s="88"/>
      <c r="AF18" s="88">
        <v>0.63870000000000005</v>
      </c>
      <c r="AG18" s="88">
        <v>0.72789999999999999</v>
      </c>
      <c r="AH18" s="88">
        <v>0.72789999999999999</v>
      </c>
      <c r="AI18" s="89">
        <v>0.72789999999999999</v>
      </c>
      <c r="AJ18" s="64"/>
      <c r="AL18" s="64"/>
      <c r="AM18" s="78" t="s">
        <v>5</v>
      </c>
      <c r="AN18" s="79" t="s">
        <v>35</v>
      </c>
      <c r="AO18" s="91"/>
      <c r="AP18" s="91"/>
      <c r="AQ18" s="91"/>
      <c r="AR18" s="91">
        <v>0.71989999999999998</v>
      </c>
      <c r="AS18" s="91">
        <v>0.75380000000000003</v>
      </c>
      <c r="AT18" s="91">
        <v>0.75380000000000003</v>
      </c>
      <c r="AU18" s="92">
        <v>0.75380000000000003</v>
      </c>
      <c r="AV18" s="64"/>
      <c r="AX18" s="64"/>
      <c r="AY18" s="78" t="s">
        <v>5</v>
      </c>
      <c r="AZ18" s="79" t="s">
        <v>35</v>
      </c>
      <c r="BA18" s="91"/>
      <c r="BB18" s="91"/>
      <c r="BC18" s="91"/>
      <c r="BD18" s="91">
        <v>0.5958</v>
      </c>
      <c r="BE18" s="91">
        <v>0.66659999999999997</v>
      </c>
      <c r="BF18" s="91">
        <v>0.66659999999999997</v>
      </c>
      <c r="BG18" s="92">
        <v>0.66659999999999997</v>
      </c>
      <c r="BH18" s="64"/>
      <c r="BJ18" s="64"/>
      <c r="BK18" s="78" t="s">
        <v>5</v>
      </c>
      <c r="BL18" s="79" t="s">
        <v>35</v>
      </c>
      <c r="BM18" s="91"/>
      <c r="BN18" s="91"/>
      <c r="BO18" s="91"/>
      <c r="BP18" s="91">
        <v>0.48659999999999998</v>
      </c>
      <c r="BQ18" s="91">
        <v>0.52529999999999999</v>
      </c>
      <c r="BR18" s="91">
        <v>0.52529999999999999</v>
      </c>
      <c r="BS18" s="92">
        <v>0.52529999999999999</v>
      </c>
      <c r="BT18" s="64"/>
      <c r="BV18" s="64"/>
      <c r="BW18" s="78" t="s">
        <v>5</v>
      </c>
      <c r="BX18" s="79" t="s">
        <v>35</v>
      </c>
      <c r="BY18" s="91"/>
      <c r="BZ18" s="91"/>
      <c r="CA18" s="91"/>
      <c r="CB18" s="91">
        <v>0.63500000000000001</v>
      </c>
      <c r="CC18" s="91">
        <v>0.65339999999999998</v>
      </c>
      <c r="CD18" s="91">
        <v>0.65329999999999999</v>
      </c>
      <c r="CE18" s="92">
        <v>0.65339999999999998</v>
      </c>
      <c r="CF18" s="64"/>
    </row>
    <row r="19" spans="2:84">
      <c r="B19" s="64"/>
      <c r="C19" s="78" t="s">
        <v>6</v>
      </c>
      <c r="D19" s="79" t="s">
        <v>35</v>
      </c>
      <c r="E19" s="91"/>
      <c r="F19" s="91"/>
      <c r="G19" s="91"/>
      <c r="H19" s="91"/>
      <c r="I19" s="91">
        <v>0.80779999999999996</v>
      </c>
      <c r="J19" s="91">
        <v>0.82989999999999997</v>
      </c>
      <c r="K19" s="92">
        <v>0.82989999999999997</v>
      </c>
      <c r="L19" s="64"/>
      <c r="N19" s="64"/>
      <c r="O19" s="78" t="s">
        <v>6</v>
      </c>
      <c r="P19" s="79" t="s">
        <v>35</v>
      </c>
      <c r="Q19" s="91"/>
      <c r="R19" s="91"/>
      <c r="S19" s="91"/>
      <c r="T19" s="91"/>
      <c r="U19" s="91">
        <v>0.78939999999999999</v>
      </c>
      <c r="V19" s="91">
        <v>0.79139999999999999</v>
      </c>
      <c r="W19" s="92">
        <v>0.79139999999999999</v>
      </c>
      <c r="X19" s="90"/>
      <c r="Z19" s="64"/>
      <c r="AA19" s="78" t="s">
        <v>6</v>
      </c>
      <c r="AB19" s="79" t="s">
        <v>35</v>
      </c>
      <c r="AC19" s="88"/>
      <c r="AD19" s="88"/>
      <c r="AE19" s="88"/>
      <c r="AF19" s="88"/>
      <c r="AG19" s="88">
        <v>0.68400000000000005</v>
      </c>
      <c r="AH19" s="88">
        <v>0.72789999999999999</v>
      </c>
      <c r="AI19" s="89">
        <v>0.72789999999999999</v>
      </c>
      <c r="AJ19" s="64"/>
      <c r="AL19" s="64"/>
      <c r="AM19" s="78" t="s">
        <v>6</v>
      </c>
      <c r="AN19" s="79" t="s">
        <v>35</v>
      </c>
      <c r="AO19" s="91"/>
      <c r="AP19" s="91"/>
      <c r="AQ19" s="91"/>
      <c r="AR19" s="91"/>
      <c r="AS19" s="91">
        <v>0.7379</v>
      </c>
      <c r="AT19" s="91">
        <v>0.75380000000000003</v>
      </c>
      <c r="AU19" s="92">
        <v>0.75380000000000003</v>
      </c>
      <c r="AV19" s="64"/>
      <c r="AX19" s="64"/>
      <c r="AY19" s="78" t="s">
        <v>6</v>
      </c>
      <c r="AZ19" s="79" t="s">
        <v>35</v>
      </c>
      <c r="BA19" s="91"/>
      <c r="BB19" s="91"/>
      <c r="BC19" s="91"/>
      <c r="BD19" s="91"/>
      <c r="BE19" s="91">
        <v>0.6361</v>
      </c>
      <c r="BF19" s="91">
        <v>0.66659999999999997</v>
      </c>
      <c r="BG19" s="92">
        <v>0.66659999999999997</v>
      </c>
      <c r="BH19" s="64"/>
      <c r="BJ19" s="64"/>
      <c r="BK19" s="78" t="s">
        <v>6</v>
      </c>
      <c r="BL19" s="79" t="s">
        <v>35</v>
      </c>
      <c r="BM19" s="91"/>
      <c r="BN19" s="91"/>
      <c r="BO19" s="91"/>
      <c r="BP19" s="91"/>
      <c r="BQ19" s="91">
        <v>0.50160000000000005</v>
      </c>
      <c r="BR19" s="91">
        <v>0.52529999999999999</v>
      </c>
      <c r="BS19" s="92">
        <v>0.52529999999999999</v>
      </c>
      <c r="BT19" s="64"/>
      <c r="BV19" s="64"/>
      <c r="BW19" s="78" t="s">
        <v>6</v>
      </c>
      <c r="BX19" s="79" t="s">
        <v>35</v>
      </c>
      <c r="BY19" s="91"/>
      <c r="BZ19" s="91"/>
      <c r="CA19" s="91"/>
      <c r="CB19" s="91"/>
      <c r="CC19" s="91">
        <v>0.64390000000000003</v>
      </c>
      <c r="CD19" s="91">
        <v>0.65329999999999999</v>
      </c>
      <c r="CE19" s="92">
        <v>0.65339999999999998</v>
      </c>
      <c r="CF19" s="64"/>
    </row>
    <row r="20" spans="2:84">
      <c r="B20" s="64"/>
      <c r="C20" s="78" t="s">
        <v>7</v>
      </c>
      <c r="D20" s="79" t="s">
        <v>35</v>
      </c>
      <c r="E20" s="91"/>
      <c r="F20" s="91"/>
      <c r="G20" s="91"/>
      <c r="H20" s="91"/>
      <c r="I20" s="91"/>
      <c r="J20" s="91">
        <v>0.79</v>
      </c>
      <c r="K20" s="92">
        <v>0.82989999999999997</v>
      </c>
      <c r="L20" s="64"/>
      <c r="N20" s="64"/>
      <c r="O20" s="78" t="s">
        <v>7</v>
      </c>
      <c r="P20" s="79" t="s">
        <v>35</v>
      </c>
      <c r="Q20" s="91"/>
      <c r="R20" s="91"/>
      <c r="S20" s="91"/>
      <c r="T20" s="91"/>
      <c r="U20" s="91"/>
      <c r="V20" s="91">
        <v>0.7903</v>
      </c>
      <c r="W20" s="92">
        <v>0.79139999999999999</v>
      </c>
      <c r="X20" s="90"/>
      <c r="Z20" s="64"/>
      <c r="AA20" s="78" t="s">
        <v>7</v>
      </c>
      <c r="AB20" s="79" t="s">
        <v>35</v>
      </c>
      <c r="AC20" s="88"/>
      <c r="AD20" s="88"/>
      <c r="AE20" s="88"/>
      <c r="AF20" s="88"/>
      <c r="AG20" s="88"/>
      <c r="AH20" s="88">
        <v>0.66100000000000003</v>
      </c>
      <c r="AI20" s="89">
        <v>0.72789999999999999</v>
      </c>
      <c r="AJ20" s="64"/>
      <c r="AL20" s="64"/>
      <c r="AM20" s="78" t="s">
        <v>7</v>
      </c>
      <c r="AN20" s="79" t="s">
        <v>35</v>
      </c>
      <c r="AO20" s="91"/>
      <c r="AP20" s="91"/>
      <c r="AQ20" s="91"/>
      <c r="AR20" s="91"/>
      <c r="AS20" s="91"/>
      <c r="AT20" s="91">
        <v>0.73819999999999997</v>
      </c>
      <c r="AU20" s="92">
        <v>0.75380000000000003</v>
      </c>
      <c r="AV20" s="64"/>
      <c r="AX20" s="64"/>
      <c r="AY20" s="78" t="s">
        <v>7</v>
      </c>
      <c r="AZ20" s="79" t="s">
        <v>35</v>
      </c>
      <c r="BA20" s="91"/>
      <c r="BB20" s="91"/>
      <c r="BC20" s="91"/>
      <c r="BD20" s="91"/>
      <c r="BE20" s="91"/>
      <c r="BF20" s="91">
        <v>0.61760000000000004</v>
      </c>
      <c r="BG20" s="92">
        <v>0.66659999999999997</v>
      </c>
      <c r="BH20" s="64"/>
      <c r="BJ20" s="64"/>
      <c r="BK20" s="78" t="s">
        <v>7</v>
      </c>
      <c r="BL20" s="79" t="s">
        <v>35</v>
      </c>
      <c r="BM20" s="91"/>
      <c r="BN20" s="91"/>
      <c r="BO20" s="91"/>
      <c r="BP20" s="91"/>
      <c r="BQ20" s="91"/>
      <c r="BR20" s="91">
        <v>0.48630000000000001</v>
      </c>
      <c r="BS20" s="92">
        <v>0.52529999999999999</v>
      </c>
      <c r="BT20" s="64"/>
      <c r="BV20" s="64"/>
      <c r="BW20" s="78" t="s">
        <v>7</v>
      </c>
      <c r="BX20" s="79" t="s">
        <v>35</v>
      </c>
      <c r="BY20" s="91"/>
      <c r="BZ20" s="91"/>
      <c r="CA20" s="91"/>
      <c r="CB20" s="91"/>
      <c r="CC20" s="91"/>
      <c r="CD20" s="91">
        <v>0.63719999999999999</v>
      </c>
      <c r="CE20" s="92">
        <v>0.65339999999999998</v>
      </c>
      <c r="CF20" s="64"/>
    </row>
    <row r="21" spans="2:84">
      <c r="B21" s="64"/>
      <c r="C21" s="78" t="s">
        <v>8</v>
      </c>
      <c r="D21" s="79" t="s">
        <v>35</v>
      </c>
      <c r="E21" s="91"/>
      <c r="F21" s="91"/>
      <c r="G21" s="91"/>
      <c r="H21" s="91"/>
      <c r="I21" s="91"/>
      <c r="J21" s="91"/>
      <c r="K21" s="92">
        <v>0.79190000000000005</v>
      </c>
      <c r="L21" s="64"/>
      <c r="N21" s="64"/>
      <c r="O21" s="78" t="s">
        <v>8</v>
      </c>
      <c r="P21" s="79" t="s">
        <v>35</v>
      </c>
      <c r="Q21" s="91"/>
      <c r="R21" s="91"/>
      <c r="S21" s="91"/>
      <c r="T21" s="91"/>
      <c r="U21" s="91"/>
      <c r="V21" s="91"/>
      <c r="W21" s="92">
        <v>0.7903</v>
      </c>
      <c r="X21" s="90"/>
      <c r="Z21" s="64"/>
      <c r="AA21" s="78" t="s">
        <v>8</v>
      </c>
      <c r="AB21" s="79" t="s">
        <v>35</v>
      </c>
      <c r="AC21" s="88"/>
      <c r="AD21" s="88"/>
      <c r="AE21" s="88"/>
      <c r="AF21" s="88"/>
      <c r="AG21" s="88"/>
      <c r="AH21" s="88"/>
      <c r="AI21" s="89">
        <v>0.66539999999999999</v>
      </c>
      <c r="AJ21" s="64"/>
      <c r="AL21" s="64"/>
      <c r="AM21" s="78" t="s">
        <v>8</v>
      </c>
      <c r="AN21" s="79" t="s">
        <v>35</v>
      </c>
      <c r="AO21" s="91"/>
      <c r="AP21" s="91"/>
      <c r="AQ21" s="91"/>
      <c r="AR21" s="91"/>
      <c r="AS21" s="91"/>
      <c r="AT21" s="91"/>
      <c r="AU21" s="92">
        <v>0.74099999999999999</v>
      </c>
      <c r="AV21" s="64"/>
      <c r="AX21" s="64"/>
      <c r="AY21" s="78" t="s">
        <v>8</v>
      </c>
      <c r="AZ21" s="79" t="s">
        <v>35</v>
      </c>
      <c r="BA21" s="91"/>
      <c r="BB21" s="91"/>
      <c r="BC21" s="91"/>
      <c r="BD21" s="91"/>
      <c r="BE21" s="91"/>
      <c r="BF21" s="91"/>
      <c r="BG21" s="92">
        <v>0.626</v>
      </c>
      <c r="BH21" s="64"/>
      <c r="BJ21" s="64"/>
      <c r="BK21" s="78" t="s">
        <v>8</v>
      </c>
      <c r="BL21" s="79" t="s">
        <v>35</v>
      </c>
      <c r="BM21" s="91"/>
      <c r="BN21" s="91"/>
      <c r="BO21" s="91"/>
      <c r="BP21" s="91"/>
      <c r="BQ21" s="91"/>
      <c r="BR21" s="91"/>
      <c r="BS21" s="92">
        <v>0.48110000000000003</v>
      </c>
      <c r="BT21" s="64"/>
      <c r="BV21" s="64"/>
      <c r="BW21" s="78" t="s">
        <v>8</v>
      </c>
      <c r="BX21" s="79" t="s">
        <v>35</v>
      </c>
      <c r="BY21" s="91"/>
      <c r="BZ21" s="91"/>
      <c r="CA21" s="91"/>
      <c r="CB21" s="91"/>
      <c r="CC21" s="91"/>
      <c r="CD21" s="91"/>
      <c r="CE21" s="92">
        <v>0.6401</v>
      </c>
      <c r="CF21" s="64"/>
    </row>
    <row r="22" spans="2:84">
      <c r="B22" s="64"/>
      <c r="C22" s="75" t="s">
        <v>42</v>
      </c>
      <c r="D22" s="76"/>
      <c r="E22" s="86"/>
      <c r="F22" s="86"/>
      <c r="G22" s="86"/>
      <c r="H22" s="86"/>
      <c r="I22" s="86"/>
      <c r="J22" s="86"/>
      <c r="K22" s="87"/>
      <c r="L22" s="64"/>
      <c r="N22" s="64"/>
      <c r="O22" s="75" t="s">
        <v>42</v>
      </c>
      <c r="P22" s="76"/>
      <c r="Q22" s="86"/>
      <c r="R22" s="86"/>
      <c r="S22" s="86"/>
      <c r="T22" s="86"/>
      <c r="U22" s="86"/>
      <c r="V22" s="86"/>
      <c r="W22" s="87"/>
      <c r="X22" s="90"/>
      <c r="Z22" s="64"/>
      <c r="AA22" s="75" t="s">
        <v>42</v>
      </c>
      <c r="AB22" s="76"/>
      <c r="AC22" s="86"/>
      <c r="AD22" s="86"/>
      <c r="AE22" s="86"/>
      <c r="AF22" s="86"/>
      <c r="AG22" s="86"/>
      <c r="AH22" s="86"/>
      <c r="AI22" s="87"/>
      <c r="AJ22" s="64"/>
      <c r="AL22" s="64"/>
      <c r="AM22" s="75" t="s">
        <v>42</v>
      </c>
      <c r="AN22" s="76"/>
      <c r="AO22" s="76"/>
      <c r="AP22" s="76"/>
      <c r="AQ22" s="76"/>
      <c r="AR22" s="76"/>
      <c r="AS22" s="76"/>
      <c r="AT22" s="76"/>
      <c r="AU22" s="76"/>
      <c r="AV22" s="64"/>
      <c r="AX22" s="64"/>
      <c r="AY22" s="75" t="s">
        <v>42</v>
      </c>
      <c r="AZ22" s="76"/>
      <c r="BA22" s="76"/>
      <c r="BB22" s="76"/>
      <c r="BC22" s="76"/>
      <c r="BD22" s="76"/>
      <c r="BE22" s="76"/>
      <c r="BF22" s="76"/>
      <c r="BG22" s="77"/>
      <c r="BH22" s="64"/>
      <c r="BJ22" s="64"/>
      <c r="BK22" s="75" t="s">
        <v>42</v>
      </c>
      <c r="BL22" s="76"/>
      <c r="BM22" s="76"/>
      <c r="BN22" s="76"/>
      <c r="BO22" s="76"/>
      <c r="BP22" s="76"/>
      <c r="BQ22" s="76"/>
      <c r="BR22" s="76"/>
      <c r="BS22" s="77"/>
      <c r="BT22" s="64"/>
      <c r="BV22" s="64"/>
      <c r="BW22" s="75" t="s">
        <v>42</v>
      </c>
      <c r="BX22" s="76"/>
      <c r="BY22" s="86"/>
      <c r="BZ22" s="86"/>
      <c r="CA22" s="86"/>
      <c r="CB22" s="86"/>
      <c r="CC22" s="86"/>
      <c r="CD22" s="86"/>
      <c r="CE22" s="87"/>
      <c r="CF22" s="64"/>
    </row>
    <row r="23" spans="2:84">
      <c r="B23" s="64"/>
      <c r="C23" s="78" t="s">
        <v>2</v>
      </c>
      <c r="D23" s="79" t="str">
        <f t="shared" ref="D23:D29" si="7">_yearDol &amp; "$"</f>
        <v>2013$</v>
      </c>
      <c r="E23" s="86"/>
      <c r="F23" s="86"/>
      <c r="G23" s="86"/>
      <c r="H23" s="86"/>
      <c r="I23" s="86"/>
      <c r="J23" s="86"/>
      <c r="K23" s="87"/>
      <c r="L23" s="64"/>
      <c r="N23" s="64"/>
      <c r="O23" s="78" t="s">
        <v>2</v>
      </c>
      <c r="P23" s="79" t="str">
        <f t="shared" ref="P23:P29" si="8">_yearDol &amp; "$"</f>
        <v>2013$</v>
      </c>
      <c r="Q23" s="86"/>
      <c r="R23" s="86"/>
      <c r="S23" s="86"/>
      <c r="T23" s="86"/>
      <c r="U23" s="86"/>
      <c r="V23" s="86"/>
      <c r="W23" s="87"/>
      <c r="X23" s="90"/>
      <c r="Z23" s="64"/>
      <c r="AA23" s="78" t="s">
        <v>2</v>
      </c>
      <c r="AB23" s="79" t="str">
        <f t="shared" ref="AB23:AB29" si="9">_yearDol &amp; "$"</f>
        <v>2013$</v>
      </c>
      <c r="AC23" s="86"/>
      <c r="AD23" s="86"/>
      <c r="AE23" s="86"/>
      <c r="AF23" s="86"/>
      <c r="AG23" s="86"/>
      <c r="AH23" s="86"/>
      <c r="AI23" s="87"/>
      <c r="AJ23" s="64"/>
      <c r="AL23" s="64"/>
      <c r="AM23" s="78" t="s">
        <v>2</v>
      </c>
      <c r="AN23" s="79" t="str">
        <f t="shared" ref="AN23:AN29" si="10">_yearDol &amp; "$"</f>
        <v>2013$</v>
      </c>
      <c r="AO23" s="82"/>
      <c r="AP23" s="82"/>
      <c r="AQ23" s="82"/>
      <c r="AR23" s="82"/>
      <c r="AS23" s="82"/>
      <c r="AT23" s="82"/>
      <c r="AU23" s="83"/>
      <c r="AV23" s="64"/>
      <c r="AX23" s="64"/>
      <c r="AY23" s="78" t="s">
        <v>2</v>
      </c>
      <c r="AZ23" s="79" t="str">
        <f t="shared" ref="AZ23:AZ29" si="11">_yearDol &amp; "$"</f>
        <v>2013$</v>
      </c>
      <c r="BA23" s="82"/>
      <c r="BB23" s="82"/>
      <c r="BC23" s="82"/>
      <c r="BD23" s="82"/>
      <c r="BE23" s="82"/>
      <c r="BF23" s="82"/>
      <c r="BG23" s="83"/>
      <c r="BH23" s="64"/>
      <c r="BJ23" s="64"/>
      <c r="BK23" s="78" t="s">
        <v>2</v>
      </c>
      <c r="BL23" s="79" t="str">
        <f t="shared" ref="BL23:BL29" si="12">_yearDol &amp; "$"</f>
        <v>2013$</v>
      </c>
      <c r="BM23" s="82"/>
      <c r="BN23" s="82"/>
      <c r="BO23" s="82"/>
      <c r="BP23" s="82"/>
      <c r="BQ23" s="82"/>
      <c r="BR23" s="82"/>
      <c r="BS23" s="83"/>
      <c r="BT23" s="64"/>
      <c r="BV23" s="64"/>
      <c r="BW23" s="78" t="s">
        <v>2</v>
      </c>
      <c r="BX23" s="79" t="str">
        <f t="shared" ref="BX23:BX29" si="13">_yearDol &amp; "$"</f>
        <v>2013$</v>
      </c>
      <c r="BY23" s="86"/>
      <c r="BZ23" s="86"/>
      <c r="CA23" s="86"/>
      <c r="CB23" s="86"/>
      <c r="CC23" s="86"/>
      <c r="CD23" s="86"/>
      <c r="CE23" s="87"/>
      <c r="CF23" s="64"/>
    </row>
    <row r="24" spans="2:84">
      <c r="B24" s="64"/>
      <c r="C24" s="78" t="s">
        <v>3</v>
      </c>
      <c r="D24" s="79" t="str">
        <f t="shared" si="7"/>
        <v>2013$</v>
      </c>
      <c r="E24" s="86"/>
      <c r="F24" s="86"/>
      <c r="G24" s="86"/>
      <c r="H24" s="86"/>
      <c r="I24" s="86"/>
      <c r="J24" s="86"/>
      <c r="K24" s="87"/>
      <c r="L24" s="64"/>
      <c r="N24" s="64"/>
      <c r="O24" s="78" t="s">
        <v>3</v>
      </c>
      <c r="P24" s="79" t="str">
        <f t="shared" si="8"/>
        <v>2013$</v>
      </c>
      <c r="Q24" s="86"/>
      <c r="R24" s="86"/>
      <c r="S24" s="86"/>
      <c r="T24" s="86"/>
      <c r="U24" s="86"/>
      <c r="V24" s="86"/>
      <c r="W24" s="87"/>
      <c r="X24" s="90"/>
      <c r="Z24" s="64"/>
      <c r="AA24" s="78" t="s">
        <v>3</v>
      </c>
      <c r="AB24" s="79" t="str">
        <f t="shared" si="9"/>
        <v>2013$</v>
      </c>
      <c r="AC24" s="86"/>
      <c r="AD24" s="86"/>
      <c r="AE24" s="86"/>
      <c r="AF24" s="86"/>
      <c r="AG24" s="86"/>
      <c r="AH24" s="86"/>
      <c r="AI24" s="87"/>
      <c r="AJ24" s="64"/>
      <c r="AL24" s="64"/>
      <c r="AM24" s="78" t="s">
        <v>3</v>
      </c>
      <c r="AN24" s="79" t="str">
        <f t="shared" si="10"/>
        <v>2013$</v>
      </c>
      <c r="AO24" s="82"/>
      <c r="AP24" s="82"/>
      <c r="AQ24" s="82"/>
      <c r="AR24" s="82"/>
      <c r="AS24" s="82"/>
      <c r="AT24" s="82"/>
      <c r="AU24" s="83"/>
      <c r="AV24" s="64"/>
      <c r="AX24" s="64"/>
      <c r="AY24" s="78" t="s">
        <v>3</v>
      </c>
      <c r="AZ24" s="79" t="str">
        <f t="shared" si="11"/>
        <v>2013$</v>
      </c>
      <c r="BA24" s="82"/>
      <c r="BB24" s="82"/>
      <c r="BC24" s="82"/>
      <c r="BD24" s="82"/>
      <c r="BE24" s="82"/>
      <c r="BF24" s="82"/>
      <c r="BG24" s="83"/>
      <c r="BH24" s="64"/>
      <c r="BJ24" s="64"/>
      <c r="BK24" s="78" t="s">
        <v>3</v>
      </c>
      <c r="BL24" s="79" t="str">
        <f t="shared" si="12"/>
        <v>2013$</v>
      </c>
      <c r="BM24" s="82"/>
      <c r="BN24" s="82"/>
      <c r="BO24" s="82"/>
      <c r="BP24" s="82"/>
      <c r="BQ24" s="82"/>
      <c r="BR24" s="82"/>
      <c r="BS24" s="83"/>
      <c r="BT24" s="64"/>
      <c r="BV24" s="64"/>
      <c r="BW24" s="78" t="s">
        <v>3</v>
      </c>
      <c r="BX24" s="79" t="str">
        <f t="shared" si="13"/>
        <v>2013$</v>
      </c>
      <c r="BY24" s="86"/>
      <c r="BZ24" s="86"/>
      <c r="CA24" s="86"/>
      <c r="CB24" s="86"/>
      <c r="CC24" s="86"/>
      <c r="CD24" s="86"/>
      <c r="CE24" s="87"/>
      <c r="CF24" s="64"/>
    </row>
    <row r="25" spans="2:84">
      <c r="B25" s="64"/>
      <c r="C25" s="78" t="s">
        <v>4</v>
      </c>
      <c r="D25" s="79" t="str">
        <f t="shared" si="7"/>
        <v>2013$</v>
      </c>
      <c r="E25" s="86"/>
      <c r="F25" s="86"/>
      <c r="G25" s="86"/>
      <c r="H25" s="86"/>
      <c r="I25" s="86"/>
      <c r="J25" s="86"/>
      <c r="K25" s="87"/>
      <c r="L25" s="64"/>
      <c r="N25" s="64"/>
      <c r="O25" s="78" t="s">
        <v>4</v>
      </c>
      <c r="P25" s="79" t="str">
        <f t="shared" si="8"/>
        <v>2013$</v>
      </c>
      <c r="Q25" s="86"/>
      <c r="R25" s="86"/>
      <c r="S25" s="86"/>
      <c r="T25" s="86"/>
      <c r="U25" s="86"/>
      <c r="V25" s="86"/>
      <c r="W25" s="87"/>
      <c r="X25" s="90"/>
      <c r="Z25" s="64"/>
      <c r="AA25" s="78" t="s">
        <v>4</v>
      </c>
      <c r="AB25" s="79" t="str">
        <f t="shared" si="9"/>
        <v>2013$</v>
      </c>
      <c r="AC25" s="86"/>
      <c r="AD25" s="86"/>
      <c r="AE25" s="86"/>
      <c r="AF25" s="86"/>
      <c r="AG25" s="86"/>
      <c r="AH25" s="86"/>
      <c r="AI25" s="87"/>
      <c r="AJ25" s="64"/>
      <c r="AL25" s="64"/>
      <c r="AM25" s="78" t="s">
        <v>4</v>
      </c>
      <c r="AN25" s="79" t="str">
        <f t="shared" si="10"/>
        <v>2013$</v>
      </c>
      <c r="AO25" s="82"/>
      <c r="AP25" s="82"/>
      <c r="AQ25" s="82"/>
      <c r="AR25" s="82"/>
      <c r="AS25" s="82"/>
      <c r="AT25" s="82"/>
      <c r="AU25" s="83"/>
      <c r="AV25" s="64"/>
      <c r="AX25" s="64"/>
      <c r="AY25" s="78" t="s">
        <v>4</v>
      </c>
      <c r="AZ25" s="79" t="str">
        <f t="shared" si="11"/>
        <v>2013$</v>
      </c>
      <c r="BA25" s="82"/>
      <c r="BB25" s="82"/>
      <c r="BC25" s="82"/>
      <c r="BD25" s="82"/>
      <c r="BE25" s="82"/>
      <c r="BF25" s="82"/>
      <c r="BG25" s="83"/>
      <c r="BH25" s="64"/>
      <c r="BJ25" s="64"/>
      <c r="BK25" s="78" t="s">
        <v>4</v>
      </c>
      <c r="BL25" s="79" t="str">
        <f t="shared" si="12"/>
        <v>2013$</v>
      </c>
      <c r="BM25" s="82"/>
      <c r="BN25" s="82"/>
      <c r="BO25" s="82"/>
      <c r="BP25" s="82"/>
      <c r="BQ25" s="82"/>
      <c r="BR25" s="82"/>
      <c r="BS25" s="83"/>
      <c r="BT25" s="64"/>
      <c r="BV25" s="64"/>
      <c r="BW25" s="78" t="s">
        <v>4</v>
      </c>
      <c r="BX25" s="79" t="str">
        <f t="shared" si="13"/>
        <v>2013$</v>
      </c>
      <c r="BY25" s="86"/>
      <c r="BZ25" s="86"/>
      <c r="CA25" s="86"/>
      <c r="CB25" s="86"/>
      <c r="CC25" s="86"/>
      <c r="CD25" s="86"/>
      <c r="CE25" s="87"/>
      <c r="CF25" s="64"/>
    </row>
    <row r="26" spans="2:84">
      <c r="B26" s="64"/>
      <c r="C26" s="78" t="s">
        <v>5</v>
      </c>
      <c r="D26" s="79" t="str">
        <f t="shared" si="7"/>
        <v>2013$</v>
      </c>
      <c r="E26" s="86"/>
      <c r="F26" s="86"/>
      <c r="G26" s="86"/>
      <c r="H26" s="86"/>
      <c r="I26" s="86"/>
      <c r="J26" s="86"/>
      <c r="K26" s="87"/>
      <c r="L26" s="64"/>
      <c r="N26" s="64"/>
      <c r="O26" s="78" t="s">
        <v>5</v>
      </c>
      <c r="P26" s="79" t="str">
        <f t="shared" si="8"/>
        <v>2013$</v>
      </c>
      <c r="Q26" s="86"/>
      <c r="R26" s="86"/>
      <c r="S26" s="86"/>
      <c r="T26" s="86"/>
      <c r="U26" s="86"/>
      <c r="V26" s="86"/>
      <c r="W26" s="87"/>
      <c r="X26" s="90"/>
      <c r="Z26" s="64"/>
      <c r="AA26" s="78" t="s">
        <v>5</v>
      </c>
      <c r="AB26" s="79" t="str">
        <f t="shared" si="9"/>
        <v>2013$</v>
      </c>
      <c r="AC26" s="86"/>
      <c r="AD26" s="86"/>
      <c r="AE26" s="86"/>
      <c r="AF26" s="86"/>
      <c r="AG26" s="86"/>
      <c r="AH26" s="86"/>
      <c r="AI26" s="87"/>
      <c r="AJ26" s="64"/>
      <c r="AL26" s="64"/>
      <c r="AM26" s="78" t="s">
        <v>5</v>
      </c>
      <c r="AN26" s="79" t="str">
        <f t="shared" si="10"/>
        <v>2013$</v>
      </c>
      <c r="AO26" s="82"/>
      <c r="AP26" s="82"/>
      <c r="AQ26" s="82"/>
      <c r="AR26" s="82"/>
      <c r="AS26" s="82"/>
      <c r="AT26" s="82"/>
      <c r="AU26" s="83"/>
      <c r="AV26" s="64"/>
      <c r="AX26" s="64"/>
      <c r="AY26" s="78" t="s">
        <v>5</v>
      </c>
      <c r="AZ26" s="79" t="str">
        <f t="shared" si="11"/>
        <v>2013$</v>
      </c>
      <c r="BA26" s="82"/>
      <c r="BB26" s="82"/>
      <c r="BC26" s="82"/>
      <c r="BD26" s="82"/>
      <c r="BE26" s="82"/>
      <c r="BF26" s="82"/>
      <c r="BG26" s="83"/>
      <c r="BH26" s="64"/>
      <c r="BJ26" s="64"/>
      <c r="BK26" s="78" t="s">
        <v>5</v>
      </c>
      <c r="BL26" s="79" t="str">
        <f t="shared" si="12"/>
        <v>2013$</v>
      </c>
      <c r="BM26" s="82"/>
      <c r="BN26" s="82"/>
      <c r="BO26" s="82"/>
      <c r="BP26" s="82"/>
      <c r="BQ26" s="82"/>
      <c r="BR26" s="82"/>
      <c r="BS26" s="83"/>
      <c r="BT26" s="64"/>
      <c r="BV26" s="64"/>
      <c r="BW26" s="78" t="s">
        <v>5</v>
      </c>
      <c r="BX26" s="79" t="str">
        <f t="shared" si="13"/>
        <v>2013$</v>
      </c>
      <c r="BY26" s="86"/>
      <c r="BZ26" s="86"/>
      <c r="CA26" s="86"/>
      <c r="CB26" s="86"/>
      <c r="CC26" s="86"/>
      <c r="CD26" s="86"/>
      <c r="CE26" s="87"/>
      <c r="CF26" s="64"/>
    </row>
    <row r="27" spans="2:84">
      <c r="B27" s="64"/>
      <c r="C27" s="78" t="s">
        <v>6</v>
      </c>
      <c r="D27" s="79" t="str">
        <f t="shared" si="7"/>
        <v>2013$</v>
      </c>
      <c r="E27" s="86"/>
      <c r="F27" s="86"/>
      <c r="G27" s="86"/>
      <c r="H27" s="86"/>
      <c r="I27" s="86"/>
      <c r="J27" s="86"/>
      <c r="K27" s="87"/>
      <c r="L27" s="64"/>
      <c r="N27" s="64"/>
      <c r="O27" s="78" t="s">
        <v>6</v>
      </c>
      <c r="P27" s="79" t="str">
        <f t="shared" si="8"/>
        <v>2013$</v>
      </c>
      <c r="Q27" s="86"/>
      <c r="R27" s="86"/>
      <c r="S27" s="86"/>
      <c r="T27" s="86"/>
      <c r="U27" s="86"/>
      <c r="V27" s="86"/>
      <c r="W27" s="87"/>
      <c r="X27" s="90"/>
      <c r="Z27" s="64"/>
      <c r="AA27" s="78" t="s">
        <v>6</v>
      </c>
      <c r="AB27" s="79" t="str">
        <f t="shared" si="9"/>
        <v>2013$</v>
      </c>
      <c r="AC27" s="86"/>
      <c r="AD27" s="86"/>
      <c r="AE27" s="86"/>
      <c r="AF27" s="86"/>
      <c r="AG27" s="86"/>
      <c r="AH27" s="86"/>
      <c r="AI27" s="87"/>
      <c r="AJ27" s="64"/>
      <c r="AL27" s="64"/>
      <c r="AM27" s="78" t="s">
        <v>6</v>
      </c>
      <c r="AN27" s="79" t="str">
        <f t="shared" si="10"/>
        <v>2013$</v>
      </c>
      <c r="AO27" s="82"/>
      <c r="AP27" s="82"/>
      <c r="AQ27" s="82"/>
      <c r="AR27" s="82"/>
      <c r="AS27" s="82"/>
      <c r="AT27" s="82"/>
      <c r="AU27" s="83"/>
      <c r="AV27" s="64"/>
      <c r="AX27" s="64"/>
      <c r="AY27" s="78" t="s">
        <v>6</v>
      </c>
      <c r="AZ27" s="79" t="str">
        <f t="shared" si="11"/>
        <v>2013$</v>
      </c>
      <c r="BA27" s="82"/>
      <c r="BB27" s="82"/>
      <c r="BC27" s="82"/>
      <c r="BD27" s="82"/>
      <c r="BE27" s="82"/>
      <c r="BF27" s="82"/>
      <c r="BG27" s="83"/>
      <c r="BH27" s="64"/>
      <c r="BJ27" s="64"/>
      <c r="BK27" s="78" t="s">
        <v>6</v>
      </c>
      <c r="BL27" s="79" t="str">
        <f t="shared" si="12"/>
        <v>2013$</v>
      </c>
      <c r="BM27" s="82"/>
      <c r="BN27" s="82"/>
      <c r="BO27" s="82"/>
      <c r="BP27" s="82"/>
      <c r="BQ27" s="82"/>
      <c r="BR27" s="82"/>
      <c r="BS27" s="83"/>
      <c r="BT27" s="64"/>
      <c r="BV27" s="64"/>
      <c r="BW27" s="78" t="s">
        <v>6</v>
      </c>
      <c r="BX27" s="79" t="str">
        <f t="shared" si="13"/>
        <v>2013$</v>
      </c>
      <c r="BY27" s="86"/>
      <c r="BZ27" s="86"/>
      <c r="CA27" s="86"/>
      <c r="CB27" s="86"/>
      <c r="CC27" s="86"/>
      <c r="CD27" s="86"/>
      <c r="CE27" s="87"/>
      <c r="CF27" s="64"/>
    </row>
    <row r="28" spans="2:84">
      <c r="B28" s="64"/>
      <c r="C28" s="78" t="s">
        <v>7</v>
      </c>
      <c r="D28" s="79" t="str">
        <f t="shared" si="7"/>
        <v>2013$</v>
      </c>
      <c r="E28" s="86"/>
      <c r="F28" s="86"/>
      <c r="G28" s="86"/>
      <c r="H28" s="86"/>
      <c r="I28" s="86"/>
      <c r="J28" s="86"/>
      <c r="K28" s="87"/>
      <c r="L28" s="64"/>
      <c r="N28" s="64"/>
      <c r="O28" s="78" t="s">
        <v>7</v>
      </c>
      <c r="P28" s="79" t="str">
        <f t="shared" si="8"/>
        <v>2013$</v>
      </c>
      <c r="Q28" s="86"/>
      <c r="R28" s="86"/>
      <c r="S28" s="86"/>
      <c r="T28" s="86"/>
      <c r="U28" s="86"/>
      <c r="V28" s="86"/>
      <c r="W28" s="87"/>
      <c r="X28" s="90"/>
      <c r="Z28" s="64"/>
      <c r="AA28" s="78" t="s">
        <v>7</v>
      </c>
      <c r="AB28" s="79" t="str">
        <f t="shared" si="9"/>
        <v>2013$</v>
      </c>
      <c r="AC28" s="86"/>
      <c r="AD28" s="86"/>
      <c r="AE28" s="86"/>
      <c r="AF28" s="86"/>
      <c r="AG28" s="86"/>
      <c r="AH28" s="86"/>
      <c r="AI28" s="87"/>
      <c r="AJ28" s="64"/>
      <c r="AL28" s="64"/>
      <c r="AM28" s="78" t="s">
        <v>7</v>
      </c>
      <c r="AN28" s="79" t="str">
        <f t="shared" si="10"/>
        <v>2013$</v>
      </c>
      <c r="AO28" s="82"/>
      <c r="AP28" s="82"/>
      <c r="AQ28" s="82"/>
      <c r="AR28" s="82"/>
      <c r="AS28" s="82"/>
      <c r="AT28" s="82"/>
      <c r="AU28" s="83"/>
      <c r="AV28" s="64"/>
      <c r="AX28" s="64"/>
      <c r="AY28" s="78" t="s">
        <v>7</v>
      </c>
      <c r="AZ28" s="79" t="str">
        <f t="shared" si="11"/>
        <v>2013$</v>
      </c>
      <c r="BA28" s="82"/>
      <c r="BB28" s="82"/>
      <c r="BC28" s="82"/>
      <c r="BD28" s="82"/>
      <c r="BE28" s="82"/>
      <c r="BF28" s="82"/>
      <c r="BG28" s="83"/>
      <c r="BH28" s="64"/>
      <c r="BJ28" s="64"/>
      <c r="BK28" s="78" t="s">
        <v>7</v>
      </c>
      <c r="BL28" s="79" t="str">
        <f t="shared" si="12"/>
        <v>2013$</v>
      </c>
      <c r="BM28" s="82"/>
      <c r="BN28" s="82"/>
      <c r="BO28" s="82"/>
      <c r="BP28" s="82"/>
      <c r="BQ28" s="82"/>
      <c r="BR28" s="82"/>
      <c r="BS28" s="83"/>
      <c r="BT28" s="64"/>
      <c r="BV28" s="64"/>
      <c r="BW28" s="78" t="s">
        <v>7</v>
      </c>
      <c r="BX28" s="79" t="str">
        <f t="shared" si="13"/>
        <v>2013$</v>
      </c>
      <c r="BY28" s="86"/>
      <c r="BZ28" s="86"/>
      <c r="CA28" s="86"/>
      <c r="CB28" s="86"/>
      <c r="CC28" s="86"/>
      <c r="CD28" s="86"/>
      <c r="CE28" s="87"/>
      <c r="CF28" s="64"/>
    </row>
    <row r="29" spans="2:84">
      <c r="B29" s="64"/>
      <c r="C29" s="78" t="s">
        <v>8</v>
      </c>
      <c r="D29" s="79" t="str">
        <f t="shared" si="7"/>
        <v>2013$</v>
      </c>
      <c r="E29" s="86"/>
      <c r="F29" s="86"/>
      <c r="G29" s="86"/>
      <c r="H29" s="86"/>
      <c r="I29" s="86"/>
      <c r="J29" s="86"/>
      <c r="K29" s="87"/>
      <c r="L29" s="64"/>
      <c r="N29" s="64"/>
      <c r="O29" s="78" t="s">
        <v>8</v>
      </c>
      <c r="P29" s="79" t="str">
        <f t="shared" si="8"/>
        <v>2013$</v>
      </c>
      <c r="Q29" s="86"/>
      <c r="R29" s="86"/>
      <c r="S29" s="86"/>
      <c r="T29" s="86"/>
      <c r="U29" s="86"/>
      <c r="V29" s="86"/>
      <c r="W29" s="87"/>
      <c r="X29" s="90"/>
      <c r="Z29" s="64"/>
      <c r="AA29" s="78" t="s">
        <v>8</v>
      </c>
      <c r="AB29" s="79" t="str">
        <f t="shared" si="9"/>
        <v>2013$</v>
      </c>
      <c r="AC29" s="86"/>
      <c r="AD29" s="86"/>
      <c r="AE29" s="86"/>
      <c r="AF29" s="86"/>
      <c r="AG29" s="86"/>
      <c r="AH29" s="86"/>
      <c r="AI29" s="87"/>
      <c r="AJ29" s="64"/>
      <c r="AL29" s="64"/>
      <c r="AM29" s="78" t="s">
        <v>8</v>
      </c>
      <c r="AN29" s="79" t="str">
        <f t="shared" si="10"/>
        <v>2013$</v>
      </c>
      <c r="AO29" s="82"/>
      <c r="AP29" s="82"/>
      <c r="AQ29" s="82"/>
      <c r="AR29" s="82"/>
      <c r="AS29" s="82"/>
      <c r="AT29" s="82"/>
      <c r="AU29" s="83"/>
      <c r="AV29" s="64"/>
      <c r="AX29" s="64"/>
      <c r="AY29" s="78" t="s">
        <v>8</v>
      </c>
      <c r="AZ29" s="79" t="str">
        <f t="shared" si="11"/>
        <v>2013$</v>
      </c>
      <c r="BA29" s="82"/>
      <c r="BB29" s="82"/>
      <c r="BC29" s="82"/>
      <c r="BD29" s="82"/>
      <c r="BE29" s="82"/>
      <c r="BF29" s="82"/>
      <c r="BG29" s="83"/>
      <c r="BH29" s="64"/>
      <c r="BJ29" s="64"/>
      <c r="BK29" s="78" t="s">
        <v>8</v>
      </c>
      <c r="BL29" s="79" t="str">
        <f t="shared" si="12"/>
        <v>2013$</v>
      </c>
      <c r="BM29" s="82"/>
      <c r="BN29" s="82"/>
      <c r="BO29" s="82"/>
      <c r="BP29" s="82"/>
      <c r="BQ29" s="82"/>
      <c r="BR29" s="82"/>
      <c r="BS29" s="83"/>
      <c r="BT29" s="64"/>
      <c r="BV29" s="64"/>
      <c r="BW29" s="78" t="s">
        <v>8</v>
      </c>
      <c r="BX29" s="79" t="str">
        <f t="shared" si="13"/>
        <v>2013$</v>
      </c>
      <c r="BY29" s="86"/>
      <c r="BZ29" s="86"/>
      <c r="CA29" s="86"/>
      <c r="CB29" s="86"/>
      <c r="CC29" s="86"/>
      <c r="CD29" s="86"/>
      <c r="CE29" s="87"/>
      <c r="CF29" s="64"/>
    </row>
    <row r="30" spans="2:84">
      <c r="B30" s="64"/>
      <c r="C30" s="75" t="s">
        <v>43</v>
      </c>
      <c r="D30" s="76"/>
      <c r="E30" s="86"/>
      <c r="F30" s="86"/>
      <c r="G30" s="86"/>
      <c r="H30" s="86"/>
      <c r="I30" s="86"/>
      <c r="J30" s="86"/>
      <c r="K30" s="87"/>
      <c r="L30" s="64"/>
      <c r="N30" s="64"/>
      <c r="O30" s="75" t="s">
        <v>43</v>
      </c>
      <c r="P30" s="76"/>
      <c r="Q30" s="86"/>
      <c r="R30" s="86"/>
      <c r="S30" s="86"/>
      <c r="T30" s="86"/>
      <c r="U30" s="86"/>
      <c r="V30" s="86"/>
      <c r="W30" s="87"/>
      <c r="X30" s="90"/>
      <c r="Z30" s="64"/>
      <c r="AA30" s="75" t="s">
        <v>43</v>
      </c>
      <c r="AB30" s="76"/>
      <c r="AC30" s="86"/>
      <c r="AD30" s="86"/>
      <c r="AE30" s="86"/>
      <c r="AF30" s="86"/>
      <c r="AG30" s="86"/>
      <c r="AH30" s="86"/>
      <c r="AI30" s="87"/>
      <c r="AJ30" s="64"/>
      <c r="AL30" s="64"/>
      <c r="AM30" s="75" t="s">
        <v>43</v>
      </c>
      <c r="AN30" s="76"/>
      <c r="AO30" s="76"/>
      <c r="AP30" s="76"/>
      <c r="AQ30" s="76"/>
      <c r="AR30" s="76"/>
      <c r="AS30" s="76"/>
      <c r="AT30" s="76"/>
      <c r="AU30" s="77"/>
      <c r="AV30" s="64"/>
      <c r="AX30" s="64"/>
      <c r="AY30" s="75" t="s">
        <v>43</v>
      </c>
      <c r="AZ30" s="76"/>
      <c r="BA30" s="76"/>
      <c r="BB30" s="76"/>
      <c r="BC30" s="76"/>
      <c r="BD30" s="76"/>
      <c r="BE30" s="76"/>
      <c r="BF30" s="76"/>
      <c r="BG30" s="77"/>
      <c r="BH30" s="64"/>
      <c r="BJ30" s="64"/>
      <c r="BK30" s="75" t="s">
        <v>43</v>
      </c>
      <c r="BL30" s="76"/>
      <c r="BM30" s="76"/>
      <c r="BN30" s="76"/>
      <c r="BO30" s="76"/>
      <c r="BP30" s="76"/>
      <c r="BQ30" s="76"/>
      <c r="BR30" s="76"/>
      <c r="BS30" s="77"/>
      <c r="BT30" s="64"/>
      <c r="BV30" s="64"/>
      <c r="BW30" s="75" t="s">
        <v>43</v>
      </c>
      <c r="BX30" s="76"/>
      <c r="BY30" s="86"/>
      <c r="BZ30" s="86"/>
      <c r="CA30" s="86"/>
      <c r="CB30" s="86"/>
      <c r="CC30" s="86"/>
      <c r="CD30" s="86"/>
      <c r="CE30" s="87"/>
      <c r="CF30" s="64"/>
    </row>
    <row r="31" spans="2:84">
      <c r="B31" s="64"/>
      <c r="C31" s="78" t="s">
        <v>2</v>
      </c>
      <c r="D31" s="79" t="str">
        <f t="shared" ref="D31:D37" si="14">_yearDol &amp; "$"</f>
        <v>2013$</v>
      </c>
      <c r="E31" s="86"/>
      <c r="F31" s="86"/>
      <c r="G31" s="86"/>
      <c r="H31" s="86"/>
      <c r="I31" s="86"/>
      <c r="J31" s="86"/>
      <c r="K31" s="87"/>
      <c r="L31" s="64"/>
      <c r="N31" s="64"/>
      <c r="O31" s="78" t="s">
        <v>2</v>
      </c>
      <c r="P31" s="79" t="str">
        <f t="shared" ref="P31:P37" si="15">_yearDol &amp; "$"</f>
        <v>2013$</v>
      </c>
      <c r="Q31" s="86"/>
      <c r="R31" s="86"/>
      <c r="S31" s="86"/>
      <c r="T31" s="86"/>
      <c r="U31" s="86"/>
      <c r="V31" s="86"/>
      <c r="W31" s="87"/>
      <c r="X31" s="90"/>
      <c r="Z31" s="64"/>
      <c r="AA31" s="78" t="s">
        <v>2</v>
      </c>
      <c r="AB31" s="79" t="str">
        <f t="shared" ref="AB31:AB37" si="16">_yearDol &amp; "$"</f>
        <v>2013$</v>
      </c>
      <c r="AC31" s="86"/>
      <c r="AD31" s="86"/>
      <c r="AE31" s="86"/>
      <c r="AF31" s="86"/>
      <c r="AG31" s="86"/>
      <c r="AH31" s="86"/>
      <c r="AI31" s="87"/>
      <c r="AJ31" s="64"/>
      <c r="AL31" s="64"/>
      <c r="AM31" s="78" t="s">
        <v>2</v>
      </c>
      <c r="AN31" s="79" t="str">
        <f t="shared" ref="AN31:AN37" si="17">_yearDol &amp; "$"</f>
        <v>2013$</v>
      </c>
      <c r="AO31" s="82"/>
      <c r="AP31" s="82"/>
      <c r="AQ31" s="82"/>
      <c r="AR31" s="82"/>
      <c r="AS31" s="82"/>
      <c r="AT31" s="82"/>
      <c r="AU31" s="83"/>
      <c r="AV31" s="64"/>
      <c r="AX31" s="64"/>
      <c r="AY31" s="78" t="s">
        <v>2</v>
      </c>
      <c r="AZ31" s="79" t="str">
        <f t="shared" ref="AZ31:AZ37" si="18">_yearDol &amp; "$"</f>
        <v>2013$</v>
      </c>
      <c r="BA31" s="82"/>
      <c r="BB31" s="82"/>
      <c r="BC31" s="82"/>
      <c r="BD31" s="82"/>
      <c r="BE31" s="82"/>
      <c r="BF31" s="82"/>
      <c r="BG31" s="83"/>
      <c r="BH31" s="64"/>
      <c r="BJ31" s="64"/>
      <c r="BK31" s="78" t="s">
        <v>2</v>
      </c>
      <c r="BL31" s="79" t="str">
        <f t="shared" ref="BL31:BL37" si="19">_yearDol &amp; "$"</f>
        <v>2013$</v>
      </c>
      <c r="BM31" s="82"/>
      <c r="BN31" s="82"/>
      <c r="BO31" s="82"/>
      <c r="BP31" s="82"/>
      <c r="BQ31" s="82"/>
      <c r="BR31" s="82"/>
      <c r="BS31" s="83"/>
      <c r="BT31" s="64"/>
      <c r="BV31" s="64"/>
      <c r="BW31" s="78" t="s">
        <v>2</v>
      </c>
      <c r="BX31" s="79" t="str">
        <f t="shared" ref="BX31:BX37" si="20">_yearDol &amp; "$"</f>
        <v>2013$</v>
      </c>
      <c r="BY31" s="86"/>
      <c r="BZ31" s="86"/>
      <c r="CA31" s="86"/>
      <c r="CB31" s="86"/>
      <c r="CC31" s="86"/>
      <c r="CD31" s="86"/>
      <c r="CE31" s="87"/>
      <c r="CF31" s="64"/>
    </row>
    <row r="32" spans="2:84">
      <c r="B32" s="64"/>
      <c r="C32" s="78" t="s">
        <v>3</v>
      </c>
      <c r="D32" s="79" t="str">
        <f t="shared" si="14"/>
        <v>2013$</v>
      </c>
      <c r="E32" s="86"/>
      <c r="F32" s="86"/>
      <c r="G32" s="86"/>
      <c r="H32" s="86"/>
      <c r="I32" s="86"/>
      <c r="J32" s="86"/>
      <c r="K32" s="87"/>
      <c r="L32" s="64"/>
      <c r="N32" s="64"/>
      <c r="O32" s="78" t="s">
        <v>3</v>
      </c>
      <c r="P32" s="79" t="str">
        <f t="shared" si="15"/>
        <v>2013$</v>
      </c>
      <c r="Q32" s="86"/>
      <c r="R32" s="86"/>
      <c r="S32" s="86"/>
      <c r="T32" s="86"/>
      <c r="U32" s="86"/>
      <c r="V32" s="86"/>
      <c r="W32" s="87"/>
      <c r="X32" s="90"/>
      <c r="Z32" s="64"/>
      <c r="AA32" s="78" t="s">
        <v>3</v>
      </c>
      <c r="AB32" s="79" t="str">
        <f t="shared" si="16"/>
        <v>2013$</v>
      </c>
      <c r="AC32" s="86"/>
      <c r="AD32" s="86"/>
      <c r="AE32" s="86"/>
      <c r="AF32" s="86"/>
      <c r="AG32" s="86"/>
      <c r="AH32" s="86"/>
      <c r="AI32" s="87"/>
      <c r="AJ32" s="64"/>
      <c r="AL32" s="64"/>
      <c r="AM32" s="78" t="s">
        <v>3</v>
      </c>
      <c r="AN32" s="79" t="str">
        <f t="shared" si="17"/>
        <v>2013$</v>
      </c>
      <c r="AO32" s="82"/>
      <c r="AP32" s="82"/>
      <c r="AQ32" s="82"/>
      <c r="AR32" s="82"/>
      <c r="AS32" s="82"/>
      <c r="AT32" s="82"/>
      <c r="AU32" s="83"/>
      <c r="AV32" s="64"/>
      <c r="AX32" s="64"/>
      <c r="AY32" s="78" t="s">
        <v>3</v>
      </c>
      <c r="AZ32" s="79" t="str">
        <f t="shared" si="18"/>
        <v>2013$</v>
      </c>
      <c r="BA32" s="82"/>
      <c r="BB32" s="82"/>
      <c r="BC32" s="82"/>
      <c r="BD32" s="82"/>
      <c r="BE32" s="82"/>
      <c r="BF32" s="82"/>
      <c r="BG32" s="83"/>
      <c r="BH32" s="64"/>
      <c r="BJ32" s="64"/>
      <c r="BK32" s="78" t="s">
        <v>3</v>
      </c>
      <c r="BL32" s="79" t="str">
        <f t="shared" si="19"/>
        <v>2013$</v>
      </c>
      <c r="BM32" s="82"/>
      <c r="BN32" s="82"/>
      <c r="BO32" s="82"/>
      <c r="BP32" s="82"/>
      <c r="BQ32" s="82"/>
      <c r="BR32" s="82"/>
      <c r="BS32" s="83"/>
      <c r="BT32" s="64"/>
      <c r="BV32" s="64"/>
      <c r="BW32" s="78" t="s">
        <v>3</v>
      </c>
      <c r="BX32" s="79" t="str">
        <f t="shared" si="20"/>
        <v>2013$</v>
      </c>
      <c r="BY32" s="86"/>
      <c r="BZ32" s="86"/>
      <c r="CA32" s="86"/>
      <c r="CB32" s="86"/>
      <c r="CC32" s="86"/>
      <c r="CD32" s="86"/>
      <c r="CE32" s="87"/>
      <c r="CF32" s="64"/>
    </row>
    <row r="33" spans="2:84">
      <c r="B33" s="64"/>
      <c r="C33" s="78" t="s">
        <v>4</v>
      </c>
      <c r="D33" s="79" t="str">
        <f t="shared" si="14"/>
        <v>2013$</v>
      </c>
      <c r="E33" s="86"/>
      <c r="F33" s="86"/>
      <c r="G33" s="86"/>
      <c r="H33" s="86"/>
      <c r="I33" s="86"/>
      <c r="J33" s="86"/>
      <c r="K33" s="87"/>
      <c r="L33" s="64"/>
      <c r="N33" s="64"/>
      <c r="O33" s="78" t="s">
        <v>4</v>
      </c>
      <c r="P33" s="79" t="str">
        <f t="shared" si="15"/>
        <v>2013$</v>
      </c>
      <c r="Q33" s="86"/>
      <c r="R33" s="86"/>
      <c r="S33" s="86"/>
      <c r="T33" s="86"/>
      <c r="U33" s="86"/>
      <c r="V33" s="86"/>
      <c r="W33" s="87"/>
      <c r="X33" s="90"/>
      <c r="Z33" s="64"/>
      <c r="AA33" s="78" t="s">
        <v>4</v>
      </c>
      <c r="AB33" s="79" t="str">
        <f t="shared" si="16"/>
        <v>2013$</v>
      </c>
      <c r="AC33" s="86"/>
      <c r="AD33" s="86"/>
      <c r="AE33" s="86"/>
      <c r="AF33" s="86"/>
      <c r="AG33" s="86"/>
      <c r="AH33" s="86"/>
      <c r="AI33" s="87"/>
      <c r="AJ33" s="64"/>
      <c r="AL33" s="64"/>
      <c r="AM33" s="78" t="s">
        <v>4</v>
      </c>
      <c r="AN33" s="79" t="str">
        <f t="shared" si="17"/>
        <v>2013$</v>
      </c>
      <c r="AO33" s="82"/>
      <c r="AP33" s="82"/>
      <c r="AQ33" s="82"/>
      <c r="AR33" s="82"/>
      <c r="AS33" s="82"/>
      <c r="AT33" s="82"/>
      <c r="AU33" s="83"/>
      <c r="AV33" s="64"/>
      <c r="AX33" s="64"/>
      <c r="AY33" s="78" t="s">
        <v>4</v>
      </c>
      <c r="AZ33" s="79" t="str">
        <f t="shared" si="18"/>
        <v>2013$</v>
      </c>
      <c r="BA33" s="82"/>
      <c r="BB33" s="82"/>
      <c r="BC33" s="82"/>
      <c r="BD33" s="82"/>
      <c r="BE33" s="82"/>
      <c r="BF33" s="82"/>
      <c r="BG33" s="83"/>
      <c r="BH33" s="64"/>
      <c r="BJ33" s="64"/>
      <c r="BK33" s="78" t="s">
        <v>4</v>
      </c>
      <c r="BL33" s="79" t="str">
        <f t="shared" si="19"/>
        <v>2013$</v>
      </c>
      <c r="BM33" s="82"/>
      <c r="BN33" s="82"/>
      <c r="BO33" s="82"/>
      <c r="BP33" s="82"/>
      <c r="BQ33" s="82"/>
      <c r="BR33" s="82"/>
      <c r="BS33" s="83"/>
      <c r="BT33" s="64"/>
      <c r="BV33" s="64"/>
      <c r="BW33" s="78" t="s">
        <v>4</v>
      </c>
      <c r="BX33" s="79" t="str">
        <f t="shared" si="20"/>
        <v>2013$</v>
      </c>
      <c r="BY33" s="86"/>
      <c r="BZ33" s="86"/>
      <c r="CA33" s="86"/>
      <c r="CB33" s="86"/>
      <c r="CC33" s="86"/>
      <c r="CD33" s="86"/>
      <c r="CE33" s="87"/>
      <c r="CF33" s="64"/>
    </row>
    <row r="34" spans="2:84">
      <c r="B34" s="64"/>
      <c r="C34" s="78" t="s">
        <v>5</v>
      </c>
      <c r="D34" s="79" t="str">
        <f t="shared" si="14"/>
        <v>2013$</v>
      </c>
      <c r="E34" s="86"/>
      <c r="F34" s="86"/>
      <c r="G34" s="86"/>
      <c r="H34" s="86"/>
      <c r="I34" s="86"/>
      <c r="J34" s="86"/>
      <c r="K34" s="87"/>
      <c r="L34" s="64"/>
      <c r="N34" s="64"/>
      <c r="O34" s="78" t="s">
        <v>5</v>
      </c>
      <c r="P34" s="79" t="str">
        <f t="shared" si="15"/>
        <v>2013$</v>
      </c>
      <c r="Q34" s="86"/>
      <c r="R34" s="86"/>
      <c r="S34" s="86"/>
      <c r="T34" s="86"/>
      <c r="U34" s="86"/>
      <c r="V34" s="86"/>
      <c r="W34" s="87"/>
      <c r="X34" s="90"/>
      <c r="Z34" s="64"/>
      <c r="AA34" s="78" t="s">
        <v>5</v>
      </c>
      <c r="AB34" s="79" t="str">
        <f t="shared" si="16"/>
        <v>2013$</v>
      </c>
      <c r="AC34" s="86"/>
      <c r="AD34" s="86"/>
      <c r="AE34" s="86"/>
      <c r="AF34" s="86"/>
      <c r="AG34" s="86"/>
      <c r="AH34" s="86"/>
      <c r="AI34" s="87"/>
      <c r="AJ34" s="64"/>
      <c r="AL34" s="64"/>
      <c r="AM34" s="78" t="s">
        <v>5</v>
      </c>
      <c r="AN34" s="79" t="str">
        <f t="shared" si="17"/>
        <v>2013$</v>
      </c>
      <c r="AO34" s="82"/>
      <c r="AP34" s="82"/>
      <c r="AQ34" s="82"/>
      <c r="AR34" s="82"/>
      <c r="AS34" s="82"/>
      <c r="AT34" s="82"/>
      <c r="AU34" s="83"/>
      <c r="AV34" s="64"/>
      <c r="AX34" s="64"/>
      <c r="AY34" s="78" t="s">
        <v>5</v>
      </c>
      <c r="AZ34" s="79" t="str">
        <f t="shared" si="18"/>
        <v>2013$</v>
      </c>
      <c r="BA34" s="82"/>
      <c r="BB34" s="82"/>
      <c r="BC34" s="82"/>
      <c r="BD34" s="82"/>
      <c r="BE34" s="82"/>
      <c r="BF34" s="82"/>
      <c r="BG34" s="83"/>
      <c r="BH34" s="64"/>
      <c r="BJ34" s="64"/>
      <c r="BK34" s="78" t="s">
        <v>5</v>
      </c>
      <c r="BL34" s="79" t="str">
        <f t="shared" si="19"/>
        <v>2013$</v>
      </c>
      <c r="BM34" s="82"/>
      <c r="BN34" s="82"/>
      <c r="BO34" s="82"/>
      <c r="BP34" s="82"/>
      <c r="BQ34" s="82"/>
      <c r="BR34" s="82"/>
      <c r="BS34" s="83"/>
      <c r="BT34" s="64"/>
      <c r="BV34" s="64"/>
      <c r="BW34" s="78" t="s">
        <v>5</v>
      </c>
      <c r="BX34" s="79" t="str">
        <f t="shared" si="20"/>
        <v>2013$</v>
      </c>
      <c r="BY34" s="86"/>
      <c r="BZ34" s="86"/>
      <c r="CA34" s="86"/>
      <c r="CB34" s="86"/>
      <c r="CC34" s="86"/>
      <c r="CD34" s="86"/>
      <c r="CE34" s="87"/>
      <c r="CF34" s="64"/>
    </row>
    <row r="35" spans="2:84">
      <c r="B35" s="64"/>
      <c r="C35" s="78" t="s">
        <v>6</v>
      </c>
      <c r="D35" s="79" t="str">
        <f t="shared" si="14"/>
        <v>2013$</v>
      </c>
      <c r="E35" s="86"/>
      <c r="F35" s="86"/>
      <c r="G35" s="86"/>
      <c r="H35" s="86"/>
      <c r="I35" s="86"/>
      <c r="J35" s="86"/>
      <c r="K35" s="87"/>
      <c r="L35" s="64"/>
      <c r="N35" s="64"/>
      <c r="O35" s="78" t="s">
        <v>6</v>
      </c>
      <c r="P35" s="79" t="str">
        <f t="shared" si="15"/>
        <v>2013$</v>
      </c>
      <c r="Q35" s="86"/>
      <c r="R35" s="86"/>
      <c r="S35" s="86"/>
      <c r="T35" s="86"/>
      <c r="U35" s="86"/>
      <c r="V35" s="86"/>
      <c r="W35" s="87"/>
      <c r="X35" s="90"/>
      <c r="Z35" s="64"/>
      <c r="AA35" s="78" t="s">
        <v>6</v>
      </c>
      <c r="AB35" s="79" t="str">
        <f t="shared" si="16"/>
        <v>2013$</v>
      </c>
      <c r="AC35" s="86"/>
      <c r="AD35" s="86"/>
      <c r="AE35" s="86"/>
      <c r="AF35" s="86"/>
      <c r="AG35" s="86"/>
      <c r="AH35" s="86"/>
      <c r="AI35" s="87"/>
      <c r="AJ35" s="64"/>
      <c r="AL35" s="64"/>
      <c r="AM35" s="78" t="s">
        <v>6</v>
      </c>
      <c r="AN35" s="79" t="str">
        <f t="shared" si="17"/>
        <v>2013$</v>
      </c>
      <c r="AO35" s="82"/>
      <c r="AP35" s="82"/>
      <c r="AQ35" s="82"/>
      <c r="AR35" s="82"/>
      <c r="AS35" s="82"/>
      <c r="AT35" s="82"/>
      <c r="AU35" s="83"/>
      <c r="AV35" s="64"/>
      <c r="AX35" s="64"/>
      <c r="AY35" s="78" t="s">
        <v>6</v>
      </c>
      <c r="AZ35" s="79" t="str">
        <f t="shared" si="18"/>
        <v>2013$</v>
      </c>
      <c r="BA35" s="82"/>
      <c r="BB35" s="82"/>
      <c r="BC35" s="82"/>
      <c r="BD35" s="82"/>
      <c r="BE35" s="82"/>
      <c r="BF35" s="82"/>
      <c r="BG35" s="83"/>
      <c r="BH35" s="64"/>
      <c r="BJ35" s="64"/>
      <c r="BK35" s="78" t="s">
        <v>6</v>
      </c>
      <c r="BL35" s="79" t="str">
        <f t="shared" si="19"/>
        <v>2013$</v>
      </c>
      <c r="BM35" s="82"/>
      <c r="BN35" s="82"/>
      <c r="BO35" s="82"/>
      <c r="BP35" s="82"/>
      <c r="BQ35" s="82"/>
      <c r="BR35" s="82"/>
      <c r="BS35" s="83"/>
      <c r="BT35" s="64"/>
      <c r="BV35" s="64"/>
      <c r="BW35" s="78" t="s">
        <v>6</v>
      </c>
      <c r="BX35" s="79" t="str">
        <f t="shared" si="20"/>
        <v>2013$</v>
      </c>
      <c r="BY35" s="86"/>
      <c r="BZ35" s="86"/>
      <c r="CA35" s="86"/>
      <c r="CB35" s="86"/>
      <c r="CC35" s="86"/>
      <c r="CD35" s="86"/>
      <c r="CE35" s="87"/>
      <c r="CF35" s="64"/>
    </row>
    <row r="36" spans="2:84">
      <c r="B36" s="64"/>
      <c r="C36" s="78" t="s">
        <v>7</v>
      </c>
      <c r="D36" s="79" t="str">
        <f t="shared" si="14"/>
        <v>2013$</v>
      </c>
      <c r="E36" s="86"/>
      <c r="F36" s="86"/>
      <c r="G36" s="86"/>
      <c r="H36" s="86"/>
      <c r="I36" s="86"/>
      <c r="J36" s="86"/>
      <c r="K36" s="87"/>
      <c r="L36" s="64"/>
      <c r="N36" s="64"/>
      <c r="O36" s="78" t="s">
        <v>7</v>
      </c>
      <c r="P36" s="79" t="str">
        <f t="shared" si="15"/>
        <v>2013$</v>
      </c>
      <c r="Q36" s="86"/>
      <c r="R36" s="86"/>
      <c r="S36" s="86"/>
      <c r="T36" s="86"/>
      <c r="U36" s="86"/>
      <c r="V36" s="86"/>
      <c r="W36" s="87"/>
      <c r="X36" s="90"/>
      <c r="Z36" s="64"/>
      <c r="AA36" s="78" t="s">
        <v>7</v>
      </c>
      <c r="AB36" s="79" t="str">
        <f t="shared" si="16"/>
        <v>2013$</v>
      </c>
      <c r="AC36" s="86"/>
      <c r="AD36" s="86"/>
      <c r="AE36" s="86"/>
      <c r="AF36" s="86"/>
      <c r="AG36" s="86"/>
      <c r="AH36" s="86"/>
      <c r="AI36" s="87"/>
      <c r="AJ36" s="64"/>
      <c r="AL36" s="64"/>
      <c r="AM36" s="78" t="s">
        <v>7</v>
      </c>
      <c r="AN36" s="79" t="str">
        <f t="shared" si="17"/>
        <v>2013$</v>
      </c>
      <c r="AO36" s="82"/>
      <c r="AP36" s="82"/>
      <c r="AQ36" s="82"/>
      <c r="AR36" s="82"/>
      <c r="AS36" s="82"/>
      <c r="AT36" s="82"/>
      <c r="AU36" s="83"/>
      <c r="AV36" s="64"/>
      <c r="AX36" s="64"/>
      <c r="AY36" s="78" t="s">
        <v>7</v>
      </c>
      <c r="AZ36" s="79" t="str">
        <f t="shared" si="18"/>
        <v>2013$</v>
      </c>
      <c r="BA36" s="82"/>
      <c r="BB36" s="82"/>
      <c r="BC36" s="82"/>
      <c r="BD36" s="82"/>
      <c r="BE36" s="82"/>
      <c r="BF36" s="82"/>
      <c r="BG36" s="83"/>
      <c r="BH36" s="64"/>
      <c r="BJ36" s="64"/>
      <c r="BK36" s="78" t="s">
        <v>7</v>
      </c>
      <c r="BL36" s="79" t="str">
        <f t="shared" si="19"/>
        <v>2013$</v>
      </c>
      <c r="BM36" s="82"/>
      <c r="BN36" s="82"/>
      <c r="BO36" s="82"/>
      <c r="BP36" s="82"/>
      <c r="BQ36" s="82"/>
      <c r="BR36" s="82"/>
      <c r="BS36" s="83"/>
      <c r="BT36" s="64"/>
      <c r="BV36" s="64"/>
      <c r="BW36" s="78" t="s">
        <v>7</v>
      </c>
      <c r="BX36" s="79" t="str">
        <f t="shared" si="20"/>
        <v>2013$</v>
      </c>
      <c r="BY36" s="86"/>
      <c r="BZ36" s="86"/>
      <c r="CA36" s="86"/>
      <c r="CB36" s="86"/>
      <c r="CC36" s="86"/>
      <c r="CD36" s="86"/>
      <c r="CE36" s="87"/>
      <c r="CF36" s="64"/>
    </row>
    <row r="37" spans="2:84">
      <c r="B37" s="64"/>
      <c r="C37" s="78" t="s">
        <v>8</v>
      </c>
      <c r="D37" s="79" t="str">
        <f t="shared" si="14"/>
        <v>2013$</v>
      </c>
      <c r="E37" s="86"/>
      <c r="F37" s="86"/>
      <c r="G37" s="86"/>
      <c r="H37" s="86"/>
      <c r="I37" s="86"/>
      <c r="J37" s="86"/>
      <c r="K37" s="87"/>
      <c r="L37" s="64"/>
      <c r="N37" s="64"/>
      <c r="O37" s="78" t="s">
        <v>8</v>
      </c>
      <c r="P37" s="79" t="str">
        <f t="shared" si="15"/>
        <v>2013$</v>
      </c>
      <c r="Q37" s="86"/>
      <c r="R37" s="86"/>
      <c r="S37" s="86"/>
      <c r="T37" s="86"/>
      <c r="U37" s="86"/>
      <c r="V37" s="86"/>
      <c r="W37" s="87"/>
      <c r="X37" s="90"/>
      <c r="Z37" s="64"/>
      <c r="AA37" s="78" t="s">
        <v>8</v>
      </c>
      <c r="AB37" s="79" t="str">
        <f t="shared" si="16"/>
        <v>2013$</v>
      </c>
      <c r="AC37" s="86"/>
      <c r="AD37" s="86"/>
      <c r="AE37" s="86"/>
      <c r="AF37" s="86"/>
      <c r="AG37" s="86"/>
      <c r="AH37" s="86"/>
      <c r="AI37" s="87"/>
      <c r="AJ37" s="64"/>
      <c r="AL37" s="64"/>
      <c r="AM37" s="78" t="s">
        <v>8</v>
      </c>
      <c r="AN37" s="79" t="str">
        <f t="shared" si="17"/>
        <v>2013$</v>
      </c>
      <c r="AO37" s="82"/>
      <c r="AP37" s="82"/>
      <c r="AQ37" s="82"/>
      <c r="AR37" s="82"/>
      <c r="AS37" s="82"/>
      <c r="AT37" s="82"/>
      <c r="AU37" s="83"/>
      <c r="AV37" s="64"/>
      <c r="AX37" s="64"/>
      <c r="AY37" s="78" t="s">
        <v>8</v>
      </c>
      <c r="AZ37" s="79" t="str">
        <f t="shared" si="18"/>
        <v>2013$</v>
      </c>
      <c r="BA37" s="82"/>
      <c r="BB37" s="82"/>
      <c r="BC37" s="82"/>
      <c r="BD37" s="82"/>
      <c r="BE37" s="82"/>
      <c r="BF37" s="82"/>
      <c r="BG37" s="83"/>
      <c r="BH37" s="64"/>
      <c r="BJ37" s="64"/>
      <c r="BK37" s="78" t="s">
        <v>8</v>
      </c>
      <c r="BL37" s="79" t="str">
        <f t="shared" si="19"/>
        <v>2013$</v>
      </c>
      <c r="BM37" s="82"/>
      <c r="BN37" s="82"/>
      <c r="BO37" s="82"/>
      <c r="BP37" s="82"/>
      <c r="BQ37" s="82"/>
      <c r="BR37" s="82"/>
      <c r="BS37" s="83"/>
      <c r="BT37" s="64"/>
      <c r="BV37" s="64"/>
      <c r="BW37" s="78" t="s">
        <v>8</v>
      </c>
      <c r="BX37" s="79" t="str">
        <f t="shared" si="20"/>
        <v>2013$</v>
      </c>
      <c r="BY37" s="86"/>
      <c r="BZ37" s="86"/>
      <c r="CA37" s="86"/>
      <c r="CB37" s="86"/>
      <c r="CC37" s="86"/>
      <c r="CD37" s="86"/>
      <c r="CE37" s="87"/>
      <c r="CF37" s="64"/>
    </row>
    <row r="38" spans="2:84">
      <c r="B38" s="64"/>
      <c r="C38" s="84" t="s">
        <v>44</v>
      </c>
      <c r="D38" s="76"/>
      <c r="E38" s="86"/>
      <c r="F38" s="86"/>
      <c r="G38" s="86"/>
      <c r="H38" s="86"/>
      <c r="I38" s="86"/>
      <c r="J38" s="86"/>
      <c r="K38" s="87"/>
      <c r="L38" s="64"/>
      <c r="N38" s="64"/>
      <c r="O38" s="84" t="s">
        <v>44</v>
      </c>
      <c r="P38" s="76"/>
      <c r="Q38" s="86"/>
      <c r="R38" s="86"/>
      <c r="S38" s="86"/>
      <c r="T38" s="86"/>
      <c r="U38" s="86"/>
      <c r="V38" s="86"/>
      <c r="W38" s="87"/>
      <c r="X38" s="90"/>
      <c r="Z38" s="64"/>
      <c r="AA38" s="84" t="s">
        <v>44</v>
      </c>
      <c r="AB38" s="76"/>
      <c r="AC38" s="86"/>
      <c r="AD38" s="86"/>
      <c r="AE38" s="86"/>
      <c r="AF38" s="86"/>
      <c r="AG38" s="86"/>
      <c r="AH38" s="86"/>
      <c r="AI38" s="87"/>
      <c r="AJ38" s="64"/>
      <c r="AL38" s="64"/>
      <c r="AM38" s="84" t="s">
        <v>44</v>
      </c>
      <c r="AN38" s="76"/>
      <c r="AO38" s="76"/>
      <c r="AP38" s="76"/>
      <c r="AQ38" s="76"/>
      <c r="AR38" s="76"/>
      <c r="AS38" s="76"/>
      <c r="AT38" s="76"/>
      <c r="AU38" s="77"/>
      <c r="AV38" s="64"/>
      <c r="AX38" s="64"/>
      <c r="AY38" s="84" t="s">
        <v>44</v>
      </c>
      <c r="AZ38" s="76"/>
      <c r="BA38" s="76"/>
      <c r="BB38" s="76"/>
      <c r="BC38" s="76"/>
      <c r="BD38" s="76"/>
      <c r="BE38" s="76"/>
      <c r="BF38" s="76"/>
      <c r="BG38" s="77"/>
      <c r="BH38" s="64"/>
      <c r="BJ38" s="64"/>
      <c r="BK38" s="84" t="s">
        <v>44</v>
      </c>
      <c r="BL38" s="76"/>
      <c r="BM38" s="76"/>
      <c r="BN38" s="76"/>
      <c r="BO38" s="76"/>
      <c r="BP38" s="76"/>
      <c r="BQ38" s="76"/>
      <c r="BR38" s="76"/>
      <c r="BS38" s="77"/>
      <c r="BT38" s="64"/>
      <c r="BV38" s="64"/>
      <c r="BW38" s="84" t="s">
        <v>44</v>
      </c>
      <c r="BX38" s="76"/>
      <c r="BY38" s="86"/>
      <c r="BZ38" s="86"/>
      <c r="CA38" s="86"/>
      <c r="CB38" s="86"/>
      <c r="CC38" s="86"/>
      <c r="CD38" s="86"/>
      <c r="CE38" s="87"/>
      <c r="CF38" s="64"/>
    </row>
    <row r="39" spans="2:84">
      <c r="B39" s="64"/>
      <c r="C39" s="75" t="str">
        <f>INDEX(_fuel,1)</f>
        <v>Electricity</v>
      </c>
      <c r="D39" s="76"/>
      <c r="E39" s="86"/>
      <c r="F39" s="86"/>
      <c r="G39" s="86"/>
      <c r="H39" s="86"/>
      <c r="I39" s="86"/>
      <c r="J39" s="86"/>
      <c r="K39" s="87"/>
      <c r="L39" s="64"/>
      <c r="N39" s="64"/>
      <c r="O39" s="75" t="str">
        <f>INDEX(_fuel,1)</f>
        <v>Electricity</v>
      </c>
      <c r="P39" s="76"/>
      <c r="Q39" s="86"/>
      <c r="R39" s="86"/>
      <c r="S39" s="86"/>
      <c r="T39" s="86"/>
      <c r="U39" s="86"/>
      <c r="V39" s="86"/>
      <c r="W39" s="87"/>
      <c r="X39" s="90"/>
      <c r="Z39" s="64"/>
      <c r="AA39" s="75" t="str">
        <f>INDEX(_fuel,1)</f>
        <v>Electricity</v>
      </c>
      <c r="AB39" s="76"/>
      <c r="AC39" s="86"/>
      <c r="AD39" s="86"/>
      <c r="AE39" s="86"/>
      <c r="AF39" s="86"/>
      <c r="AG39" s="86"/>
      <c r="AH39" s="86"/>
      <c r="AI39" s="87"/>
      <c r="AJ39" s="64"/>
      <c r="AL39" s="64"/>
      <c r="AM39" s="75" t="str">
        <f>INDEX(_fuel,1)</f>
        <v>Electricity</v>
      </c>
      <c r="AN39" s="76"/>
      <c r="AO39" s="76"/>
      <c r="AP39" s="76"/>
      <c r="AQ39" s="76"/>
      <c r="AR39" s="76"/>
      <c r="AS39" s="76"/>
      <c r="AT39" s="76"/>
      <c r="AU39" s="77"/>
      <c r="AV39" s="64"/>
      <c r="AX39" s="64"/>
      <c r="AY39" s="75" t="str">
        <f>INDEX(_fuel,1)</f>
        <v>Electricity</v>
      </c>
      <c r="AZ39" s="76"/>
      <c r="BA39" s="76"/>
      <c r="BB39" s="76"/>
      <c r="BC39" s="76"/>
      <c r="BD39" s="76"/>
      <c r="BE39" s="76"/>
      <c r="BF39" s="76"/>
      <c r="BG39" s="77"/>
      <c r="BH39" s="64"/>
      <c r="BJ39" s="64"/>
      <c r="BK39" s="75" t="str">
        <f>INDEX(_fuel,1)</f>
        <v>Electricity</v>
      </c>
      <c r="BL39" s="76"/>
      <c r="BM39" s="76"/>
      <c r="BN39" s="76"/>
      <c r="BO39" s="76"/>
      <c r="BP39" s="76"/>
      <c r="BQ39" s="76"/>
      <c r="BR39" s="76"/>
      <c r="BS39" s="77"/>
      <c r="BT39" s="64"/>
      <c r="BV39" s="64"/>
      <c r="BW39" s="75" t="str">
        <f>INDEX(_fuel,1)</f>
        <v>Electricity</v>
      </c>
      <c r="BX39" s="76"/>
      <c r="BY39" s="86"/>
      <c r="BZ39" s="86"/>
      <c r="CA39" s="86"/>
      <c r="CB39" s="86"/>
      <c r="CC39" s="86"/>
      <c r="CD39" s="86"/>
      <c r="CE39" s="87"/>
      <c r="CF39" s="64"/>
    </row>
    <row r="40" spans="2:84">
      <c r="B40" s="64"/>
      <c r="C40" s="78" t="s">
        <v>2</v>
      </c>
      <c r="D40" s="79" t="s">
        <v>45</v>
      </c>
      <c r="E40" s="93">
        <v>37363.300000000003</v>
      </c>
      <c r="F40" s="93">
        <v>26261.83</v>
      </c>
      <c r="G40" s="93">
        <v>32248.02</v>
      </c>
      <c r="H40" s="93">
        <v>127841.93</v>
      </c>
      <c r="I40" s="93">
        <v>38743.72</v>
      </c>
      <c r="J40" s="93">
        <v>55128.62</v>
      </c>
      <c r="K40" s="94">
        <v>43931.5</v>
      </c>
      <c r="L40" s="64"/>
      <c r="N40" s="64"/>
      <c r="O40" s="78" t="s">
        <v>2</v>
      </c>
      <c r="P40" s="79" t="s">
        <v>45</v>
      </c>
      <c r="Q40" s="93">
        <v>3064.82</v>
      </c>
      <c r="R40" s="93">
        <v>7617.11</v>
      </c>
      <c r="S40" s="93">
        <v>2149.8200000000002</v>
      </c>
      <c r="T40" s="93">
        <v>14173.98</v>
      </c>
      <c r="U40" s="93">
        <v>16355.35</v>
      </c>
      <c r="V40" s="93">
        <v>16180.44</v>
      </c>
      <c r="W40" s="94">
        <v>15115.83</v>
      </c>
      <c r="X40" s="90"/>
      <c r="Z40" s="64"/>
      <c r="AA40" s="78" t="s">
        <v>2</v>
      </c>
      <c r="AB40" s="79" t="s">
        <v>45</v>
      </c>
      <c r="AC40" s="93">
        <v>14230.64</v>
      </c>
      <c r="AD40" s="93">
        <v>116518.08</v>
      </c>
      <c r="AE40" s="93">
        <v>54810.55</v>
      </c>
      <c r="AF40" s="93">
        <v>54268.54</v>
      </c>
      <c r="AG40" s="93">
        <v>79901.59</v>
      </c>
      <c r="AH40" s="93">
        <v>62385.51</v>
      </c>
      <c r="AI40" s="94">
        <v>69821.64</v>
      </c>
      <c r="AJ40" s="64"/>
      <c r="AL40" s="64"/>
      <c r="AM40" s="78" t="s">
        <v>2</v>
      </c>
      <c r="AN40" s="100" t="s">
        <v>45</v>
      </c>
      <c r="AO40" s="97">
        <v>17436.349999999999</v>
      </c>
      <c r="AP40" s="97">
        <v>34497.64</v>
      </c>
      <c r="AQ40" s="97">
        <v>45312.06</v>
      </c>
      <c r="AR40" s="97">
        <v>39824.75</v>
      </c>
      <c r="AS40" s="97">
        <v>38918.75</v>
      </c>
      <c r="AT40" s="97">
        <v>27960.29</v>
      </c>
      <c r="AU40" s="98">
        <v>34682.79</v>
      </c>
      <c r="AV40" s="64"/>
      <c r="AX40" s="64"/>
      <c r="AY40" s="78" t="s">
        <v>2</v>
      </c>
      <c r="AZ40" s="79" t="s">
        <v>45</v>
      </c>
      <c r="BA40" s="97">
        <v>8554</v>
      </c>
      <c r="BB40" s="97">
        <v>17300.71</v>
      </c>
      <c r="BC40" s="97">
        <v>10648.13</v>
      </c>
      <c r="BD40" s="97">
        <v>41406.54</v>
      </c>
      <c r="BE40" s="97">
        <v>18236.02</v>
      </c>
      <c r="BF40" s="97">
        <v>26805.14</v>
      </c>
      <c r="BG40" s="98">
        <v>27622.71</v>
      </c>
      <c r="BH40" s="64"/>
      <c r="BJ40" s="64"/>
      <c r="BK40" s="78" t="s">
        <v>2</v>
      </c>
      <c r="BL40" s="79" t="s">
        <v>45</v>
      </c>
      <c r="BM40" s="97">
        <v>81004.59</v>
      </c>
      <c r="BN40" s="97">
        <v>21468.720000000001</v>
      </c>
      <c r="BO40" s="97">
        <v>86478.91</v>
      </c>
      <c r="BP40" s="97">
        <v>91935.55</v>
      </c>
      <c r="BQ40" s="97">
        <v>75682.34</v>
      </c>
      <c r="BR40" s="97">
        <v>39434.769999999997</v>
      </c>
      <c r="BS40" s="98">
        <v>19898.87</v>
      </c>
      <c r="BT40" s="64"/>
      <c r="BV40" s="64"/>
      <c r="BW40" s="78" t="s">
        <v>2</v>
      </c>
      <c r="BX40" s="79" t="s">
        <v>45</v>
      </c>
      <c r="BY40" s="93">
        <v>10180.52</v>
      </c>
      <c r="BZ40" s="93">
        <v>7102.99</v>
      </c>
      <c r="CA40" s="93">
        <v>19917.11</v>
      </c>
      <c r="CB40" s="93">
        <v>22530.59</v>
      </c>
      <c r="CC40" s="93">
        <v>13561.25</v>
      </c>
      <c r="CD40" s="93">
        <v>12106.3</v>
      </c>
      <c r="CE40" s="94">
        <v>8684.39</v>
      </c>
      <c r="CF40" s="64"/>
    </row>
    <row r="41" spans="2:84">
      <c r="B41" s="64"/>
      <c r="C41" s="78" t="s">
        <v>3</v>
      </c>
      <c r="D41" s="79" t="s">
        <v>45</v>
      </c>
      <c r="E41" s="93"/>
      <c r="F41" s="93">
        <v>29716.959999999999</v>
      </c>
      <c r="G41" s="93">
        <v>32248.02</v>
      </c>
      <c r="H41" s="93">
        <v>127841.93</v>
      </c>
      <c r="I41" s="93">
        <v>38743.72</v>
      </c>
      <c r="J41" s="93">
        <v>55128.62</v>
      </c>
      <c r="K41" s="94">
        <v>43931.5</v>
      </c>
      <c r="L41" s="64"/>
      <c r="N41" s="64"/>
      <c r="O41" s="78" t="s">
        <v>3</v>
      </c>
      <c r="P41" s="79" t="s">
        <v>45</v>
      </c>
      <c r="Q41" s="93"/>
      <c r="R41" s="93">
        <v>6816.07</v>
      </c>
      <c r="S41" s="93">
        <v>2149.8200000000002</v>
      </c>
      <c r="T41" s="93">
        <v>14173.98</v>
      </c>
      <c r="U41" s="93">
        <v>16355.35</v>
      </c>
      <c r="V41" s="93">
        <v>16180.44</v>
      </c>
      <c r="W41" s="94">
        <v>15115.83</v>
      </c>
      <c r="X41" s="90"/>
      <c r="Z41" s="64"/>
      <c r="AA41" s="78" t="s">
        <v>3</v>
      </c>
      <c r="AB41" s="79" t="s">
        <v>45</v>
      </c>
      <c r="AC41" s="93"/>
      <c r="AD41" s="93">
        <v>52611.83</v>
      </c>
      <c r="AE41" s="93">
        <v>54810.55</v>
      </c>
      <c r="AF41" s="93">
        <v>54268.54</v>
      </c>
      <c r="AG41" s="93">
        <v>79901.59</v>
      </c>
      <c r="AH41" s="93">
        <v>62385.51</v>
      </c>
      <c r="AI41" s="94">
        <v>69821.64</v>
      </c>
      <c r="AJ41" s="64"/>
      <c r="AL41" s="64"/>
      <c r="AM41" s="78" t="s">
        <v>3</v>
      </c>
      <c r="AN41" s="100" t="s">
        <v>45</v>
      </c>
      <c r="AO41" s="97"/>
      <c r="AP41" s="97">
        <v>24952.68</v>
      </c>
      <c r="AQ41" s="97">
        <v>45312.06</v>
      </c>
      <c r="AR41" s="97">
        <v>39824.75</v>
      </c>
      <c r="AS41" s="97">
        <v>38918.75</v>
      </c>
      <c r="AT41" s="97">
        <v>27960.29</v>
      </c>
      <c r="AU41" s="98">
        <v>34682.79</v>
      </c>
      <c r="AV41" s="64"/>
      <c r="AX41" s="64"/>
      <c r="AY41" s="78" t="s">
        <v>3</v>
      </c>
      <c r="AZ41" s="79" t="s">
        <v>45</v>
      </c>
      <c r="BA41" s="97"/>
      <c r="BB41" s="97">
        <v>12439</v>
      </c>
      <c r="BC41" s="97">
        <v>10648.13</v>
      </c>
      <c r="BD41" s="97">
        <v>41406.54</v>
      </c>
      <c r="BE41" s="97">
        <v>18236.02</v>
      </c>
      <c r="BF41" s="97">
        <v>26805.14</v>
      </c>
      <c r="BG41" s="98">
        <v>27622.71</v>
      </c>
      <c r="BH41" s="64"/>
      <c r="BJ41" s="64"/>
      <c r="BK41" s="78" t="s">
        <v>3</v>
      </c>
      <c r="BL41" s="79" t="s">
        <v>45</v>
      </c>
      <c r="BM41" s="97"/>
      <c r="BN41" s="97">
        <v>46814.66</v>
      </c>
      <c r="BO41" s="97">
        <v>86478.91</v>
      </c>
      <c r="BP41" s="97">
        <v>91935.55</v>
      </c>
      <c r="BQ41" s="97">
        <v>75682.34</v>
      </c>
      <c r="BR41" s="97">
        <v>39434.769999999997</v>
      </c>
      <c r="BS41" s="98">
        <v>19898.87</v>
      </c>
      <c r="BT41" s="64"/>
      <c r="BV41" s="64"/>
      <c r="BW41" s="78" t="s">
        <v>3</v>
      </c>
      <c r="BX41" s="79" t="s">
        <v>45</v>
      </c>
      <c r="BY41" s="93"/>
      <c r="BZ41" s="93">
        <v>7455.17</v>
      </c>
      <c r="CA41" s="93">
        <v>19917.11</v>
      </c>
      <c r="CB41" s="93">
        <v>22530.59</v>
      </c>
      <c r="CC41" s="93">
        <v>13561.25</v>
      </c>
      <c r="CD41" s="93">
        <v>12106.3</v>
      </c>
      <c r="CE41" s="94">
        <v>8684.39</v>
      </c>
      <c r="CF41" s="64"/>
    </row>
    <row r="42" spans="2:84">
      <c r="B42" s="64"/>
      <c r="C42" s="78" t="s">
        <v>4</v>
      </c>
      <c r="D42" s="79" t="s">
        <v>45</v>
      </c>
      <c r="E42" s="93"/>
      <c r="F42" s="93"/>
      <c r="G42" s="93">
        <v>29469.82</v>
      </c>
      <c r="H42" s="93">
        <v>127841.93</v>
      </c>
      <c r="I42" s="93">
        <v>38743.72</v>
      </c>
      <c r="J42" s="93">
        <v>55128.62</v>
      </c>
      <c r="K42" s="94">
        <v>43931.5</v>
      </c>
      <c r="L42" s="64"/>
      <c r="N42" s="64"/>
      <c r="O42" s="78" t="s">
        <v>4</v>
      </c>
      <c r="P42" s="79" t="s">
        <v>45</v>
      </c>
      <c r="Q42" s="93"/>
      <c r="R42" s="93"/>
      <c r="S42" s="93">
        <v>6223.82</v>
      </c>
      <c r="T42" s="93">
        <v>14173.98</v>
      </c>
      <c r="U42" s="93">
        <v>16355.35</v>
      </c>
      <c r="V42" s="93">
        <v>16180.44</v>
      </c>
      <c r="W42" s="94">
        <v>15115.83</v>
      </c>
      <c r="X42" s="90"/>
      <c r="Z42" s="64"/>
      <c r="AA42" s="78" t="s">
        <v>4</v>
      </c>
      <c r="AB42" s="79" t="s">
        <v>45</v>
      </c>
      <c r="AC42" s="93"/>
      <c r="AD42" s="93"/>
      <c r="AE42" s="93">
        <v>52660.99</v>
      </c>
      <c r="AF42" s="93">
        <v>54268.54</v>
      </c>
      <c r="AG42" s="93">
        <v>79901.59</v>
      </c>
      <c r="AH42" s="93">
        <v>62385.51</v>
      </c>
      <c r="AI42" s="94">
        <v>69821.64</v>
      </c>
      <c r="AJ42" s="64"/>
      <c r="AL42" s="64"/>
      <c r="AM42" s="78" t="s">
        <v>4</v>
      </c>
      <c r="AN42" s="100" t="s">
        <v>45</v>
      </c>
      <c r="AO42" s="97"/>
      <c r="AP42" s="97"/>
      <c r="AQ42" s="97">
        <v>26679.33</v>
      </c>
      <c r="AR42" s="97">
        <v>39824.75</v>
      </c>
      <c r="AS42" s="97">
        <v>38918.75</v>
      </c>
      <c r="AT42" s="97">
        <v>27960.29</v>
      </c>
      <c r="AU42" s="98">
        <v>34682.79</v>
      </c>
      <c r="AV42" s="64"/>
      <c r="AX42" s="64"/>
      <c r="AY42" s="78" t="s">
        <v>4</v>
      </c>
      <c r="AZ42" s="79" t="s">
        <v>45</v>
      </c>
      <c r="BA42" s="97"/>
      <c r="BB42" s="97"/>
      <c r="BC42" s="97">
        <v>11762.73</v>
      </c>
      <c r="BD42" s="97">
        <v>41406.54</v>
      </c>
      <c r="BE42" s="97">
        <v>18236.02</v>
      </c>
      <c r="BF42" s="97">
        <v>26805.14</v>
      </c>
      <c r="BG42" s="98">
        <v>27622.71</v>
      </c>
      <c r="BH42" s="64"/>
      <c r="BJ42" s="64"/>
      <c r="BK42" s="78" t="s">
        <v>4</v>
      </c>
      <c r="BL42" s="79" t="s">
        <v>45</v>
      </c>
      <c r="BM42" s="97"/>
      <c r="BN42" s="97"/>
      <c r="BO42" s="97">
        <v>58146.21</v>
      </c>
      <c r="BP42" s="97">
        <v>91935.55</v>
      </c>
      <c r="BQ42" s="97">
        <v>75682.34</v>
      </c>
      <c r="BR42" s="97">
        <v>39434.769999999997</v>
      </c>
      <c r="BS42" s="98">
        <v>19898.87</v>
      </c>
      <c r="BT42" s="64"/>
      <c r="BV42" s="64"/>
      <c r="BW42" s="78" t="s">
        <v>4</v>
      </c>
      <c r="BX42" s="79" t="s">
        <v>45</v>
      </c>
      <c r="BY42" s="93"/>
      <c r="BZ42" s="93"/>
      <c r="CA42" s="93">
        <v>10285.209999999999</v>
      </c>
      <c r="CB42" s="93">
        <v>22530.59</v>
      </c>
      <c r="CC42" s="93">
        <v>13561.25</v>
      </c>
      <c r="CD42" s="93">
        <v>12106.3</v>
      </c>
      <c r="CE42" s="94">
        <v>8684.39</v>
      </c>
      <c r="CF42" s="64"/>
    </row>
    <row r="43" spans="2:84">
      <c r="B43" s="64"/>
      <c r="C43" s="78" t="s">
        <v>5</v>
      </c>
      <c r="D43" s="79" t="s">
        <v>45</v>
      </c>
      <c r="E43" s="93"/>
      <c r="F43" s="93"/>
      <c r="G43" s="93"/>
      <c r="H43" s="93">
        <v>47149.61</v>
      </c>
      <c r="I43" s="93">
        <v>38743.72</v>
      </c>
      <c r="J43" s="93">
        <v>55128.62</v>
      </c>
      <c r="K43" s="94">
        <v>43931.5</v>
      </c>
      <c r="L43" s="64"/>
      <c r="N43" s="64"/>
      <c r="O43" s="78" t="s">
        <v>5</v>
      </c>
      <c r="P43" s="79" t="s">
        <v>45</v>
      </c>
      <c r="Q43" s="93"/>
      <c r="R43" s="93"/>
      <c r="S43" s="93"/>
      <c r="T43" s="93">
        <v>11552.01</v>
      </c>
      <c r="U43" s="93">
        <v>16355.35</v>
      </c>
      <c r="V43" s="93">
        <v>16180.44</v>
      </c>
      <c r="W43" s="94">
        <v>15115.83</v>
      </c>
      <c r="X43" s="90"/>
      <c r="Z43" s="64"/>
      <c r="AA43" s="78" t="s">
        <v>5</v>
      </c>
      <c r="AB43" s="79" t="s">
        <v>45</v>
      </c>
      <c r="AC43" s="93"/>
      <c r="AD43" s="93"/>
      <c r="AE43" s="93"/>
      <c r="AF43" s="93">
        <v>52032.3</v>
      </c>
      <c r="AG43" s="93">
        <v>79901.59</v>
      </c>
      <c r="AH43" s="93">
        <v>62385.51</v>
      </c>
      <c r="AI43" s="94">
        <v>69821.64</v>
      </c>
      <c r="AJ43" s="64"/>
      <c r="AL43" s="64"/>
      <c r="AM43" s="78" t="s">
        <v>5</v>
      </c>
      <c r="AN43" s="100" t="s">
        <v>45</v>
      </c>
      <c r="AO43" s="97"/>
      <c r="AP43" s="97"/>
      <c r="AQ43" s="97"/>
      <c r="AR43" s="97">
        <v>30087.200000000001</v>
      </c>
      <c r="AS43" s="97">
        <v>38918.75</v>
      </c>
      <c r="AT43" s="97">
        <v>27960.29</v>
      </c>
      <c r="AU43" s="98">
        <v>34682.79</v>
      </c>
      <c r="AV43" s="64"/>
      <c r="AX43" s="64"/>
      <c r="AY43" s="78" t="s">
        <v>5</v>
      </c>
      <c r="AZ43" s="79" t="s">
        <v>45</v>
      </c>
      <c r="BA43" s="97"/>
      <c r="BB43" s="97"/>
      <c r="BC43" s="97"/>
      <c r="BD43" s="97">
        <v>17413.830000000002</v>
      </c>
      <c r="BE43" s="97">
        <v>18236.02</v>
      </c>
      <c r="BF43" s="97">
        <v>26805.14</v>
      </c>
      <c r="BG43" s="98">
        <v>27622.71</v>
      </c>
      <c r="BH43" s="64"/>
      <c r="BJ43" s="64"/>
      <c r="BK43" s="78" t="s">
        <v>5</v>
      </c>
      <c r="BL43" s="79" t="s">
        <v>45</v>
      </c>
      <c r="BM43" s="97"/>
      <c r="BN43" s="97"/>
      <c r="BO43" s="97"/>
      <c r="BP43" s="97">
        <v>62611.93</v>
      </c>
      <c r="BQ43" s="97">
        <v>75682.34</v>
      </c>
      <c r="BR43" s="97">
        <v>39434.769999999997</v>
      </c>
      <c r="BS43" s="98">
        <v>19898.87</v>
      </c>
      <c r="BT43" s="64"/>
      <c r="BV43" s="64"/>
      <c r="BW43" s="78" t="s">
        <v>5</v>
      </c>
      <c r="BX43" s="79" t="s">
        <v>45</v>
      </c>
      <c r="BY43" s="93"/>
      <c r="BZ43" s="93"/>
      <c r="CA43" s="93"/>
      <c r="CB43" s="93">
        <v>11613.36</v>
      </c>
      <c r="CC43" s="93">
        <v>13561.25</v>
      </c>
      <c r="CD43" s="93">
        <v>12106.3</v>
      </c>
      <c r="CE43" s="94">
        <v>8684.39</v>
      </c>
      <c r="CF43" s="64"/>
    </row>
    <row r="44" spans="2:84">
      <c r="B44" s="64"/>
      <c r="C44" s="78" t="s">
        <v>6</v>
      </c>
      <c r="D44" s="79" t="s">
        <v>45</v>
      </c>
      <c r="E44" s="93"/>
      <c r="F44" s="93"/>
      <c r="G44" s="93"/>
      <c r="H44" s="93"/>
      <c r="I44" s="93">
        <v>41170.160000000003</v>
      </c>
      <c r="J44" s="93">
        <v>55128.62</v>
      </c>
      <c r="K44" s="94">
        <v>43931.5</v>
      </c>
      <c r="L44" s="64"/>
      <c r="N44" s="64"/>
      <c r="O44" s="78" t="s">
        <v>6</v>
      </c>
      <c r="P44" s="79" t="s">
        <v>45</v>
      </c>
      <c r="Q44" s="93"/>
      <c r="R44" s="93"/>
      <c r="S44" s="93"/>
      <c r="T44" s="93"/>
      <c r="U44" s="93">
        <v>15062.81</v>
      </c>
      <c r="V44" s="93">
        <v>16180.44</v>
      </c>
      <c r="W44" s="94">
        <v>15115.83</v>
      </c>
      <c r="X44" s="90"/>
      <c r="Z44" s="64"/>
      <c r="AA44" s="78" t="s">
        <v>6</v>
      </c>
      <c r="AB44" s="79" t="s">
        <v>45</v>
      </c>
      <c r="AC44" s="93"/>
      <c r="AD44" s="93"/>
      <c r="AE44" s="93"/>
      <c r="AF44" s="93"/>
      <c r="AG44" s="93">
        <v>70421.759999999995</v>
      </c>
      <c r="AH44" s="93">
        <v>62385.51</v>
      </c>
      <c r="AI44" s="94">
        <v>69821.64</v>
      </c>
      <c r="AJ44" s="64"/>
      <c r="AL44" s="64"/>
      <c r="AM44" s="78" t="s">
        <v>6</v>
      </c>
      <c r="AN44" s="100" t="s">
        <v>45</v>
      </c>
      <c r="AO44" s="97"/>
      <c r="AP44" s="97"/>
      <c r="AQ44" s="97"/>
      <c r="AR44" s="97"/>
      <c r="AS44" s="97">
        <v>35788.44</v>
      </c>
      <c r="AT44" s="97">
        <v>27960.29</v>
      </c>
      <c r="AU44" s="98">
        <v>34682.79</v>
      </c>
      <c r="AV44" s="64"/>
      <c r="AX44" s="64"/>
      <c r="AY44" s="78" t="s">
        <v>6</v>
      </c>
      <c r="AZ44" s="79" t="s">
        <v>45</v>
      </c>
      <c r="BA44" s="97"/>
      <c r="BB44" s="97"/>
      <c r="BC44" s="97"/>
      <c r="BD44" s="97"/>
      <c r="BE44" s="97">
        <v>17932.52</v>
      </c>
      <c r="BF44" s="97">
        <v>26805.14</v>
      </c>
      <c r="BG44" s="98">
        <v>27622.71</v>
      </c>
      <c r="BH44" s="64"/>
      <c r="BJ44" s="64"/>
      <c r="BK44" s="78" t="s">
        <v>6</v>
      </c>
      <c r="BL44" s="79" t="s">
        <v>45</v>
      </c>
      <c r="BM44" s="97"/>
      <c r="BN44" s="97"/>
      <c r="BO44" s="97"/>
      <c r="BP44" s="97"/>
      <c r="BQ44" s="97">
        <v>68899.600000000006</v>
      </c>
      <c r="BR44" s="97">
        <v>39434.769999999997</v>
      </c>
      <c r="BS44" s="98">
        <v>19898.87</v>
      </c>
      <c r="BT44" s="64"/>
      <c r="BV44" s="64"/>
      <c r="BW44" s="78" t="s">
        <v>6</v>
      </c>
      <c r="BX44" s="79" t="s">
        <v>45</v>
      </c>
      <c r="BY44" s="93"/>
      <c r="BZ44" s="93"/>
      <c r="CA44" s="93"/>
      <c r="CB44" s="93"/>
      <c r="CC44" s="93">
        <v>12652.02</v>
      </c>
      <c r="CD44" s="93">
        <v>12106.3</v>
      </c>
      <c r="CE44" s="94">
        <v>8684.39</v>
      </c>
      <c r="CF44" s="64"/>
    </row>
    <row r="45" spans="2:84">
      <c r="B45" s="64"/>
      <c r="C45" s="78" t="s">
        <v>7</v>
      </c>
      <c r="D45" s="79" t="s">
        <v>45</v>
      </c>
      <c r="E45" s="93"/>
      <c r="F45" s="93"/>
      <c r="G45" s="93"/>
      <c r="H45" s="93"/>
      <c r="I45" s="93"/>
      <c r="J45" s="93">
        <v>42418.43</v>
      </c>
      <c r="K45" s="94">
        <v>43931.5</v>
      </c>
      <c r="L45" s="64"/>
      <c r="N45" s="64"/>
      <c r="O45" s="78" t="s">
        <v>7</v>
      </c>
      <c r="P45" s="79" t="s">
        <v>45</v>
      </c>
      <c r="Q45" s="93"/>
      <c r="R45" s="93"/>
      <c r="S45" s="93"/>
      <c r="T45" s="93"/>
      <c r="U45" s="93"/>
      <c r="V45" s="93">
        <v>15712.35</v>
      </c>
      <c r="W45" s="94">
        <v>15115.83</v>
      </c>
      <c r="X45" s="90"/>
      <c r="Z45" s="64"/>
      <c r="AA45" s="78" t="s">
        <v>7</v>
      </c>
      <c r="AB45" s="79" t="s">
        <v>45</v>
      </c>
      <c r="AC45" s="93"/>
      <c r="AD45" s="93"/>
      <c r="AE45" s="93"/>
      <c r="AF45" s="93"/>
      <c r="AG45" s="93"/>
      <c r="AH45" s="93">
        <v>65998.78</v>
      </c>
      <c r="AI45" s="94">
        <v>69821.64</v>
      </c>
      <c r="AJ45" s="64"/>
      <c r="AL45" s="64"/>
      <c r="AM45" s="78" t="s">
        <v>7</v>
      </c>
      <c r="AN45" s="100" t="s">
        <v>45</v>
      </c>
      <c r="AO45" s="97"/>
      <c r="AP45" s="97"/>
      <c r="AQ45" s="97"/>
      <c r="AR45" s="97"/>
      <c r="AS45" s="97"/>
      <c r="AT45" s="97">
        <v>30886.45</v>
      </c>
      <c r="AU45" s="98">
        <v>34682.79</v>
      </c>
      <c r="AV45" s="64"/>
      <c r="AX45" s="64"/>
      <c r="AY45" s="78" t="s">
        <v>7</v>
      </c>
      <c r="AZ45" s="79" t="s">
        <v>45</v>
      </c>
      <c r="BA45" s="97"/>
      <c r="BB45" s="97"/>
      <c r="BC45" s="97"/>
      <c r="BD45" s="97"/>
      <c r="BE45" s="97"/>
      <c r="BF45" s="97">
        <v>19867.740000000002</v>
      </c>
      <c r="BG45" s="98">
        <v>27622.71</v>
      </c>
      <c r="BH45" s="64"/>
      <c r="BJ45" s="64"/>
      <c r="BK45" s="78" t="s">
        <v>7</v>
      </c>
      <c r="BL45" s="79" t="s">
        <v>45</v>
      </c>
      <c r="BM45" s="97"/>
      <c r="BN45" s="97"/>
      <c r="BO45" s="97"/>
      <c r="BP45" s="97"/>
      <c r="BQ45" s="97"/>
      <c r="BR45" s="97">
        <v>56293</v>
      </c>
      <c r="BS45" s="98">
        <v>19898.87</v>
      </c>
      <c r="BT45" s="64"/>
      <c r="BV45" s="64"/>
      <c r="BW45" s="78" t="s">
        <v>7</v>
      </c>
      <c r="BX45" s="79" t="s">
        <v>45</v>
      </c>
      <c r="BY45" s="93"/>
      <c r="BZ45" s="93"/>
      <c r="CA45" s="93"/>
      <c r="CB45" s="93"/>
      <c r="CC45" s="93"/>
      <c r="CD45" s="93">
        <v>12002.56</v>
      </c>
      <c r="CE45" s="94">
        <v>8684.39</v>
      </c>
      <c r="CF45" s="64"/>
    </row>
    <row r="46" spans="2:84">
      <c r="B46" s="64"/>
      <c r="C46" s="78" t="s">
        <v>8</v>
      </c>
      <c r="D46" s="79" t="s">
        <v>45</v>
      </c>
      <c r="E46" s="93"/>
      <c r="F46" s="93"/>
      <c r="G46" s="93"/>
      <c r="H46" s="93"/>
      <c r="I46" s="93"/>
      <c r="J46" s="93"/>
      <c r="K46" s="94">
        <v>41117.81</v>
      </c>
      <c r="L46" s="64"/>
      <c r="N46" s="64"/>
      <c r="O46" s="78" t="s">
        <v>8</v>
      </c>
      <c r="P46" s="79" t="s">
        <v>45</v>
      </c>
      <c r="Q46" s="93"/>
      <c r="R46" s="93"/>
      <c r="S46" s="93"/>
      <c r="T46" s="93"/>
      <c r="U46" s="93"/>
      <c r="V46" s="93"/>
      <c r="W46" s="94">
        <v>15132.28</v>
      </c>
      <c r="X46" s="90"/>
      <c r="Z46" s="64"/>
      <c r="AA46" s="78" t="s">
        <v>8</v>
      </c>
      <c r="AB46" s="79" t="s">
        <v>45</v>
      </c>
      <c r="AC46" s="93"/>
      <c r="AD46" s="93"/>
      <c r="AE46" s="93"/>
      <c r="AF46" s="93"/>
      <c r="AG46" s="93"/>
      <c r="AH46" s="93"/>
      <c r="AI46" s="94">
        <v>65950.37</v>
      </c>
      <c r="AJ46" s="64"/>
      <c r="AL46" s="64"/>
      <c r="AM46" s="78" t="s">
        <v>8</v>
      </c>
      <c r="AN46" s="100" t="s">
        <v>45</v>
      </c>
      <c r="AO46" s="97"/>
      <c r="AP46" s="97"/>
      <c r="AQ46" s="97"/>
      <c r="AR46" s="97"/>
      <c r="AS46" s="97"/>
      <c r="AT46" s="97"/>
      <c r="AU46" s="98">
        <v>31970.83</v>
      </c>
      <c r="AV46" s="64"/>
      <c r="AX46" s="64"/>
      <c r="AY46" s="78" t="s">
        <v>8</v>
      </c>
      <c r="AZ46" s="79" t="s">
        <v>45</v>
      </c>
      <c r="BA46" s="97"/>
      <c r="BB46" s="97"/>
      <c r="BC46" s="97"/>
      <c r="BD46" s="97"/>
      <c r="BE46" s="97"/>
      <c r="BF46" s="97"/>
      <c r="BG46" s="98">
        <v>22471.09</v>
      </c>
      <c r="BH46" s="64"/>
      <c r="BJ46" s="64"/>
      <c r="BK46" s="78" t="s">
        <v>8</v>
      </c>
      <c r="BL46" s="79" t="s">
        <v>45</v>
      </c>
      <c r="BM46" s="97"/>
      <c r="BN46" s="97"/>
      <c r="BO46" s="97"/>
      <c r="BP46" s="97"/>
      <c r="BQ46" s="97"/>
      <c r="BR46" s="97"/>
      <c r="BS46" s="98">
        <v>44145.58</v>
      </c>
      <c r="BT46" s="64"/>
      <c r="BV46" s="64"/>
      <c r="BW46" s="78" t="s">
        <v>8</v>
      </c>
      <c r="BX46" s="79" t="s">
        <v>45</v>
      </c>
      <c r="BY46" s="93"/>
      <c r="BZ46" s="93"/>
      <c r="CA46" s="93"/>
      <c r="CB46" s="93"/>
      <c r="CC46" s="93"/>
      <c r="CD46" s="93"/>
      <c r="CE46" s="94">
        <v>10037.19</v>
      </c>
      <c r="CF46" s="64"/>
    </row>
    <row r="47" spans="2:84">
      <c r="B47" s="64"/>
      <c r="C47" s="69" t="s">
        <v>46</v>
      </c>
      <c r="D47" s="70" t="s">
        <v>35</v>
      </c>
      <c r="E47" s="103">
        <v>4.0300000000000002E-2</v>
      </c>
      <c r="F47" s="103">
        <v>6.4699999999999994E-2</v>
      </c>
      <c r="G47" s="103">
        <v>2.9899999999999999E-2</v>
      </c>
      <c r="H47" s="103">
        <v>3.09E-2</v>
      </c>
      <c r="I47" s="103">
        <v>0.32500000000000001</v>
      </c>
      <c r="J47" s="103">
        <v>0.18010000000000001</v>
      </c>
      <c r="K47" s="104">
        <f>1-SUM(E47:J47)</f>
        <v>0.32909999999999995</v>
      </c>
      <c r="L47" s="64"/>
      <c r="N47" s="64"/>
      <c r="O47" s="69" t="s">
        <v>46</v>
      </c>
      <c r="P47" s="70" t="s">
        <v>35</v>
      </c>
      <c r="Q47" s="103">
        <v>1.8E-3</v>
      </c>
      <c r="R47" s="103">
        <v>9.1999999999999998E-3</v>
      </c>
      <c r="S47" s="103">
        <v>1.5E-3</v>
      </c>
      <c r="T47" s="103">
        <v>2.63E-2</v>
      </c>
      <c r="U47" s="103">
        <v>0.10780000000000001</v>
      </c>
      <c r="V47" s="103">
        <v>0.53269999999999995</v>
      </c>
      <c r="W47" s="104">
        <f>1-SUM(Q47:V47)</f>
        <v>0.32069999999999999</v>
      </c>
      <c r="X47" s="90"/>
      <c r="Z47" s="64"/>
      <c r="AA47" s="69" t="s">
        <v>46</v>
      </c>
      <c r="AB47" s="70" t="s">
        <v>35</v>
      </c>
      <c r="AC47" s="103">
        <v>5.3100000000000001E-2</v>
      </c>
      <c r="AD47" s="103">
        <v>3.2500000000000001E-2</v>
      </c>
      <c r="AE47" s="103">
        <v>4.3099999999999999E-2</v>
      </c>
      <c r="AF47" s="103">
        <v>3.5099999999999999E-2</v>
      </c>
      <c r="AG47" s="103">
        <v>0.33339999999999997</v>
      </c>
      <c r="AH47" s="103">
        <v>0.2034</v>
      </c>
      <c r="AI47" s="104">
        <f>1-SUM(AC47:AH47)</f>
        <v>0.2994</v>
      </c>
      <c r="AJ47" s="64"/>
      <c r="AL47" s="64"/>
      <c r="AM47" s="69" t="s">
        <v>46</v>
      </c>
      <c r="AN47" s="70" t="s">
        <v>35</v>
      </c>
      <c r="AO47" s="103">
        <v>3.5400000000000001E-2</v>
      </c>
      <c r="AP47" s="103">
        <v>3.1800000000000002E-2</v>
      </c>
      <c r="AQ47" s="103">
        <v>9.5999999999999992E-3</v>
      </c>
      <c r="AR47" s="103">
        <v>0.03</v>
      </c>
      <c r="AS47" s="103">
        <v>0.21410000000000001</v>
      </c>
      <c r="AT47" s="103">
        <v>0.2772</v>
      </c>
      <c r="AU47" s="104">
        <f>1-SUM(AO47:AT47)</f>
        <v>0.40189999999999992</v>
      </c>
      <c r="AV47" s="64"/>
      <c r="AX47" s="64"/>
      <c r="AY47" s="69" t="s">
        <v>46</v>
      </c>
      <c r="AZ47" s="70" t="s">
        <v>35</v>
      </c>
      <c r="BA47" s="103">
        <v>4.58E-2</v>
      </c>
      <c r="BB47" s="103">
        <v>3.8899999999999997E-2</v>
      </c>
      <c r="BC47" s="103">
        <v>1.4200000000000001E-2</v>
      </c>
      <c r="BD47" s="103">
        <v>2.47E-2</v>
      </c>
      <c r="BE47" s="103">
        <v>0.31080000000000002</v>
      </c>
      <c r="BF47" s="103">
        <v>0.17749999999999999</v>
      </c>
      <c r="BG47" s="104">
        <f>1-SUM(BA47:BF47)</f>
        <v>0.3881</v>
      </c>
      <c r="BH47" s="64"/>
      <c r="BJ47" s="64"/>
      <c r="BK47" s="69" t="s">
        <v>46</v>
      </c>
      <c r="BL47" s="70" t="s">
        <v>35</v>
      </c>
      <c r="BM47" s="103">
        <v>5.62E-2</v>
      </c>
      <c r="BN47" s="103">
        <v>6.93E-2</v>
      </c>
      <c r="BO47" s="103">
        <v>6.0499999999999998E-2</v>
      </c>
      <c r="BP47" s="103">
        <v>3.9899999999999998E-2</v>
      </c>
      <c r="BQ47" s="103">
        <v>0.2571</v>
      </c>
      <c r="BR47" s="103">
        <v>0.25040000000000001</v>
      </c>
      <c r="BS47" s="104">
        <f>1-SUM(BM47:BR47)</f>
        <v>0.26659999999999995</v>
      </c>
      <c r="BT47" s="64"/>
      <c r="BV47" s="64"/>
      <c r="BW47" s="69" t="s">
        <v>46</v>
      </c>
      <c r="BX47" s="70" t="s">
        <v>35</v>
      </c>
      <c r="BY47" s="103">
        <v>1.5299999999999999E-2</v>
      </c>
      <c r="BZ47" s="103">
        <v>9.6600000000000005E-2</v>
      </c>
      <c r="CA47" s="103">
        <v>3.5000000000000003E-2</v>
      </c>
      <c r="CB47" s="103">
        <v>2.12E-2</v>
      </c>
      <c r="CC47" s="103">
        <v>0.23749999999999999</v>
      </c>
      <c r="CD47" s="103">
        <v>0.1439</v>
      </c>
      <c r="CE47" s="104">
        <f>1-SUM(BY47:CD47)</f>
        <v>0.45050000000000001</v>
      </c>
      <c r="CF47" s="64"/>
    </row>
    <row r="48" spans="2:84">
      <c r="B48" s="64"/>
      <c r="C48" s="64"/>
      <c r="D48" s="64"/>
      <c r="E48" s="64"/>
      <c r="F48" s="64"/>
      <c r="G48" s="64"/>
      <c r="H48" s="64"/>
      <c r="I48" s="64"/>
      <c r="J48" s="64"/>
      <c r="K48" s="64"/>
      <c r="L48" s="64"/>
      <c r="N48" s="64"/>
      <c r="O48" s="64"/>
      <c r="P48" s="64"/>
      <c r="Q48" s="64"/>
      <c r="R48" s="64"/>
      <c r="S48" s="64"/>
      <c r="T48" s="64"/>
      <c r="U48" s="64"/>
      <c r="V48" s="64"/>
      <c r="W48" s="64"/>
      <c r="X48" s="64"/>
      <c r="Z48" s="64"/>
      <c r="AA48" s="64"/>
      <c r="AB48" s="64"/>
      <c r="AC48" s="64"/>
      <c r="AD48" s="64"/>
      <c r="AE48" s="64"/>
      <c r="AF48" s="64"/>
      <c r="AG48" s="64"/>
      <c r="AH48" s="64"/>
      <c r="AI48" s="64"/>
      <c r="AJ48" s="64"/>
      <c r="AL48" s="64"/>
      <c r="AM48" s="64"/>
      <c r="AN48" s="64"/>
      <c r="AO48" s="64"/>
      <c r="AP48" s="64"/>
      <c r="AQ48" s="64"/>
      <c r="AR48" s="64"/>
      <c r="AS48" s="64"/>
      <c r="AT48" s="64"/>
      <c r="AU48" s="64"/>
      <c r="AV48" s="64"/>
      <c r="AX48" s="64"/>
      <c r="AY48" s="64"/>
      <c r="AZ48" s="64"/>
      <c r="BA48" s="64"/>
      <c r="BB48" s="64"/>
      <c r="BC48" s="64"/>
      <c r="BD48" s="64"/>
      <c r="BE48" s="64"/>
      <c r="BF48" s="64"/>
      <c r="BG48" s="64"/>
      <c r="BH48" s="64"/>
      <c r="BJ48" s="64"/>
      <c r="BK48" s="64"/>
      <c r="BL48" s="64"/>
      <c r="BM48" s="64"/>
      <c r="BN48" s="64"/>
      <c r="BO48" s="64"/>
      <c r="BP48" s="64"/>
      <c r="BQ48" s="64"/>
      <c r="BR48" s="64"/>
      <c r="BS48" s="64"/>
      <c r="BT48" s="64"/>
      <c r="BV48" s="64"/>
      <c r="BW48" s="64"/>
      <c r="BX48" s="64"/>
      <c r="BY48" s="64"/>
      <c r="BZ48" s="64"/>
      <c r="CA48" s="64"/>
      <c r="CB48" s="64"/>
      <c r="CC48" s="64"/>
      <c r="CD48" s="64"/>
      <c r="CE48" s="64"/>
      <c r="CF48" s="64"/>
    </row>
    <row r="51" spans="3:23">
      <c r="C51" s="52" t="s">
        <v>85</v>
      </c>
      <c r="D51" s="71"/>
      <c r="E51" s="71"/>
      <c r="F51" s="71"/>
      <c r="G51" s="71"/>
      <c r="H51" s="71"/>
      <c r="I51" s="71"/>
      <c r="J51" s="71"/>
      <c r="K51" s="71"/>
      <c r="L51" s="71"/>
      <c r="M51" s="53"/>
      <c r="N51" s="71"/>
      <c r="O51" s="71"/>
      <c r="P51" s="71"/>
      <c r="Q51" s="71"/>
      <c r="R51" s="71"/>
      <c r="S51" s="71"/>
      <c r="T51" s="71"/>
      <c r="U51" s="71"/>
      <c r="V51" s="71"/>
      <c r="W51" s="71"/>
    </row>
    <row r="52" spans="3:23" ht="11.25" customHeight="1">
      <c r="C52" s="259" t="s">
        <v>150</v>
      </c>
      <c r="D52" s="259"/>
      <c r="E52" s="259"/>
      <c r="F52" s="259"/>
      <c r="G52" s="259"/>
      <c r="H52" s="259"/>
      <c r="I52" s="259"/>
      <c r="J52" s="259"/>
      <c r="K52" s="259"/>
      <c r="L52" s="259"/>
      <c r="M52" s="259"/>
      <c r="N52" s="259"/>
      <c r="O52" s="259"/>
      <c r="P52" s="259"/>
      <c r="Q52" s="259"/>
      <c r="R52" s="259"/>
      <c r="S52" s="259"/>
      <c r="T52" s="259"/>
      <c r="U52" s="259"/>
      <c r="V52" s="259"/>
      <c r="W52" s="259"/>
    </row>
    <row r="53" spans="3:23">
      <c r="C53" s="259"/>
      <c r="D53" s="259"/>
      <c r="E53" s="259"/>
      <c r="F53" s="259"/>
      <c r="G53" s="259"/>
      <c r="H53" s="259"/>
      <c r="I53" s="259"/>
      <c r="J53" s="259"/>
      <c r="K53" s="259"/>
      <c r="L53" s="259"/>
      <c r="M53" s="259"/>
      <c r="N53" s="259"/>
      <c r="O53" s="259"/>
      <c r="P53" s="259"/>
      <c r="Q53" s="259"/>
      <c r="R53" s="259"/>
      <c r="S53" s="259"/>
      <c r="T53" s="259"/>
      <c r="U53" s="259"/>
      <c r="V53" s="259"/>
      <c r="W53" s="259"/>
    </row>
    <row r="54" spans="3:23">
      <c r="C54" s="259"/>
      <c r="D54" s="259"/>
      <c r="E54" s="259"/>
      <c r="F54" s="259"/>
      <c r="G54" s="259"/>
      <c r="H54" s="259"/>
      <c r="I54" s="259"/>
      <c r="J54" s="259"/>
      <c r="K54" s="259"/>
      <c r="L54" s="259"/>
      <c r="M54" s="259"/>
      <c r="N54" s="259"/>
      <c r="O54" s="259"/>
      <c r="P54" s="259"/>
      <c r="Q54" s="259"/>
      <c r="R54" s="259"/>
      <c r="S54" s="259"/>
      <c r="T54" s="259"/>
      <c r="U54" s="259"/>
      <c r="V54" s="259"/>
      <c r="W54" s="259"/>
    </row>
    <row r="55" spans="3:23">
      <c r="C55" s="259"/>
      <c r="D55" s="259"/>
      <c r="E55" s="259"/>
      <c r="F55" s="259"/>
      <c r="G55" s="259"/>
      <c r="H55" s="259"/>
      <c r="I55" s="259"/>
      <c r="J55" s="259"/>
      <c r="K55" s="259"/>
      <c r="L55" s="259"/>
      <c r="M55" s="259"/>
      <c r="N55" s="259"/>
      <c r="O55" s="259"/>
      <c r="P55" s="259"/>
      <c r="Q55" s="259"/>
      <c r="R55" s="259"/>
      <c r="S55" s="259"/>
      <c r="T55" s="259"/>
      <c r="U55" s="259"/>
      <c r="V55" s="259"/>
      <c r="W55" s="259"/>
    </row>
    <row r="56" spans="3:23">
      <c r="C56" s="259"/>
      <c r="D56" s="259"/>
      <c r="E56" s="259"/>
      <c r="F56" s="259"/>
      <c r="G56" s="259"/>
      <c r="H56" s="259"/>
      <c r="I56" s="259"/>
      <c r="J56" s="259"/>
      <c r="K56" s="259"/>
      <c r="L56" s="259"/>
      <c r="M56" s="259"/>
      <c r="N56" s="259"/>
      <c r="O56" s="259"/>
      <c r="P56" s="259"/>
      <c r="Q56" s="259"/>
      <c r="R56" s="259"/>
      <c r="S56" s="259"/>
      <c r="T56" s="259"/>
      <c r="U56" s="259"/>
      <c r="V56" s="259"/>
      <c r="W56" s="259"/>
    </row>
    <row r="57" spans="3:23">
      <c r="C57" s="259"/>
      <c r="D57" s="259"/>
      <c r="E57" s="259"/>
      <c r="F57" s="259"/>
      <c r="G57" s="259"/>
      <c r="H57" s="259"/>
      <c r="I57" s="259"/>
      <c r="J57" s="259"/>
      <c r="K57" s="259"/>
      <c r="L57" s="259"/>
      <c r="M57" s="259"/>
      <c r="N57" s="259"/>
      <c r="O57" s="259"/>
      <c r="P57" s="259"/>
      <c r="Q57" s="259"/>
      <c r="R57" s="259"/>
      <c r="S57" s="259"/>
      <c r="T57" s="259"/>
      <c r="U57" s="259"/>
      <c r="V57" s="259"/>
      <c r="W57" s="259"/>
    </row>
    <row r="58" spans="3:23">
      <c r="C58" s="259"/>
      <c r="D58" s="259"/>
      <c r="E58" s="259"/>
      <c r="F58" s="259"/>
      <c r="G58" s="259"/>
      <c r="H58" s="259"/>
      <c r="I58" s="259"/>
      <c r="J58" s="259"/>
      <c r="K58" s="259"/>
      <c r="L58" s="259"/>
      <c r="M58" s="259"/>
      <c r="N58" s="259"/>
      <c r="O58" s="259"/>
      <c r="P58" s="259"/>
      <c r="Q58" s="259"/>
      <c r="R58" s="259"/>
      <c r="S58" s="259"/>
      <c r="T58" s="259"/>
      <c r="U58" s="259"/>
      <c r="V58" s="259"/>
      <c r="W58" s="259"/>
    </row>
    <row r="59" spans="3:23">
      <c r="C59" s="259"/>
      <c r="D59" s="259"/>
      <c r="E59" s="259"/>
      <c r="F59" s="259"/>
      <c r="G59" s="259"/>
      <c r="H59" s="259"/>
      <c r="I59" s="259"/>
      <c r="J59" s="259"/>
      <c r="K59" s="259"/>
      <c r="L59" s="259"/>
      <c r="M59" s="259"/>
      <c r="N59" s="259"/>
      <c r="O59" s="259"/>
      <c r="P59" s="259"/>
      <c r="Q59" s="259"/>
      <c r="R59" s="259"/>
      <c r="S59" s="259"/>
      <c r="T59" s="259"/>
      <c r="U59" s="259"/>
      <c r="V59" s="259"/>
      <c r="W59" s="259"/>
    </row>
    <row r="60" spans="3:23">
      <c r="C60" s="259"/>
      <c r="D60" s="259"/>
      <c r="E60" s="259"/>
      <c r="F60" s="259"/>
      <c r="G60" s="259"/>
      <c r="H60" s="259"/>
      <c r="I60" s="259"/>
      <c r="J60" s="259"/>
      <c r="K60" s="259"/>
      <c r="L60" s="259"/>
      <c r="M60" s="259"/>
      <c r="N60" s="259"/>
      <c r="O60" s="259"/>
      <c r="P60" s="259"/>
      <c r="Q60" s="259"/>
      <c r="R60" s="259"/>
      <c r="S60" s="259"/>
      <c r="T60" s="259"/>
      <c r="U60" s="259"/>
      <c r="V60" s="259"/>
      <c r="W60" s="259"/>
    </row>
    <row r="61" spans="3:23">
      <c r="C61" s="259"/>
      <c r="D61" s="259"/>
      <c r="E61" s="259"/>
      <c r="F61" s="259"/>
      <c r="G61" s="259"/>
      <c r="H61" s="259"/>
      <c r="I61" s="259"/>
      <c r="J61" s="259"/>
      <c r="K61" s="259"/>
      <c r="L61" s="259"/>
      <c r="M61" s="259"/>
      <c r="N61" s="259"/>
      <c r="O61" s="259"/>
      <c r="P61" s="259"/>
      <c r="Q61" s="259"/>
      <c r="R61" s="259"/>
      <c r="S61" s="259"/>
      <c r="T61" s="259"/>
      <c r="U61" s="259"/>
      <c r="V61" s="259"/>
      <c r="W61" s="259"/>
    </row>
    <row r="62" spans="3:23">
      <c r="C62" s="259"/>
      <c r="D62" s="259"/>
      <c r="E62" s="259"/>
      <c r="F62" s="259"/>
      <c r="G62" s="259"/>
      <c r="H62" s="259"/>
      <c r="I62" s="259"/>
      <c r="J62" s="259"/>
      <c r="K62" s="259"/>
      <c r="L62" s="259"/>
      <c r="M62" s="259"/>
      <c r="N62" s="259"/>
      <c r="O62" s="259"/>
      <c r="P62" s="259"/>
      <c r="Q62" s="259"/>
      <c r="R62" s="259"/>
      <c r="S62" s="259"/>
      <c r="T62" s="259"/>
      <c r="U62" s="259"/>
      <c r="V62" s="259"/>
      <c r="W62" s="259"/>
    </row>
    <row r="63" spans="3:23">
      <c r="C63" s="259"/>
      <c r="D63" s="259"/>
      <c r="E63" s="259"/>
      <c r="F63" s="259"/>
      <c r="G63" s="259"/>
      <c r="H63" s="259"/>
      <c r="I63" s="259"/>
      <c r="J63" s="259"/>
      <c r="K63" s="259"/>
      <c r="L63" s="259"/>
      <c r="M63" s="259"/>
      <c r="N63" s="259"/>
      <c r="O63" s="259"/>
      <c r="P63" s="259"/>
      <c r="Q63" s="259"/>
      <c r="R63" s="259"/>
      <c r="S63" s="259"/>
      <c r="T63" s="259"/>
      <c r="U63" s="259"/>
      <c r="V63" s="259"/>
      <c r="W63" s="259"/>
    </row>
    <row r="64" spans="3:23">
      <c r="C64" s="259"/>
      <c r="D64" s="259"/>
      <c r="E64" s="259"/>
      <c r="F64" s="259"/>
      <c r="G64" s="259"/>
      <c r="H64" s="259"/>
      <c r="I64" s="259"/>
      <c r="J64" s="259"/>
      <c r="K64" s="259"/>
      <c r="L64" s="259"/>
      <c r="M64" s="259"/>
      <c r="N64" s="259"/>
      <c r="O64" s="259"/>
      <c r="P64" s="259"/>
      <c r="Q64" s="259"/>
      <c r="R64" s="259"/>
      <c r="S64" s="259"/>
      <c r="T64" s="259"/>
      <c r="U64" s="259"/>
      <c r="V64" s="259"/>
      <c r="W64" s="259"/>
    </row>
    <row r="65" spans="3:23">
      <c r="C65" s="259"/>
      <c r="D65" s="259"/>
      <c r="E65" s="259"/>
      <c r="F65" s="259"/>
      <c r="G65" s="259"/>
      <c r="H65" s="259"/>
      <c r="I65" s="259"/>
      <c r="J65" s="259"/>
      <c r="K65" s="259"/>
      <c r="L65" s="259"/>
      <c r="M65" s="259"/>
      <c r="N65" s="259"/>
      <c r="O65" s="259"/>
      <c r="P65" s="259"/>
      <c r="Q65" s="259"/>
      <c r="R65" s="259"/>
      <c r="S65" s="259"/>
      <c r="T65" s="259"/>
      <c r="U65" s="259"/>
      <c r="V65" s="259"/>
      <c r="W65" s="259"/>
    </row>
    <row r="66" spans="3:23">
      <c r="C66" s="259"/>
      <c r="D66" s="259"/>
      <c r="E66" s="259"/>
      <c r="F66" s="259"/>
      <c r="G66" s="259"/>
      <c r="H66" s="259"/>
      <c r="I66" s="259"/>
      <c r="J66" s="259"/>
      <c r="K66" s="259"/>
      <c r="L66" s="259"/>
      <c r="M66" s="259"/>
      <c r="N66" s="259"/>
      <c r="O66" s="259"/>
      <c r="P66" s="259"/>
      <c r="Q66" s="259"/>
      <c r="R66" s="259"/>
      <c r="S66" s="259"/>
      <c r="T66" s="259"/>
      <c r="U66" s="259"/>
      <c r="V66" s="259"/>
      <c r="W66" s="259"/>
    </row>
    <row r="67" spans="3:23">
      <c r="C67" s="259"/>
      <c r="D67" s="259"/>
      <c r="E67" s="259"/>
      <c r="F67" s="259"/>
      <c r="G67" s="259"/>
      <c r="H67" s="259"/>
      <c r="I67" s="259"/>
      <c r="J67" s="259"/>
      <c r="K67" s="259"/>
      <c r="L67" s="259"/>
      <c r="M67" s="259"/>
      <c r="N67" s="259"/>
      <c r="O67" s="259"/>
      <c r="P67" s="259"/>
      <c r="Q67" s="259"/>
      <c r="R67" s="259"/>
      <c r="S67" s="259"/>
      <c r="T67" s="259"/>
      <c r="U67" s="259"/>
      <c r="V67" s="259"/>
      <c r="W67" s="259"/>
    </row>
    <row r="68" spans="3:23">
      <c r="C68" s="259"/>
      <c r="D68" s="259"/>
      <c r="E68" s="259"/>
      <c r="F68" s="259"/>
      <c r="G68" s="259"/>
      <c r="H68" s="259"/>
      <c r="I68" s="259"/>
      <c r="J68" s="259"/>
      <c r="K68" s="259"/>
      <c r="L68" s="259"/>
      <c r="M68" s="259"/>
      <c r="N68" s="259"/>
      <c r="O68" s="259"/>
      <c r="P68" s="259"/>
      <c r="Q68" s="259"/>
      <c r="R68" s="259"/>
      <c r="S68" s="259"/>
      <c r="T68" s="259"/>
      <c r="U68" s="259"/>
      <c r="V68" s="259"/>
      <c r="W68" s="259"/>
    </row>
    <row r="69" spans="3:23">
      <c r="C69" s="259"/>
      <c r="D69" s="259"/>
      <c r="E69" s="259"/>
      <c r="F69" s="259"/>
      <c r="G69" s="259"/>
      <c r="H69" s="259"/>
      <c r="I69" s="259"/>
      <c r="J69" s="259"/>
      <c r="K69" s="259"/>
      <c r="L69" s="259"/>
      <c r="M69" s="259"/>
      <c r="N69" s="259"/>
      <c r="O69" s="259"/>
      <c r="P69" s="259"/>
      <c r="Q69" s="259"/>
      <c r="R69" s="259"/>
      <c r="S69" s="259"/>
      <c r="T69" s="259"/>
      <c r="U69" s="259"/>
      <c r="V69" s="259"/>
      <c r="W69" s="259"/>
    </row>
    <row r="70" spans="3:23">
      <c r="C70" s="259"/>
      <c r="D70" s="259"/>
      <c r="E70" s="259"/>
      <c r="F70" s="259"/>
      <c r="G70" s="259"/>
      <c r="H70" s="259"/>
      <c r="I70" s="259"/>
      <c r="J70" s="259"/>
      <c r="K70" s="259"/>
      <c r="L70" s="259"/>
      <c r="M70" s="259"/>
      <c r="N70" s="259"/>
      <c r="O70" s="259"/>
      <c r="P70" s="259"/>
      <c r="Q70" s="259"/>
      <c r="R70" s="259"/>
      <c r="S70" s="259"/>
      <c r="T70" s="259"/>
      <c r="U70" s="259"/>
      <c r="V70" s="259"/>
      <c r="W70" s="259"/>
    </row>
    <row r="71" spans="3:23">
      <c r="C71" s="259"/>
      <c r="D71" s="259"/>
      <c r="E71" s="259"/>
      <c r="F71" s="259"/>
      <c r="G71" s="259"/>
      <c r="H71" s="259"/>
      <c r="I71" s="259"/>
      <c r="J71" s="259"/>
      <c r="K71" s="259"/>
      <c r="L71" s="259"/>
      <c r="M71" s="259"/>
      <c r="N71" s="259"/>
      <c r="O71" s="259"/>
      <c r="P71" s="259"/>
      <c r="Q71" s="259"/>
      <c r="R71" s="259"/>
      <c r="S71" s="259"/>
      <c r="T71" s="259"/>
      <c r="U71" s="259"/>
      <c r="V71" s="259"/>
      <c r="W71" s="259"/>
    </row>
    <row r="72" spans="3:23">
      <c r="C72" s="259"/>
      <c r="D72" s="259"/>
      <c r="E72" s="259"/>
      <c r="F72" s="259"/>
      <c r="G72" s="259"/>
      <c r="H72" s="259"/>
      <c r="I72" s="259"/>
      <c r="J72" s="259"/>
      <c r="K72" s="259"/>
      <c r="L72" s="259"/>
      <c r="M72" s="259"/>
      <c r="N72" s="259"/>
      <c r="O72" s="259"/>
      <c r="P72" s="259"/>
      <c r="Q72" s="259"/>
      <c r="R72" s="259"/>
      <c r="S72" s="259"/>
      <c r="T72" s="259"/>
      <c r="U72" s="259"/>
      <c r="V72" s="259"/>
      <c r="W72" s="259"/>
    </row>
    <row r="73" spans="3:23" ht="12" customHeight="1">
      <c r="C73" s="259"/>
      <c r="D73" s="259"/>
      <c r="E73" s="259"/>
      <c r="F73" s="259"/>
      <c r="G73" s="259"/>
      <c r="H73" s="259"/>
      <c r="I73" s="259"/>
      <c r="J73" s="259"/>
      <c r="K73" s="259"/>
      <c r="L73" s="259"/>
      <c r="M73" s="259"/>
      <c r="N73" s="259"/>
      <c r="O73" s="259"/>
      <c r="P73" s="259"/>
      <c r="Q73" s="259"/>
      <c r="R73" s="259"/>
      <c r="S73" s="259"/>
      <c r="T73" s="259"/>
      <c r="U73" s="259"/>
      <c r="V73" s="259"/>
      <c r="W73" s="259"/>
    </row>
    <row r="74" spans="3:23">
      <c r="C74" s="156">
        <f>SUMPRODUCT(E40:K40,bcAxH)</f>
        <v>45097.642938000005</v>
      </c>
      <c r="D74" s="85" t="s">
        <v>106</v>
      </c>
      <c r="E74" s="85"/>
      <c r="F74" s="85"/>
      <c r="G74" s="85"/>
      <c r="H74" s="85"/>
      <c r="I74" s="85"/>
      <c r="J74" s="85"/>
      <c r="K74" s="85"/>
      <c r="L74" s="85"/>
      <c r="M74" s="85"/>
      <c r="N74" s="85"/>
      <c r="O74" s="85"/>
      <c r="P74" s="85"/>
      <c r="Q74" s="85"/>
      <c r="R74" s="85"/>
      <c r="S74" s="85"/>
      <c r="T74" s="85"/>
      <c r="U74" s="85"/>
      <c r="V74" s="85"/>
      <c r="W74" s="85"/>
    </row>
    <row r="75" spans="3:23">
      <c r="C75" s="155"/>
      <c r="D75" s="155"/>
      <c r="E75" s="85"/>
      <c r="F75" s="85"/>
      <c r="G75" s="85"/>
      <c r="H75" s="85"/>
      <c r="I75" s="85"/>
      <c r="J75" s="85"/>
      <c r="K75" s="85"/>
      <c r="L75" s="85"/>
      <c r="M75" s="85"/>
      <c r="N75" s="85"/>
      <c r="O75" s="85"/>
      <c r="P75" s="85"/>
      <c r="Q75" s="85"/>
      <c r="R75" s="85"/>
      <c r="S75" s="85"/>
      <c r="T75" s="85"/>
      <c r="U75" s="85"/>
      <c r="V75" s="85"/>
      <c r="W75" s="85"/>
    </row>
    <row r="76" spans="3:23">
      <c r="C76" s="260" t="s">
        <v>137</v>
      </c>
      <c r="D76" s="260"/>
      <c r="E76" s="260"/>
      <c r="F76" s="260"/>
      <c r="G76" s="260"/>
      <c r="H76" s="260"/>
      <c r="I76" s="260"/>
      <c r="J76" s="260"/>
      <c r="K76" s="260"/>
      <c r="L76" s="260"/>
      <c r="M76" s="260"/>
      <c r="N76" s="260"/>
      <c r="O76" s="260"/>
      <c r="P76" s="260"/>
      <c r="Q76" s="260"/>
      <c r="R76" s="260"/>
      <c r="S76" s="260"/>
      <c r="T76" s="260"/>
      <c r="U76" s="260"/>
      <c r="V76" s="260"/>
      <c r="W76" s="260"/>
    </row>
    <row r="77" spans="3:23">
      <c r="C77" s="156">
        <f>(E47+F47)*F41+G47*G41+H47*H41+I47*I41+J47*J41+K47*K41</f>
        <v>45013.042346999995</v>
      </c>
      <c r="D77" s="85" t="s">
        <v>106</v>
      </c>
      <c r="E77" s="164"/>
      <c r="F77" s="164"/>
      <c r="G77" s="164"/>
      <c r="H77" s="164"/>
      <c r="M77" s="85"/>
      <c r="N77" s="85"/>
      <c r="O77" s="85"/>
      <c r="P77" s="85"/>
      <c r="Q77" s="156"/>
      <c r="R77" s="85"/>
      <c r="S77" s="85"/>
      <c r="T77" s="85"/>
      <c r="U77" s="85"/>
      <c r="V77" s="85"/>
      <c r="W77" s="85"/>
    </row>
    <row r="78" spans="3:23" ht="11.25" customHeight="1">
      <c r="C78" s="85"/>
      <c r="D78" s="85"/>
      <c r="E78" s="164"/>
      <c r="F78" s="164"/>
      <c r="G78" s="164"/>
      <c r="H78" s="164"/>
      <c r="M78" s="85"/>
      <c r="N78" s="85"/>
      <c r="O78" s="85"/>
      <c r="P78" s="85"/>
      <c r="S78" s="85"/>
      <c r="T78" s="85"/>
      <c r="U78" s="85"/>
      <c r="V78" s="85"/>
      <c r="W78" s="85"/>
    </row>
    <row r="79" spans="3:23" ht="11.25" customHeight="1">
      <c r="C79" s="260" t="s">
        <v>138</v>
      </c>
      <c r="D79" s="260"/>
      <c r="E79" s="260"/>
      <c r="F79" s="260"/>
      <c r="G79" s="260"/>
      <c r="H79" s="260"/>
      <c r="I79" s="260"/>
      <c r="J79" s="260"/>
      <c r="K79" s="260"/>
      <c r="L79" s="260"/>
      <c r="M79" s="260"/>
      <c r="N79" s="260"/>
      <c r="O79" s="260"/>
      <c r="P79" s="260"/>
      <c r="Q79" s="260"/>
      <c r="R79" s="260"/>
      <c r="S79" s="260"/>
      <c r="T79" s="260"/>
      <c r="U79" s="260"/>
      <c r="V79" s="260"/>
      <c r="W79" s="155"/>
    </row>
    <row r="80" spans="3:23">
      <c r="C80" s="156">
        <f>(E47+F47+G47)*G42+H47*H42+I47*I42+J47*J42+K47*K42</f>
        <v>44904.024466999996</v>
      </c>
      <c r="D80" s="85" t="s">
        <v>106</v>
      </c>
      <c r="E80" s="85"/>
      <c r="F80" s="85"/>
      <c r="G80" s="85"/>
      <c r="H80" s="85"/>
      <c r="I80" s="85"/>
      <c r="J80" s="85"/>
      <c r="K80" s="85"/>
      <c r="L80" s="85"/>
      <c r="M80" s="85"/>
      <c r="N80" s="85"/>
      <c r="O80" s="85"/>
      <c r="P80" s="85"/>
      <c r="Q80" s="85"/>
      <c r="R80" s="85"/>
      <c r="S80" s="85"/>
      <c r="T80" s="85"/>
      <c r="U80" s="85"/>
      <c r="V80" s="85"/>
      <c r="W80" s="85"/>
    </row>
    <row r="81" spans="3:23">
      <c r="C81" s="85"/>
      <c r="D81" s="85"/>
      <c r="E81" s="85"/>
      <c r="F81" s="85"/>
      <c r="G81" s="85"/>
      <c r="H81" s="85"/>
      <c r="I81" s="85"/>
      <c r="J81" s="85"/>
      <c r="K81" s="85"/>
      <c r="L81" s="85"/>
      <c r="M81" s="85"/>
      <c r="N81" s="85"/>
      <c r="O81" s="85"/>
      <c r="P81" s="85"/>
      <c r="Q81" s="85"/>
      <c r="R81" s="85"/>
      <c r="S81" s="85"/>
      <c r="T81" s="85"/>
      <c r="U81" s="85"/>
      <c r="V81" s="85"/>
      <c r="W81" s="85"/>
    </row>
    <row r="82" spans="3:23" ht="11.25" customHeight="1">
      <c r="C82" s="261" t="s">
        <v>142</v>
      </c>
      <c r="D82" s="261"/>
      <c r="E82" s="261"/>
      <c r="F82" s="261"/>
      <c r="G82" s="261"/>
      <c r="H82" s="261"/>
      <c r="I82" s="261"/>
      <c r="J82" s="261"/>
      <c r="K82" s="261"/>
      <c r="L82" s="261"/>
      <c r="M82" s="261"/>
      <c r="N82" s="261"/>
      <c r="O82" s="261"/>
      <c r="P82" s="261"/>
      <c r="Q82" s="261"/>
      <c r="R82" s="261"/>
      <c r="S82" s="261"/>
      <c r="T82" s="261"/>
      <c r="U82" s="261"/>
      <c r="V82" s="261"/>
      <c r="W82" s="261"/>
    </row>
    <row r="83" spans="3:23" ht="38.25" customHeight="1">
      <c r="C83" s="259" t="s">
        <v>139</v>
      </c>
      <c r="D83" s="259"/>
      <c r="E83" s="259"/>
      <c r="F83" s="259"/>
      <c r="G83" s="259"/>
      <c r="H83" s="259"/>
      <c r="I83" s="259"/>
      <c r="J83" s="259"/>
      <c r="K83" s="259"/>
      <c r="L83" s="259"/>
      <c r="M83" s="259"/>
      <c r="N83" s="259"/>
      <c r="O83" s="259"/>
      <c r="P83" s="259"/>
      <c r="Q83" s="259"/>
      <c r="R83" s="259"/>
      <c r="S83" s="259"/>
      <c r="T83" s="259"/>
      <c r="U83" s="259"/>
      <c r="V83" s="259"/>
      <c r="W83" s="259"/>
    </row>
    <row r="84" spans="3:23">
      <c r="E84" s="85"/>
      <c r="F84" s="85"/>
      <c r="G84" s="85"/>
      <c r="H84" s="85"/>
      <c r="I84" s="85"/>
      <c r="J84" s="85"/>
      <c r="K84" s="85"/>
      <c r="L84" s="85"/>
      <c r="M84" s="85"/>
      <c r="N84" s="85"/>
      <c r="O84" s="85"/>
      <c r="P84" s="85"/>
      <c r="Q84" s="85"/>
      <c r="R84" s="85"/>
      <c r="S84" s="85"/>
      <c r="T84" s="85"/>
      <c r="U84" s="85"/>
      <c r="V84" s="85"/>
      <c r="W84" s="85"/>
    </row>
    <row r="85" spans="3:23">
      <c r="C85" s="85"/>
      <c r="D85" s="85"/>
      <c r="E85" s="85"/>
      <c r="F85" s="85"/>
      <c r="G85" s="85"/>
      <c r="H85" s="85"/>
      <c r="I85" s="85"/>
      <c r="J85" s="85"/>
      <c r="K85" s="85"/>
      <c r="L85" s="85"/>
      <c r="M85" s="85"/>
      <c r="N85" s="85"/>
      <c r="O85" s="85"/>
      <c r="P85" s="85"/>
      <c r="Q85" s="85"/>
      <c r="R85" s="85"/>
      <c r="S85" s="85"/>
      <c r="T85" s="85"/>
      <c r="U85" s="85"/>
      <c r="V85" s="85"/>
      <c r="W85" s="85"/>
    </row>
    <row r="86" spans="3:23">
      <c r="C86" s="85"/>
      <c r="D86" s="85"/>
      <c r="E86" s="85"/>
      <c r="F86" s="85"/>
      <c r="G86" s="85"/>
      <c r="H86" s="85"/>
      <c r="I86" s="85"/>
      <c r="J86" s="85"/>
      <c r="K86" s="85"/>
      <c r="L86" s="85"/>
      <c r="M86" s="85"/>
      <c r="N86" s="85"/>
      <c r="O86" s="85"/>
      <c r="P86" s="85"/>
      <c r="Q86" s="85"/>
      <c r="R86" s="85"/>
      <c r="S86" s="85"/>
      <c r="T86" s="85"/>
      <c r="U86" s="85"/>
      <c r="V86" s="85"/>
      <c r="W86" s="85"/>
    </row>
    <row r="87" spans="3:23">
      <c r="C87" s="85"/>
      <c r="D87" s="85"/>
      <c r="E87" s="85"/>
      <c r="F87" s="85"/>
      <c r="G87" s="85"/>
      <c r="H87" s="85"/>
      <c r="I87" s="85"/>
      <c r="J87" s="85"/>
      <c r="K87" s="85"/>
      <c r="L87" s="85"/>
      <c r="M87" s="85"/>
      <c r="N87" s="85"/>
      <c r="O87" s="85"/>
      <c r="P87" s="85"/>
      <c r="Q87" s="85"/>
      <c r="R87" s="85"/>
      <c r="S87" s="85"/>
      <c r="T87" s="85"/>
      <c r="U87" s="85"/>
      <c r="V87" s="85"/>
      <c r="W87" s="85"/>
    </row>
    <row r="88" spans="3:23">
      <c r="C88" s="85"/>
      <c r="D88" s="85"/>
      <c r="E88" s="85"/>
      <c r="F88" s="85"/>
      <c r="G88" s="85"/>
      <c r="H88" s="85"/>
      <c r="I88" s="85"/>
      <c r="J88" s="85"/>
      <c r="K88" s="85"/>
      <c r="L88" s="85"/>
      <c r="M88" s="85"/>
      <c r="N88" s="85"/>
      <c r="O88" s="85"/>
      <c r="P88" s="85"/>
      <c r="Q88" s="85"/>
      <c r="R88" s="85"/>
      <c r="S88" s="85"/>
      <c r="T88" s="85"/>
      <c r="U88" s="85"/>
      <c r="V88" s="85"/>
      <c r="W88" s="85"/>
    </row>
    <row r="89" spans="3:23">
      <c r="C89" s="85"/>
      <c r="D89" s="85"/>
      <c r="E89" s="85"/>
      <c r="F89" s="85"/>
      <c r="G89" s="85"/>
      <c r="H89" s="85"/>
      <c r="I89" s="85"/>
      <c r="J89" s="85"/>
      <c r="K89" s="85"/>
      <c r="L89" s="85"/>
      <c r="M89" s="85"/>
      <c r="N89" s="85"/>
      <c r="O89" s="85"/>
      <c r="R89" s="85"/>
      <c r="S89" s="85"/>
      <c r="T89" s="85"/>
      <c r="U89" s="85"/>
      <c r="V89" s="85"/>
      <c r="W89" s="85"/>
    </row>
    <row r="90" spans="3:23">
      <c r="C90" s="85"/>
      <c r="D90" s="85"/>
      <c r="E90" s="85"/>
      <c r="F90" s="85"/>
      <c r="G90" s="85"/>
      <c r="H90" s="85"/>
      <c r="I90" s="85"/>
      <c r="J90" s="85"/>
      <c r="K90" s="85"/>
      <c r="L90" s="85"/>
      <c r="M90" s="85"/>
      <c r="N90" s="85"/>
      <c r="O90" s="85"/>
      <c r="R90" s="85"/>
      <c r="S90" s="85"/>
      <c r="T90" s="85"/>
      <c r="U90" s="85"/>
      <c r="V90" s="85"/>
      <c r="W90" s="85"/>
    </row>
    <row r="91" spans="3:23">
      <c r="C91" s="85"/>
      <c r="D91" s="85"/>
      <c r="E91" s="85"/>
      <c r="F91" s="85"/>
      <c r="G91" s="85"/>
      <c r="H91" s="85"/>
      <c r="I91" s="85"/>
      <c r="J91" s="85"/>
      <c r="K91" s="85"/>
      <c r="L91" s="85"/>
      <c r="M91" s="85"/>
      <c r="N91" s="85"/>
      <c r="O91" s="85"/>
      <c r="P91" s="85"/>
      <c r="Q91" s="85"/>
      <c r="R91" s="85"/>
      <c r="S91" s="85"/>
      <c r="T91" s="85"/>
      <c r="U91" s="85"/>
      <c r="V91" s="85"/>
      <c r="W91" s="85"/>
    </row>
    <row r="92" spans="3:23">
      <c r="C92" s="85"/>
      <c r="D92" s="85"/>
      <c r="E92" s="85"/>
      <c r="F92" s="85"/>
      <c r="G92" s="85"/>
      <c r="H92" s="85"/>
      <c r="I92" s="85"/>
      <c r="J92" s="85"/>
      <c r="K92" s="85"/>
      <c r="L92" s="85"/>
      <c r="M92" s="85"/>
      <c r="N92" s="85"/>
      <c r="O92" s="85"/>
      <c r="P92" s="85"/>
      <c r="Q92" s="85"/>
      <c r="R92" s="85"/>
      <c r="S92" s="85"/>
      <c r="T92" s="85"/>
      <c r="U92" s="85"/>
      <c r="V92" s="85"/>
      <c r="W92" s="85"/>
    </row>
    <row r="93" spans="3:23">
      <c r="C93" s="85"/>
      <c r="D93" s="85"/>
      <c r="E93" s="85"/>
      <c r="F93" s="85"/>
      <c r="G93" s="85"/>
      <c r="H93" s="85"/>
      <c r="I93" s="85"/>
      <c r="J93" s="85"/>
      <c r="K93" s="85"/>
      <c r="L93" s="85"/>
      <c r="M93" s="85"/>
      <c r="N93" s="85"/>
      <c r="O93" s="85"/>
      <c r="P93" s="85"/>
      <c r="Q93" s="85"/>
      <c r="R93" s="85"/>
      <c r="S93" s="85"/>
      <c r="T93" s="85"/>
      <c r="U93" s="85"/>
      <c r="V93" s="85"/>
      <c r="W93" s="85"/>
    </row>
    <row r="94" spans="3:23">
      <c r="C94" s="85"/>
      <c r="D94" s="85"/>
      <c r="E94" s="85"/>
      <c r="F94" s="85"/>
      <c r="G94" s="85"/>
      <c r="H94" s="85"/>
      <c r="I94" s="85"/>
      <c r="J94" s="85"/>
      <c r="K94" s="85"/>
      <c r="L94" s="85"/>
      <c r="M94" s="85"/>
      <c r="N94" s="85"/>
      <c r="O94" s="85"/>
      <c r="P94" s="85"/>
      <c r="Q94" s="85"/>
      <c r="R94" s="85"/>
      <c r="S94" s="85"/>
      <c r="T94" s="85"/>
      <c r="U94" s="85"/>
      <c r="V94" s="85"/>
      <c r="W94" s="85"/>
    </row>
  </sheetData>
  <mergeCells count="5">
    <mergeCell ref="C52:W73"/>
    <mergeCell ref="C83:W83"/>
    <mergeCell ref="C76:W76"/>
    <mergeCell ref="C79:V79"/>
    <mergeCell ref="C82:W82"/>
  </mergeCells>
  <conditionalFormatting sqref="E7:K7">
    <cfRule type="containsBlanks" dxfId="517" priority="15" stopIfTrue="1">
      <formula>LEN(TRIM(E7))=0</formula>
    </cfRule>
    <cfRule type="notContainsBlanks" dxfId="516" priority="16" stopIfTrue="1">
      <formula>LEN(TRIM(E7))&gt;0</formula>
    </cfRule>
  </conditionalFormatting>
  <conditionalFormatting sqref="E8:K8">
    <cfRule type="containsBlanks" dxfId="515" priority="17" stopIfTrue="1">
      <formula>LEN(TRIM(E8))=0</formula>
    </cfRule>
    <cfRule type="notContainsBlanks" dxfId="514" priority="18" stopIfTrue="1">
      <formula>LEN(TRIM(E8))&gt;0</formula>
    </cfRule>
  </conditionalFormatting>
  <conditionalFormatting sqref="E9:K9">
    <cfRule type="containsBlanks" dxfId="513" priority="19" stopIfTrue="1">
      <formula>LEN(TRIM(E9))=0</formula>
    </cfRule>
    <cfRule type="notContainsBlanks" dxfId="512" priority="20" stopIfTrue="1">
      <formula>LEN(TRIM(E9))&gt;0</formula>
    </cfRule>
  </conditionalFormatting>
  <conditionalFormatting sqref="E10:K10">
    <cfRule type="containsBlanks" dxfId="511" priority="21" stopIfTrue="1">
      <formula>LEN(TRIM(E10))=0</formula>
    </cfRule>
    <cfRule type="notContainsBlanks" dxfId="510" priority="22" stopIfTrue="1">
      <formula>LEN(TRIM(E10))&gt;0</formula>
    </cfRule>
  </conditionalFormatting>
  <conditionalFormatting sqref="E11:K11">
    <cfRule type="containsBlanks" dxfId="509" priority="23" stopIfTrue="1">
      <formula>LEN(TRIM(E11))=0</formula>
    </cfRule>
    <cfRule type="notContainsBlanks" dxfId="508" priority="24" stopIfTrue="1">
      <formula>LEN(TRIM(E11))&gt;0</formula>
    </cfRule>
  </conditionalFormatting>
  <conditionalFormatting sqref="E12:K12">
    <cfRule type="containsBlanks" dxfId="507" priority="25" stopIfTrue="1">
      <formula>LEN(TRIM(E12))=0</formula>
    </cfRule>
    <cfRule type="notContainsBlanks" dxfId="506" priority="26" stopIfTrue="1">
      <formula>LEN(TRIM(E12))&gt;0</formula>
    </cfRule>
  </conditionalFormatting>
  <conditionalFormatting sqref="E13:K13">
    <cfRule type="containsBlanks" dxfId="505" priority="27" stopIfTrue="1">
      <formula>LEN(TRIM(E13))=0</formula>
    </cfRule>
    <cfRule type="notContainsBlanks" dxfId="504" priority="28" stopIfTrue="1">
      <formula>LEN(TRIM(E13))&gt;0</formula>
    </cfRule>
  </conditionalFormatting>
  <conditionalFormatting sqref="E15:K15">
    <cfRule type="containsBlanks" dxfId="503" priority="29" stopIfTrue="1">
      <formula>LEN(TRIM(E15))=0</formula>
    </cfRule>
    <cfRule type="notContainsBlanks" dxfId="502" priority="30" stopIfTrue="1">
      <formula>LEN(TRIM(E15))&gt;0</formula>
    </cfRule>
  </conditionalFormatting>
  <conditionalFormatting sqref="E16:K16">
    <cfRule type="containsBlanks" dxfId="501" priority="31" stopIfTrue="1">
      <formula>LEN(TRIM(E16))=0</formula>
    </cfRule>
    <cfRule type="notContainsBlanks" dxfId="500" priority="32" stopIfTrue="1">
      <formula>LEN(TRIM(E16))&gt;0</formula>
    </cfRule>
  </conditionalFormatting>
  <conditionalFormatting sqref="E17:K17">
    <cfRule type="containsBlanks" dxfId="499" priority="33" stopIfTrue="1">
      <formula>LEN(TRIM(E17))=0</formula>
    </cfRule>
    <cfRule type="notContainsBlanks" dxfId="498" priority="34" stopIfTrue="1">
      <formula>LEN(TRIM(E17))&gt;0</formula>
    </cfRule>
  </conditionalFormatting>
  <conditionalFormatting sqref="E18:K18">
    <cfRule type="containsBlanks" dxfId="497" priority="35" stopIfTrue="1">
      <formula>LEN(TRIM(E18))=0</formula>
    </cfRule>
    <cfRule type="notContainsBlanks" dxfId="496" priority="36" stopIfTrue="1">
      <formula>LEN(TRIM(E18))&gt;0</formula>
    </cfRule>
  </conditionalFormatting>
  <conditionalFormatting sqref="E19:K19">
    <cfRule type="containsBlanks" dxfId="495" priority="37" stopIfTrue="1">
      <formula>LEN(TRIM(E19))=0</formula>
    </cfRule>
    <cfRule type="notContainsBlanks" dxfId="494" priority="38" stopIfTrue="1">
      <formula>LEN(TRIM(E19))&gt;0</formula>
    </cfRule>
  </conditionalFormatting>
  <conditionalFormatting sqref="E20:K20">
    <cfRule type="containsBlanks" dxfId="493" priority="39" stopIfTrue="1">
      <formula>LEN(TRIM(E20))=0</formula>
    </cfRule>
    <cfRule type="notContainsBlanks" dxfId="492" priority="40" stopIfTrue="1">
      <formula>LEN(TRIM(E20))&gt;0</formula>
    </cfRule>
  </conditionalFormatting>
  <conditionalFormatting sqref="E21:K21">
    <cfRule type="containsBlanks" dxfId="491" priority="41" stopIfTrue="1">
      <formula>LEN(TRIM(E21))=0</formula>
    </cfRule>
    <cfRule type="notContainsBlanks" dxfId="490" priority="42" stopIfTrue="1">
      <formula>LEN(TRIM(E21))&gt;0</formula>
    </cfRule>
  </conditionalFormatting>
  <conditionalFormatting sqref="E23:K23">
    <cfRule type="containsBlanks" dxfId="489" priority="43" stopIfTrue="1">
      <formula>LEN(TRIM(E23))=0</formula>
    </cfRule>
    <cfRule type="notContainsBlanks" dxfId="488" priority="44" stopIfTrue="1">
      <formula>LEN(TRIM(E23))&gt;0</formula>
    </cfRule>
  </conditionalFormatting>
  <conditionalFormatting sqref="E24:K24">
    <cfRule type="containsBlanks" dxfId="487" priority="45" stopIfTrue="1">
      <formula>LEN(TRIM(E24))=0</formula>
    </cfRule>
    <cfRule type="notContainsBlanks" dxfId="486" priority="46" stopIfTrue="1">
      <formula>LEN(TRIM(E24))&gt;0</formula>
    </cfRule>
  </conditionalFormatting>
  <conditionalFormatting sqref="E25:K25">
    <cfRule type="containsBlanks" dxfId="485" priority="47" stopIfTrue="1">
      <formula>LEN(TRIM(E25))=0</formula>
    </cfRule>
    <cfRule type="notContainsBlanks" dxfId="484" priority="48" stopIfTrue="1">
      <formula>LEN(TRIM(E25))&gt;0</formula>
    </cfRule>
  </conditionalFormatting>
  <conditionalFormatting sqref="E26:K26">
    <cfRule type="containsBlanks" dxfId="483" priority="49" stopIfTrue="1">
      <formula>LEN(TRIM(E26))=0</formula>
    </cfRule>
    <cfRule type="notContainsBlanks" dxfId="482" priority="50" stopIfTrue="1">
      <formula>LEN(TRIM(E26))&gt;0</formula>
    </cfRule>
  </conditionalFormatting>
  <conditionalFormatting sqref="E27:K27">
    <cfRule type="containsBlanks" dxfId="481" priority="51" stopIfTrue="1">
      <formula>LEN(TRIM(E27))=0</formula>
    </cfRule>
    <cfRule type="notContainsBlanks" dxfId="480" priority="52" stopIfTrue="1">
      <formula>LEN(TRIM(E27))&gt;0</formula>
    </cfRule>
  </conditionalFormatting>
  <conditionalFormatting sqref="E28:K28">
    <cfRule type="containsBlanks" dxfId="479" priority="53" stopIfTrue="1">
      <formula>LEN(TRIM(E28))=0</formula>
    </cfRule>
    <cfRule type="notContainsBlanks" dxfId="478" priority="54" stopIfTrue="1">
      <formula>LEN(TRIM(E28))&gt;0</formula>
    </cfRule>
  </conditionalFormatting>
  <conditionalFormatting sqref="E29:K29">
    <cfRule type="containsBlanks" dxfId="477" priority="55" stopIfTrue="1">
      <formula>LEN(TRIM(E29))=0</formula>
    </cfRule>
  </conditionalFormatting>
  <conditionalFormatting sqref="E29:K29">
    <cfRule type="notContainsBlanks" dxfId="476" priority="56" stopIfTrue="1">
      <formula>LEN(TRIM(E29))&gt;0</formula>
    </cfRule>
  </conditionalFormatting>
  <conditionalFormatting sqref="E31:K31">
    <cfRule type="containsBlanks" dxfId="475" priority="57" stopIfTrue="1">
      <formula>LEN(TRIM(E31))=0</formula>
    </cfRule>
  </conditionalFormatting>
  <conditionalFormatting sqref="E31:K31">
    <cfRule type="notContainsBlanks" dxfId="474" priority="58" stopIfTrue="1">
      <formula>LEN(TRIM(E31))&gt;0</formula>
    </cfRule>
  </conditionalFormatting>
  <conditionalFormatting sqref="E32:K32">
    <cfRule type="containsBlanks" dxfId="473" priority="59" stopIfTrue="1">
      <formula>LEN(TRIM(E32))=0</formula>
    </cfRule>
  </conditionalFormatting>
  <conditionalFormatting sqref="E32:K32">
    <cfRule type="notContainsBlanks" dxfId="472" priority="60" stopIfTrue="1">
      <formula>LEN(TRIM(E32))&gt;0</formula>
    </cfRule>
  </conditionalFormatting>
  <conditionalFormatting sqref="E33:K33">
    <cfRule type="containsBlanks" dxfId="471" priority="61" stopIfTrue="1">
      <formula>LEN(TRIM(E33))=0</formula>
    </cfRule>
  </conditionalFormatting>
  <conditionalFormatting sqref="E33:K33">
    <cfRule type="notContainsBlanks" dxfId="470" priority="62" stopIfTrue="1">
      <formula>LEN(TRIM(E33))&gt;0</formula>
    </cfRule>
  </conditionalFormatting>
  <conditionalFormatting sqref="E34:K34">
    <cfRule type="containsBlanks" dxfId="469" priority="63" stopIfTrue="1">
      <formula>LEN(TRIM(E34))=0</formula>
    </cfRule>
  </conditionalFormatting>
  <conditionalFormatting sqref="E34:K34">
    <cfRule type="notContainsBlanks" dxfId="468" priority="64" stopIfTrue="1">
      <formula>LEN(TRIM(E34))&gt;0</formula>
    </cfRule>
  </conditionalFormatting>
  <conditionalFormatting sqref="E35:K35">
    <cfRule type="containsBlanks" dxfId="467" priority="65" stopIfTrue="1">
      <formula>LEN(TRIM(E35))=0</formula>
    </cfRule>
  </conditionalFormatting>
  <conditionalFormatting sqref="E35:K35">
    <cfRule type="notContainsBlanks" dxfId="466" priority="66" stopIfTrue="1">
      <formula>LEN(TRIM(E35))&gt;0</formula>
    </cfRule>
  </conditionalFormatting>
  <conditionalFormatting sqref="E36:K36">
    <cfRule type="containsBlanks" dxfId="465" priority="67" stopIfTrue="1">
      <formula>LEN(TRIM(E36))=0</formula>
    </cfRule>
  </conditionalFormatting>
  <conditionalFormatting sqref="E36:K36">
    <cfRule type="notContainsBlanks" dxfId="464" priority="68" stopIfTrue="1">
      <formula>LEN(TRIM(E36))&gt;0</formula>
    </cfRule>
  </conditionalFormatting>
  <conditionalFormatting sqref="E37:K37">
    <cfRule type="containsBlanks" dxfId="463" priority="69" stopIfTrue="1">
      <formula>LEN(TRIM(E37))=0</formula>
    </cfRule>
  </conditionalFormatting>
  <conditionalFormatting sqref="E37:K37">
    <cfRule type="notContainsBlanks" dxfId="462" priority="70" stopIfTrue="1">
      <formula>LEN(TRIM(E37))&gt;0</formula>
    </cfRule>
  </conditionalFormatting>
  <conditionalFormatting sqref="E40:K40">
    <cfRule type="containsBlanks" dxfId="461" priority="71" stopIfTrue="1">
      <formula>LEN(TRIM(E40))=0</formula>
    </cfRule>
  </conditionalFormatting>
  <conditionalFormatting sqref="E40:K40">
    <cfRule type="notContainsBlanks" dxfId="460" priority="72" stopIfTrue="1">
      <formula>LEN(TRIM(E40))&gt;0</formula>
    </cfRule>
  </conditionalFormatting>
  <conditionalFormatting sqref="E41:K41">
    <cfRule type="containsBlanks" dxfId="459" priority="73" stopIfTrue="1">
      <formula>LEN(TRIM(E41))=0</formula>
    </cfRule>
  </conditionalFormatting>
  <conditionalFormatting sqref="E41:K41">
    <cfRule type="notContainsBlanks" dxfId="458" priority="74" stopIfTrue="1">
      <formula>LEN(TRIM(E41))&gt;0</formula>
    </cfRule>
  </conditionalFormatting>
  <conditionalFormatting sqref="E42:K42">
    <cfRule type="containsBlanks" dxfId="457" priority="75" stopIfTrue="1">
      <formula>LEN(TRIM(E42))=0</formula>
    </cfRule>
  </conditionalFormatting>
  <conditionalFormatting sqref="E42:K42">
    <cfRule type="notContainsBlanks" dxfId="456" priority="76" stopIfTrue="1">
      <formula>LEN(TRIM(E42))&gt;0</formula>
    </cfRule>
  </conditionalFormatting>
  <conditionalFormatting sqref="E43:K43">
    <cfRule type="containsBlanks" dxfId="455" priority="77" stopIfTrue="1">
      <formula>LEN(TRIM(E43))=0</formula>
    </cfRule>
  </conditionalFormatting>
  <conditionalFormatting sqref="E43:K43">
    <cfRule type="notContainsBlanks" dxfId="454" priority="78" stopIfTrue="1">
      <formula>LEN(TRIM(E43))&gt;0</formula>
    </cfRule>
  </conditionalFormatting>
  <conditionalFormatting sqref="E44:K44">
    <cfRule type="containsBlanks" dxfId="453" priority="79" stopIfTrue="1">
      <formula>LEN(TRIM(E44))=0</formula>
    </cfRule>
  </conditionalFormatting>
  <conditionalFormatting sqref="E44:K44">
    <cfRule type="notContainsBlanks" dxfId="452" priority="80" stopIfTrue="1">
      <formula>LEN(TRIM(E44))&gt;0</formula>
    </cfRule>
  </conditionalFormatting>
  <conditionalFormatting sqref="E45:K45">
    <cfRule type="containsBlanks" dxfId="451" priority="81" stopIfTrue="1">
      <formula>LEN(TRIM(E45))=0</formula>
    </cfRule>
  </conditionalFormatting>
  <conditionalFormatting sqref="E45:K45">
    <cfRule type="notContainsBlanks" dxfId="450" priority="82" stopIfTrue="1">
      <formula>LEN(TRIM(E45))&gt;0</formula>
    </cfRule>
  </conditionalFormatting>
  <conditionalFormatting sqref="E46:K46">
    <cfRule type="containsBlanks" dxfId="449" priority="83" stopIfTrue="1">
      <formula>LEN(TRIM(E46))=0</formula>
    </cfRule>
  </conditionalFormatting>
  <conditionalFormatting sqref="E46:K46">
    <cfRule type="notContainsBlanks" dxfId="448" priority="84" stopIfTrue="1">
      <formula>LEN(TRIM(E46))&gt;0</formula>
    </cfRule>
  </conditionalFormatting>
  <conditionalFormatting sqref="K47">
    <cfRule type="containsBlanks" dxfId="447" priority="85" stopIfTrue="1">
      <formula>LEN(TRIM(K47))=0</formula>
    </cfRule>
  </conditionalFormatting>
  <conditionalFormatting sqref="K47">
    <cfRule type="notContainsBlanks" dxfId="446" priority="86" stopIfTrue="1">
      <formula>LEN(TRIM(K47))&gt;0</formula>
    </cfRule>
  </conditionalFormatting>
  <conditionalFormatting sqref="Q7:W7">
    <cfRule type="containsBlanks" dxfId="445" priority="87" stopIfTrue="1">
      <formula>LEN(TRIM(Q7))=0</formula>
    </cfRule>
    <cfRule type="notContainsBlanks" dxfId="444" priority="88" stopIfTrue="1">
      <formula>LEN(TRIM(Q7))&gt;0</formula>
    </cfRule>
  </conditionalFormatting>
  <conditionalFormatting sqref="Q8:W8">
    <cfRule type="containsBlanks" dxfId="443" priority="89" stopIfTrue="1">
      <formula>LEN(TRIM(Q8))=0</formula>
    </cfRule>
    <cfRule type="notContainsBlanks" dxfId="442" priority="90" stopIfTrue="1">
      <formula>LEN(TRIM(Q8))&gt;0</formula>
    </cfRule>
  </conditionalFormatting>
  <conditionalFormatting sqref="Q9:W9">
    <cfRule type="containsBlanks" dxfId="441" priority="91" stopIfTrue="1">
      <formula>LEN(TRIM(Q9))=0</formula>
    </cfRule>
    <cfRule type="notContainsBlanks" dxfId="440" priority="92" stopIfTrue="1">
      <formula>LEN(TRIM(Q9))&gt;0</formula>
    </cfRule>
  </conditionalFormatting>
  <conditionalFormatting sqref="Q10:W10">
    <cfRule type="containsBlanks" dxfId="439" priority="93" stopIfTrue="1">
      <formula>LEN(TRIM(Q10))=0</formula>
    </cfRule>
    <cfRule type="notContainsBlanks" dxfId="438" priority="94" stopIfTrue="1">
      <formula>LEN(TRIM(Q10))&gt;0</formula>
    </cfRule>
  </conditionalFormatting>
  <conditionalFormatting sqref="Q11:W11">
    <cfRule type="containsBlanks" dxfId="437" priority="95" stopIfTrue="1">
      <formula>LEN(TRIM(Q11))=0</formula>
    </cfRule>
    <cfRule type="notContainsBlanks" dxfId="436" priority="96" stopIfTrue="1">
      <formula>LEN(TRIM(Q11))&gt;0</formula>
    </cfRule>
  </conditionalFormatting>
  <conditionalFormatting sqref="Q12:W12">
    <cfRule type="containsBlanks" dxfId="435" priority="97" stopIfTrue="1">
      <formula>LEN(TRIM(Q12))=0</formula>
    </cfRule>
    <cfRule type="notContainsBlanks" dxfId="434" priority="98" stopIfTrue="1">
      <formula>LEN(TRIM(Q12))&gt;0</formula>
    </cfRule>
  </conditionalFormatting>
  <conditionalFormatting sqref="Q13:W13">
    <cfRule type="containsBlanks" dxfId="433" priority="99" stopIfTrue="1">
      <formula>LEN(TRIM(Q13))=0</formula>
    </cfRule>
    <cfRule type="notContainsBlanks" dxfId="432" priority="100" stopIfTrue="1">
      <formula>LEN(TRIM(Q13))&gt;0</formula>
    </cfRule>
  </conditionalFormatting>
  <conditionalFormatting sqref="Q15:W15">
    <cfRule type="containsBlanks" dxfId="431" priority="101" stopIfTrue="1">
      <formula>LEN(TRIM(Q15))=0</formula>
    </cfRule>
    <cfRule type="notContainsBlanks" dxfId="430" priority="102" stopIfTrue="1">
      <formula>LEN(TRIM(Q15))&gt;0</formula>
    </cfRule>
  </conditionalFormatting>
  <conditionalFormatting sqref="Q16:W16">
    <cfRule type="containsBlanks" dxfId="429" priority="103" stopIfTrue="1">
      <formula>LEN(TRIM(Q16))=0</formula>
    </cfRule>
    <cfRule type="notContainsBlanks" dxfId="428" priority="104" stopIfTrue="1">
      <formula>LEN(TRIM(Q16))&gt;0</formula>
    </cfRule>
  </conditionalFormatting>
  <conditionalFormatting sqref="Q17:W17">
    <cfRule type="containsBlanks" dxfId="427" priority="105" stopIfTrue="1">
      <formula>LEN(TRIM(Q17))=0</formula>
    </cfRule>
    <cfRule type="notContainsBlanks" dxfId="426" priority="106" stopIfTrue="1">
      <formula>LEN(TRIM(Q17))&gt;0</formula>
    </cfRule>
  </conditionalFormatting>
  <conditionalFormatting sqref="Q18:W18">
    <cfRule type="containsBlanks" dxfId="425" priority="107" stopIfTrue="1">
      <formula>LEN(TRIM(Q18))=0</formula>
    </cfRule>
  </conditionalFormatting>
  <conditionalFormatting sqref="Q18:W18">
    <cfRule type="notContainsBlanks" dxfId="424" priority="108" stopIfTrue="1">
      <formula>LEN(TRIM(Q18))&gt;0</formula>
    </cfRule>
  </conditionalFormatting>
  <conditionalFormatting sqref="Q19:W19">
    <cfRule type="containsBlanks" dxfId="423" priority="109" stopIfTrue="1">
      <formula>LEN(TRIM(Q19))=0</formula>
    </cfRule>
  </conditionalFormatting>
  <conditionalFormatting sqref="Q19:W19">
    <cfRule type="notContainsBlanks" dxfId="422" priority="110" stopIfTrue="1">
      <formula>LEN(TRIM(Q19))&gt;0</formula>
    </cfRule>
  </conditionalFormatting>
  <conditionalFormatting sqref="Q20:W20">
    <cfRule type="containsBlanks" dxfId="421" priority="111" stopIfTrue="1">
      <formula>LEN(TRIM(Q20))=0</formula>
    </cfRule>
  </conditionalFormatting>
  <conditionalFormatting sqref="Q20:W20">
    <cfRule type="notContainsBlanks" dxfId="420" priority="112" stopIfTrue="1">
      <formula>LEN(TRIM(Q20))&gt;0</formula>
    </cfRule>
  </conditionalFormatting>
  <conditionalFormatting sqref="Q21:W21">
    <cfRule type="containsBlanks" dxfId="419" priority="113" stopIfTrue="1">
      <formula>LEN(TRIM(Q21))=0</formula>
    </cfRule>
  </conditionalFormatting>
  <conditionalFormatting sqref="Q21:W21">
    <cfRule type="notContainsBlanks" dxfId="418" priority="114" stopIfTrue="1">
      <formula>LEN(TRIM(Q21))&gt;0</formula>
    </cfRule>
  </conditionalFormatting>
  <conditionalFormatting sqref="Q23:W23">
    <cfRule type="containsBlanks" dxfId="417" priority="115" stopIfTrue="1">
      <formula>LEN(TRIM(Q23))=0</formula>
    </cfRule>
  </conditionalFormatting>
  <conditionalFormatting sqref="Q23:W23">
    <cfRule type="notContainsBlanks" dxfId="416" priority="116" stopIfTrue="1">
      <formula>LEN(TRIM(Q23))&gt;0</formula>
    </cfRule>
  </conditionalFormatting>
  <conditionalFormatting sqref="Q24:W24">
    <cfRule type="containsBlanks" dxfId="415" priority="117" stopIfTrue="1">
      <formula>LEN(TRIM(Q24))=0</formula>
    </cfRule>
  </conditionalFormatting>
  <conditionalFormatting sqref="Q24:W24">
    <cfRule type="notContainsBlanks" dxfId="414" priority="118" stopIfTrue="1">
      <formula>LEN(TRIM(Q24))&gt;0</formula>
    </cfRule>
  </conditionalFormatting>
  <conditionalFormatting sqref="Q25:W25">
    <cfRule type="containsBlanks" dxfId="413" priority="119" stopIfTrue="1">
      <formula>LEN(TRIM(Q25))=0</formula>
    </cfRule>
  </conditionalFormatting>
  <conditionalFormatting sqref="Q25:W25">
    <cfRule type="notContainsBlanks" dxfId="412" priority="120" stopIfTrue="1">
      <formula>LEN(TRIM(Q25))&gt;0</formula>
    </cfRule>
  </conditionalFormatting>
  <conditionalFormatting sqref="Q26:W26">
    <cfRule type="containsBlanks" dxfId="411" priority="121" stopIfTrue="1">
      <formula>LEN(TRIM(Q26))=0</formula>
    </cfRule>
  </conditionalFormatting>
  <conditionalFormatting sqref="Q26:W26">
    <cfRule type="notContainsBlanks" dxfId="410" priority="122" stopIfTrue="1">
      <formula>LEN(TRIM(Q26))&gt;0</formula>
    </cfRule>
  </conditionalFormatting>
  <conditionalFormatting sqref="Q27:W27">
    <cfRule type="containsBlanks" dxfId="409" priority="123" stopIfTrue="1">
      <formula>LEN(TRIM(Q27))=0</formula>
    </cfRule>
  </conditionalFormatting>
  <conditionalFormatting sqref="Q27:W27">
    <cfRule type="notContainsBlanks" dxfId="408" priority="124" stopIfTrue="1">
      <formula>LEN(TRIM(Q27))&gt;0</formula>
    </cfRule>
  </conditionalFormatting>
  <conditionalFormatting sqref="Q28:W28">
    <cfRule type="containsBlanks" dxfId="407" priority="125" stopIfTrue="1">
      <formula>LEN(TRIM(Q28))=0</formula>
    </cfRule>
  </conditionalFormatting>
  <conditionalFormatting sqref="Q28:W28">
    <cfRule type="notContainsBlanks" dxfId="406" priority="126" stopIfTrue="1">
      <formula>LEN(TRIM(Q28))&gt;0</formula>
    </cfRule>
  </conditionalFormatting>
  <conditionalFormatting sqref="Q29:W29">
    <cfRule type="containsBlanks" dxfId="405" priority="127" stopIfTrue="1">
      <formula>LEN(TRIM(Q29))=0</formula>
    </cfRule>
  </conditionalFormatting>
  <conditionalFormatting sqref="Q29:W29">
    <cfRule type="notContainsBlanks" dxfId="404" priority="128" stopIfTrue="1">
      <formula>LEN(TRIM(Q29))&gt;0</formula>
    </cfRule>
  </conditionalFormatting>
  <conditionalFormatting sqref="Q31:W31">
    <cfRule type="containsBlanks" dxfId="403" priority="129" stopIfTrue="1">
      <formula>LEN(TRIM(Q31))=0</formula>
    </cfRule>
  </conditionalFormatting>
  <conditionalFormatting sqref="Q31:W31">
    <cfRule type="notContainsBlanks" dxfId="402" priority="130" stopIfTrue="1">
      <formula>LEN(TRIM(Q31))&gt;0</formula>
    </cfRule>
  </conditionalFormatting>
  <conditionalFormatting sqref="Q32:W32">
    <cfRule type="containsBlanks" dxfId="401" priority="131" stopIfTrue="1">
      <formula>LEN(TRIM(Q32))=0</formula>
    </cfRule>
  </conditionalFormatting>
  <conditionalFormatting sqref="Q32:W32">
    <cfRule type="notContainsBlanks" dxfId="400" priority="132" stopIfTrue="1">
      <formula>LEN(TRIM(Q32))&gt;0</formula>
    </cfRule>
  </conditionalFormatting>
  <conditionalFormatting sqref="Q33:W33">
    <cfRule type="containsBlanks" dxfId="399" priority="133" stopIfTrue="1">
      <formula>LEN(TRIM(Q33))=0</formula>
    </cfRule>
  </conditionalFormatting>
  <conditionalFormatting sqref="Q33:W33">
    <cfRule type="notContainsBlanks" dxfId="398" priority="134" stopIfTrue="1">
      <formula>LEN(TRIM(Q33))&gt;0</formula>
    </cfRule>
  </conditionalFormatting>
  <conditionalFormatting sqref="Q34:W34">
    <cfRule type="containsBlanks" dxfId="397" priority="135" stopIfTrue="1">
      <formula>LEN(TRIM(Q34))=0</formula>
    </cfRule>
  </conditionalFormatting>
  <conditionalFormatting sqref="Q34:W34">
    <cfRule type="notContainsBlanks" dxfId="396" priority="136" stopIfTrue="1">
      <formula>LEN(TRIM(Q34))&gt;0</formula>
    </cfRule>
  </conditionalFormatting>
  <conditionalFormatting sqref="Q35:W35">
    <cfRule type="containsBlanks" dxfId="395" priority="137" stopIfTrue="1">
      <formula>LEN(TRIM(Q35))=0</formula>
    </cfRule>
  </conditionalFormatting>
  <conditionalFormatting sqref="Q35:W35">
    <cfRule type="notContainsBlanks" dxfId="394" priority="138" stopIfTrue="1">
      <formula>LEN(TRIM(Q35))&gt;0</formula>
    </cfRule>
  </conditionalFormatting>
  <conditionalFormatting sqref="Q36:W36">
    <cfRule type="containsBlanks" dxfId="393" priority="139" stopIfTrue="1">
      <formula>LEN(TRIM(Q36))=0</formula>
    </cfRule>
  </conditionalFormatting>
  <conditionalFormatting sqref="Q36:W36">
    <cfRule type="notContainsBlanks" dxfId="392" priority="140" stopIfTrue="1">
      <formula>LEN(TRIM(Q36))&gt;0</formula>
    </cfRule>
  </conditionalFormatting>
  <conditionalFormatting sqref="Q37:W37">
    <cfRule type="containsBlanks" dxfId="391" priority="141" stopIfTrue="1">
      <formula>LEN(TRIM(Q37))=0</formula>
    </cfRule>
  </conditionalFormatting>
  <conditionalFormatting sqref="Q37:W37">
    <cfRule type="notContainsBlanks" dxfId="390" priority="142" stopIfTrue="1">
      <formula>LEN(TRIM(Q37))&gt;0</formula>
    </cfRule>
  </conditionalFormatting>
  <conditionalFormatting sqref="Q40:W40">
    <cfRule type="containsBlanks" dxfId="389" priority="143" stopIfTrue="1">
      <formula>LEN(TRIM(Q40))=0</formula>
    </cfRule>
  </conditionalFormatting>
  <conditionalFormatting sqref="Q40:W40">
    <cfRule type="notContainsBlanks" dxfId="388" priority="144" stopIfTrue="1">
      <formula>LEN(TRIM(Q40))&gt;0</formula>
    </cfRule>
  </conditionalFormatting>
  <conditionalFormatting sqref="Q41:W41">
    <cfRule type="containsBlanks" dxfId="387" priority="145" stopIfTrue="1">
      <formula>LEN(TRIM(Q41))=0</formula>
    </cfRule>
  </conditionalFormatting>
  <conditionalFormatting sqref="Q41:W41">
    <cfRule type="notContainsBlanks" dxfId="386" priority="146" stopIfTrue="1">
      <formula>LEN(TRIM(Q41))&gt;0</formula>
    </cfRule>
  </conditionalFormatting>
  <conditionalFormatting sqref="Q42:W42">
    <cfRule type="containsBlanks" dxfId="385" priority="147" stopIfTrue="1">
      <formula>LEN(TRIM(Q42))=0</formula>
    </cfRule>
  </conditionalFormatting>
  <conditionalFormatting sqref="Q42:W42">
    <cfRule type="notContainsBlanks" dxfId="384" priority="148" stopIfTrue="1">
      <formula>LEN(TRIM(Q42))&gt;0</formula>
    </cfRule>
  </conditionalFormatting>
  <conditionalFormatting sqref="Q43:W43">
    <cfRule type="containsBlanks" dxfId="383" priority="149" stopIfTrue="1">
      <formula>LEN(TRIM(Q43))=0</formula>
    </cfRule>
  </conditionalFormatting>
  <conditionalFormatting sqref="Q43:W43">
    <cfRule type="notContainsBlanks" dxfId="382" priority="150" stopIfTrue="1">
      <formula>LEN(TRIM(Q43))&gt;0</formula>
    </cfRule>
  </conditionalFormatting>
  <conditionalFormatting sqref="Q44:W44">
    <cfRule type="containsBlanks" dxfId="381" priority="151" stopIfTrue="1">
      <formula>LEN(TRIM(Q44))=0</formula>
    </cfRule>
  </conditionalFormatting>
  <conditionalFormatting sqref="Q44:W44">
    <cfRule type="notContainsBlanks" dxfId="380" priority="152" stopIfTrue="1">
      <formula>LEN(TRIM(Q44))&gt;0</formula>
    </cfRule>
  </conditionalFormatting>
  <conditionalFormatting sqref="Q45:W45">
    <cfRule type="containsBlanks" dxfId="379" priority="153" stopIfTrue="1">
      <formula>LEN(TRIM(Q45))=0</formula>
    </cfRule>
  </conditionalFormatting>
  <conditionalFormatting sqref="Q45:W45">
    <cfRule type="notContainsBlanks" dxfId="378" priority="154" stopIfTrue="1">
      <formula>LEN(TRIM(Q45))&gt;0</formula>
    </cfRule>
  </conditionalFormatting>
  <conditionalFormatting sqref="Q46:W46">
    <cfRule type="containsBlanks" dxfId="377" priority="155" stopIfTrue="1">
      <formula>LEN(TRIM(Q46))=0</formula>
    </cfRule>
  </conditionalFormatting>
  <conditionalFormatting sqref="Q46:W46">
    <cfRule type="notContainsBlanks" dxfId="376" priority="156" stopIfTrue="1">
      <formula>LEN(TRIM(Q46))&gt;0</formula>
    </cfRule>
  </conditionalFormatting>
  <conditionalFormatting sqref="Q47:V47">
    <cfRule type="containsBlanks" dxfId="375" priority="157" stopIfTrue="1">
      <formula>LEN(TRIM(Q47))=0</formula>
    </cfRule>
  </conditionalFormatting>
  <conditionalFormatting sqref="Q47:V47">
    <cfRule type="notContainsBlanks" dxfId="374" priority="158" stopIfTrue="1">
      <formula>LEN(TRIM(Q47))&gt;0</formula>
    </cfRule>
  </conditionalFormatting>
  <conditionalFormatting sqref="AC7:AI7">
    <cfRule type="containsBlanks" dxfId="373" priority="159" stopIfTrue="1">
      <formula>LEN(TRIM(AC7))=0</formula>
    </cfRule>
  </conditionalFormatting>
  <conditionalFormatting sqref="AC7:AI7">
    <cfRule type="notContainsBlanks" dxfId="372" priority="160" stopIfTrue="1">
      <formula>LEN(TRIM(AC7))&gt;0</formula>
    </cfRule>
  </conditionalFormatting>
  <conditionalFormatting sqref="AC8:AI8">
    <cfRule type="containsBlanks" dxfId="371" priority="161" stopIfTrue="1">
      <formula>LEN(TRIM(AC8))=0</formula>
    </cfRule>
  </conditionalFormatting>
  <conditionalFormatting sqref="AC8:AI8">
    <cfRule type="notContainsBlanks" dxfId="370" priority="162" stopIfTrue="1">
      <formula>LEN(TRIM(AC8))&gt;0</formula>
    </cfRule>
  </conditionalFormatting>
  <conditionalFormatting sqref="AC9:AI9">
    <cfRule type="containsBlanks" dxfId="369" priority="163" stopIfTrue="1">
      <formula>LEN(TRIM(AC9))=0</formula>
    </cfRule>
  </conditionalFormatting>
  <conditionalFormatting sqref="AC9:AI9">
    <cfRule type="notContainsBlanks" dxfId="368" priority="164" stopIfTrue="1">
      <formula>LEN(TRIM(AC9))&gt;0</formula>
    </cfRule>
  </conditionalFormatting>
  <conditionalFormatting sqref="AC10:AI10">
    <cfRule type="containsBlanks" dxfId="367" priority="165" stopIfTrue="1">
      <formula>LEN(TRIM(AC10))=0</formula>
    </cfRule>
  </conditionalFormatting>
  <conditionalFormatting sqref="AC10:AI10">
    <cfRule type="notContainsBlanks" dxfId="366" priority="166" stopIfTrue="1">
      <formula>LEN(TRIM(AC10))&gt;0</formula>
    </cfRule>
  </conditionalFormatting>
  <conditionalFormatting sqref="AC11:AI11">
    <cfRule type="containsBlanks" dxfId="365" priority="167" stopIfTrue="1">
      <formula>LEN(TRIM(AC11))=0</formula>
    </cfRule>
  </conditionalFormatting>
  <conditionalFormatting sqref="AC11:AI11">
    <cfRule type="notContainsBlanks" dxfId="364" priority="168" stopIfTrue="1">
      <formula>LEN(TRIM(AC11))&gt;0</formula>
    </cfRule>
  </conditionalFormatting>
  <conditionalFormatting sqref="AC12:AI12">
    <cfRule type="containsBlanks" dxfId="363" priority="169" stopIfTrue="1">
      <formula>LEN(TRIM(AC12))=0</formula>
    </cfRule>
  </conditionalFormatting>
  <conditionalFormatting sqref="AC12:AI12">
    <cfRule type="notContainsBlanks" dxfId="362" priority="170" stopIfTrue="1">
      <formula>LEN(TRIM(AC12))&gt;0</formula>
    </cfRule>
  </conditionalFormatting>
  <conditionalFormatting sqref="AC13:AI13">
    <cfRule type="containsBlanks" dxfId="361" priority="171" stopIfTrue="1">
      <formula>LEN(TRIM(AC13))=0</formula>
    </cfRule>
  </conditionalFormatting>
  <conditionalFormatting sqref="AC13:AI13">
    <cfRule type="notContainsBlanks" dxfId="360" priority="172" stopIfTrue="1">
      <formula>LEN(TRIM(AC13))&gt;0</formula>
    </cfRule>
  </conditionalFormatting>
  <conditionalFormatting sqref="AC15:AI15">
    <cfRule type="containsBlanks" dxfId="359" priority="173" stopIfTrue="1">
      <formula>LEN(TRIM(AC15))=0</formula>
    </cfRule>
  </conditionalFormatting>
  <conditionalFormatting sqref="AC15:AI15">
    <cfRule type="notContainsBlanks" dxfId="358" priority="174" stopIfTrue="1">
      <formula>LEN(TRIM(AC15))&gt;0</formula>
    </cfRule>
  </conditionalFormatting>
  <conditionalFormatting sqref="AC16:AI16">
    <cfRule type="containsBlanks" dxfId="357" priority="175" stopIfTrue="1">
      <formula>LEN(TRIM(AC16))=0</formula>
    </cfRule>
  </conditionalFormatting>
  <conditionalFormatting sqref="AC16:AI16">
    <cfRule type="notContainsBlanks" dxfId="356" priority="176" stopIfTrue="1">
      <formula>LEN(TRIM(AC16))&gt;0</formula>
    </cfRule>
  </conditionalFormatting>
  <conditionalFormatting sqref="AC17:AI17">
    <cfRule type="containsBlanks" dxfId="355" priority="177" stopIfTrue="1">
      <formula>LEN(TRIM(AC17))=0</formula>
    </cfRule>
  </conditionalFormatting>
  <conditionalFormatting sqref="AC17:AI17">
    <cfRule type="notContainsBlanks" dxfId="354" priority="178" stopIfTrue="1">
      <formula>LEN(TRIM(AC17))&gt;0</formula>
    </cfRule>
  </conditionalFormatting>
  <conditionalFormatting sqref="AC18:AI18">
    <cfRule type="containsBlanks" dxfId="353" priority="179" stopIfTrue="1">
      <formula>LEN(TRIM(AC18))=0</formula>
    </cfRule>
  </conditionalFormatting>
  <conditionalFormatting sqref="AC18:AI18">
    <cfRule type="notContainsBlanks" dxfId="352" priority="180" stopIfTrue="1">
      <formula>LEN(TRIM(AC18))&gt;0</formula>
    </cfRule>
  </conditionalFormatting>
  <conditionalFormatting sqref="AC19:AI19">
    <cfRule type="containsBlanks" dxfId="351" priority="181" stopIfTrue="1">
      <formula>LEN(TRIM(AC19))=0</formula>
    </cfRule>
  </conditionalFormatting>
  <conditionalFormatting sqref="AC19:AI19">
    <cfRule type="notContainsBlanks" dxfId="350" priority="182" stopIfTrue="1">
      <formula>LEN(TRIM(AC19))&gt;0</formula>
    </cfRule>
  </conditionalFormatting>
  <conditionalFormatting sqref="AC20:AI20">
    <cfRule type="containsBlanks" dxfId="349" priority="183" stopIfTrue="1">
      <formula>LEN(TRIM(AC20))=0</formula>
    </cfRule>
  </conditionalFormatting>
  <conditionalFormatting sqref="AC20:AI20">
    <cfRule type="notContainsBlanks" dxfId="348" priority="184" stopIfTrue="1">
      <formula>LEN(TRIM(AC20))&gt;0</formula>
    </cfRule>
  </conditionalFormatting>
  <conditionalFormatting sqref="AC21:AI21">
    <cfRule type="containsBlanks" dxfId="347" priority="185" stopIfTrue="1">
      <formula>LEN(TRIM(AC21))=0</formula>
    </cfRule>
  </conditionalFormatting>
  <conditionalFormatting sqref="AC21:AI21">
    <cfRule type="notContainsBlanks" dxfId="346" priority="186" stopIfTrue="1">
      <formula>LEN(TRIM(AC21))&gt;0</formula>
    </cfRule>
  </conditionalFormatting>
  <conditionalFormatting sqref="AC23:AI23">
    <cfRule type="containsBlanks" dxfId="345" priority="187" stopIfTrue="1">
      <formula>LEN(TRIM(AC23))=0</formula>
    </cfRule>
  </conditionalFormatting>
  <conditionalFormatting sqref="AC23:AI23">
    <cfRule type="notContainsBlanks" dxfId="344" priority="188" stopIfTrue="1">
      <formula>LEN(TRIM(AC23))&gt;0</formula>
    </cfRule>
  </conditionalFormatting>
  <conditionalFormatting sqref="AC24:AI24">
    <cfRule type="containsBlanks" dxfId="343" priority="189" stopIfTrue="1">
      <formula>LEN(TRIM(AC24))=0</formula>
    </cfRule>
  </conditionalFormatting>
  <conditionalFormatting sqref="AC24:AI24">
    <cfRule type="notContainsBlanks" dxfId="342" priority="190" stopIfTrue="1">
      <formula>LEN(TRIM(AC24))&gt;0</formula>
    </cfRule>
  </conditionalFormatting>
  <conditionalFormatting sqref="AC25:AI25">
    <cfRule type="containsBlanks" dxfId="341" priority="191" stopIfTrue="1">
      <formula>LEN(TRIM(AC25))=0</formula>
    </cfRule>
  </conditionalFormatting>
  <conditionalFormatting sqref="AC25:AI25">
    <cfRule type="notContainsBlanks" dxfId="340" priority="192" stopIfTrue="1">
      <formula>LEN(TRIM(AC25))&gt;0</formula>
    </cfRule>
  </conditionalFormatting>
  <conditionalFormatting sqref="AC26:AI26">
    <cfRule type="containsBlanks" dxfId="339" priority="193" stopIfTrue="1">
      <formula>LEN(TRIM(AC26))=0</formula>
    </cfRule>
  </conditionalFormatting>
  <conditionalFormatting sqref="AC26:AI26">
    <cfRule type="notContainsBlanks" dxfId="338" priority="194" stopIfTrue="1">
      <formula>LEN(TRIM(AC26))&gt;0</formula>
    </cfRule>
  </conditionalFormatting>
  <conditionalFormatting sqref="AC27:AI27">
    <cfRule type="containsBlanks" dxfId="337" priority="195" stopIfTrue="1">
      <formula>LEN(TRIM(AC27))=0</formula>
    </cfRule>
  </conditionalFormatting>
  <conditionalFormatting sqref="AC27:AI27">
    <cfRule type="notContainsBlanks" dxfId="336" priority="196" stopIfTrue="1">
      <formula>LEN(TRIM(AC27))&gt;0</formula>
    </cfRule>
  </conditionalFormatting>
  <conditionalFormatting sqref="AC28:AI28">
    <cfRule type="containsBlanks" dxfId="335" priority="197" stopIfTrue="1">
      <formula>LEN(TRIM(AC28))=0</formula>
    </cfRule>
  </conditionalFormatting>
  <conditionalFormatting sqref="AC28:AI28">
    <cfRule type="notContainsBlanks" dxfId="334" priority="198" stopIfTrue="1">
      <formula>LEN(TRIM(AC28))&gt;0</formula>
    </cfRule>
  </conditionalFormatting>
  <conditionalFormatting sqref="AC29:AI29">
    <cfRule type="containsBlanks" dxfId="333" priority="199" stopIfTrue="1">
      <formula>LEN(TRIM(AC29))=0</formula>
    </cfRule>
  </conditionalFormatting>
  <conditionalFormatting sqref="AC29:AI29">
    <cfRule type="notContainsBlanks" dxfId="332" priority="200" stopIfTrue="1">
      <formula>LEN(TRIM(AC29))&gt;0</formula>
    </cfRule>
  </conditionalFormatting>
  <conditionalFormatting sqref="AC31:AI31">
    <cfRule type="containsBlanks" dxfId="331" priority="201" stopIfTrue="1">
      <formula>LEN(TRIM(AC31))=0</formula>
    </cfRule>
  </conditionalFormatting>
  <conditionalFormatting sqref="AC31:AI31">
    <cfRule type="notContainsBlanks" dxfId="330" priority="202" stopIfTrue="1">
      <formula>LEN(TRIM(AC31))&gt;0</formula>
    </cfRule>
  </conditionalFormatting>
  <conditionalFormatting sqref="AC32:AI32">
    <cfRule type="containsBlanks" dxfId="329" priority="203" stopIfTrue="1">
      <formula>LEN(TRIM(AC32))=0</formula>
    </cfRule>
  </conditionalFormatting>
  <conditionalFormatting sqref="AC32:AI32">
    <cfRule type="notContainsBlanks" dxfId="328" priority="204" stopIfTrue="1">
      <formula>LEN(TRIM(AC32))&gt;0</formula>
    </cfRule>
  </conditionalFormatting>
  <conditionalFormatting sqref="AC33:AI33">
    <cfRule type="containsBlanks" dxfId="327" priority="205" stopIfTrue="1">
      <formula>LEN(TRIM(AC33))=0</formula>
    </cfRule>
  </conditionalFormatting>
  <conditionalFormatting sqref="AC33:AI33">
    <cfRule type="notContainsBlanks" dxfId="326" priority="206" stopIfTrue="1">
      <formula>LEN(TRIM(AC33))&gt;0</formula>
    </cfRule>
  </conditionalFormatting>
  <conditionalFormatting sqref="AC34:AI34">
    <cfRule type="containsBlanks" dxfId="325" priority="207" stopIfTrue="1">
      <formula>LEN(TRIM(AC34))=0</formula>
    </cfRule>
  </conditionalFormatting>
  <conditionalFormatting sqref="AC34:AI34">
    <cfRule type="notContainsBlanks" dxfId="324" priority="208" stopIfTrue="1">
      <formula>LEN(TRIM(AC34))&gt;0</formula>
    </cfRule>
  </conditionalFormatting>
  <conditionalFormatting sqref="AC35:AI35">
    <cfRule type="containsBlanks" dxfId="323" priority="209" stopIfTrue="1">
      <formula>LEN(TRIM(AC35))=0</formula>
    </cfRule>
  </conditionalFormatting>
  <conditionalFormatting sqref="AC35:AI35">
    <cfRule type="notContainsBlanks" dxfId="322" priority="210" stopIfTrue="1">
      <formula>LEN(TRIM(AC35))&gt;0</formula>
    </cfRule>
  </conditionalFormatting>
  <conditionalFormatting sqref="AC36:AI36">
    <cfRule type="containsBlanks" dxfId="321" priority="211" stopIfTrue="1">
      <formula>LEN(TRIM(AC36))=0</formula>
    </cfRule>
  </conditionalFormatting>
  <conditionalFormatting sqref="AC36:AI36">
    <cfRule type="notContainsBlanks" dxfId="320" priority="212" stopIfTrue="1">
      <formula>LEN(TRIM(AC36))&gt;0</formula>
    </cfRule>
  </conditionalFormatting>
  <conditionalFormatting sqref="AC37:AI37">
    <cfRule type="containsBlanks" dxfId="319" priority="213" stopIfTrue="1">
      <formula>LEN(TRIM(AC37))=0</formula>
    </cfRule>
  </conditionalFormatting>
  <conditionalFormatting sqref="AC37:AI37">
    <cfRule type="notContainsBlanks" dxfId="318" priority="214" stopIfTrue="1">
      <formula>LEN(TRIM(AC37))&gt;0</formula>
    </cfRule>
  </conditionalFormatting>
  <conditionalFormatting sqref="AC40:AI40">
    <cfRule type="containsBlanks" dxfId="317" priority="215" stopIfTrue="1">
      <formula>LEN(TRIM(AC40))=0</formula>
    </cfRule>
  </conditionalFormatting>
  <conditionalFormatting sqref="AC40:AI40">
    <cfRule type="notContainsBlanks" dxfId="316" priority="216" stopIfTrue="1">
      <formula>LEN(TRIM(AC40))&gt;0</formula>
    </cfRule>
  </conditionalFormatting>
  <conditionalFormatting sqref="AC41:AI41">
    <cfRule type="containsBlanks" dxfId="315" priority="217" stopIfTrue="1">
      <formula>LEN(TRIM(AC41))=0</formula>
    </cfRule>
  </conditionalFormatting>
  <conditionalFormatting sqref="AC41:AI41">
    <cfRule type="notContainsBlanks" dxfId="314" priority="218" stopIfTrue="1">
      <formula>LEN(TRIM(AC41))&gt;0</formula>
    </cfRule>
  </conditionalFormatting>
  <conditionalFormatting sqref="AC42:AI42">
    <cfRule type="containsBlanks" dxfId="313" priority="219" stopIfTrue="1">
      <formula>LEN(TRIM(AC42))=0</formula>
    </cfRule>
  </conditionalFormatting>
  <conditionalFormatting sqref="AC42:AI42">
    <cfRule type="notContainsBlanks" dxfId="312" priority="220" stopIfTrue="1">
      <formula>LEN(TRIM(AC42))&gt;0</formula>
    </cfRule>
  </conditionalFormatting>
  <conditionalFormatting sqref="AC43:AI43">
    <cfRule type="containsBlanks" dxfId="311" priority="221" stopIfTrue="1">
      <formula>LEN(TRIM(AC43))=0</formula>
    </cfRule>
  </conditionalFormatting>
  <conditionalFormatting sqref="AC43:AI43">
    <cfRule type="notContainsBlanks" dxfId="310" priority="222" stopIfTrue="1">
      <formula>LEN(TRIM(AC43))&gt;0</formula>
    </cfRule>
  </conditionalFormatting>
  <conditionalFormatting sqref="AC44:AI44">
    <cfRule type="containsBlanks" dxfId="309" priority="223" stopIfTrue="1">
      <formula>LEN(TRIM(AC44))=0</formula>
    </cfRule>
  </conditionalFormatting>
  <conditionalFormatting sqref="AC44:AI44">
    <cfRule type="notContainsBlanks" dxfId="308" priority="224" stopIfTrue="1">
      <formula>LEN(TRIM(AC44))&gt;0</formula>
    </cfRule>
  </conditionalFormatting>
  <conditionalFormatting sqref="AC45:AI45">
    <cfRule type="containsBlanks" dxfId="307" priority="225" stopIfTrue="1">
      <formula>LEN(TRIM(AC45))=0</formula>
    </cfRule>
  </conditionalFormatting>
  <conditionalFormatting sqref="AC45:AI45">
    <cfRule type="notContainsBlanks" dxfId="306" priority="226" stopIfTrue="1">
      <formula>LEN(TRIM(AC45))&gt;0</formula>
    </cfRule>
  </conditionalFormatting>
  <conditionalFormatting sqref="AC46:AI46">
    <cfRule type="containsBlanks" dxfId="305" priority="227" stopIfTrue="1">
      <formula>LEN(TRIM(AC46))=0</formula>
    </cfRule>
  </conditionalFormatting>
  <conditionalFormatting sqref="AC46:AI46">
    <cfRule type="notContainsBlanks" dxfId="304" priority="228" stopIfTrue="1">
      <formula>LEN(TRIM(AC46))&gt;0</formula>
    </cfRule>
  </conditionalFormatting>
  <conditionalFormatting sqref="AC47:AH47">
    <cfRule type="containsBlanks" dxfId="303" priority="229" stopIfTrue="1">
      <formula>LEN(TRIM(AC47))=0</formula>
    </cfRule>
  </conditionalFormatting>
  <conditionalFormatting sqref="AC47:AH47">
    <cfRule type="notContainsBlanks" dxfId="302" priority="230" stopIfTrue="1">
      <formula>LEN(TRIM(AC47))&gt;0</formula>
    </cfRule>
  </conditionalFormatting>
  <conditionalFormatting sqref="AO7:AU7">
    <cfRule type="containsBlanks" dxfId="301" priority="231" stopIfTrue="1">
      <formula>LEN(TRIM(AO7))=0</formula>
    </cfRule>
  </conditionalFormatting>
  <conditionalFormatting sqref="AO7:AU7">
    <cfRule type="notContainsBlanks" dxfId="300" priority="232" stopIfTrue="1">
      <formula>LEN(TRIM(AO7))&gt;0</formula>
    </cfRule>
  </conditionalFormatting>
  <conditionalFormatting sqref="AO8:AU8">
    <cfRule type="containsBlanks" dxfId="299" priority="233" stopIfTrue="1">
      <formula>LEN(TRIM(AO8))=0</formula>
    </cfRule>
  </conditionalFormatting>
  <conditionalFormatting sqref="AO8:AU8">
    <cfRule type="notContainsBlanks" dxfId="298" priority="234" stopIfTrue="1">
      <formula>LEN(TRIM(AO8))&gt;0</formula>
    </cfRule>
  </conditionalFormatting>
  <conditionalFormatting sqref="AO9:AU9">
    <cfRule type="containsBlanks" dxfId="297" priority="235" stopIfTrue="1">
      <formula>LEN(TRIM(AO9))=0</formula>
    </cfRule>
  </conditionalFormatting>
  <conditionalFormatting sqref="AO9:AU9">
    <cfRule type="notContainsBlanks" dxfId="296" priority="236" stopIfTrue="1">
      <formula>LEN(TRIM(AO9))&gt;0</formula>
    </cfRule>
  </conditionalFormatting>
  <conditionalFormatting sqref="AO10:AU10">
    <cfRule type="containsBlanks" dxfId="295" priority="237" stopIfTrue="1">
      <formula>LEN(TRIM(AO10))=0</formula>
    </cfRule>
  </conditionalFormatting>
  <conditionalFormatting sqref="AO10:AU10">
    <cfRule type="notContainsBlanks" dxfId="294" priority="238" stopIfTrue="1">
      <formula>LEN(TRIM(AO10))&gt;0</formula>
    </cfRule>
  </conditionalFormatting>
  <conditionalFormatting sqref="AO11:AU11">
    <cfRule type="containsBlanks" dxfId="293" priority="239" stopIfTrue="1">
      <formula>LEN(TRIM(AO11))=0</formula>
    </cfRule>
  </conditionalFormatting>
  <conditionalFormatting sqref="AO11:AU11">
    <cfRule type="notContainsBlanks" dxfId="292" priority="240" stopIfTrue="1">
      <formula>LEN(TRIM(AO11))&gt;0</formula>
    </cfRule>
  </conditionalFormatting>
  <conditionalFormatting sqref="AO12:AU12">
    <cfRule type="containsBlanks" dxfId="291" priority="241" stopIfTrue="1">
      <formula>LEN(TRIM(AO12))=0</formula>
    </cfRule>
  </conditionalFormatting>
  <conditionalFormatting sqref="AO12:AU12">
    <cfRule type="notContainsBlanks" dxfId="290" priority="242" stopIfTrue="1">
      <formula>LEN(TRIM(AO12))&gt;0</formula>
    </cfRule>
  </conditionalFormatting>
  <conditionalFormatting sqref="AO13:AU13">
    <cfRule type="containsBlanks" dxfId="289" priority="243" stopIfTrue="1">
      <formula>LEN(TRIM(AO13))=0</formula>
    </cfRule>
  </conditionalFormatting>
  <conditionalFormatting sqref="AO13:AU13">
    <cfRule type="notContainsBlanks" dxfId="288" priority="244" stopIfTrue="1">
      <formula>LEN(TRIM(AO13))&gt;0</formula>
    </cfRule>
  </conditionalFormatting>
  <conditionalFormatting sqref="AO15:AU15">
    <cfRule type="containsBlanks" dxfId="287" priority="245" stopIfTrue="1">
      <formula>LEN(TRIM(AO15))=0</formula>
    </cfRule>
  </conditionalFormatting>
  <conditionalFormatting sqref="AO15:AU15">
    <cfRule type="notContainsBlanks" dxfId="286" priority="246" stopIfTrue="1">
      <formula>LEN(TRIM(AO15))&gt;0</formula>
    </cfRule>
  </conditionalFormatting>
  <conditionalFormatting sqref="AO16:AU16">
    <cfRule type="containsBlanks" dxfId="285" priority="247" stopIfTrue="1">
      <formula>LEN(TRIM(AO16))=0</formula>
    </cfRule>
  </conditionalFormatting>
  <conditionalFormatting sqref="AO16:AU16">
    <cfRule type="notContainsBlanks" dxfId="284" priority="248" stopIfTrue="1">
      <formula>LEN(TRIM(AO16))&gt;0</formula>
    </cfRule>
  </conditionalFormatting>
  <conditionalFormatting sqref="AO17:AU17">
    <cfRule type="containsBlanks" dxfId="283" priority="249" stopIfTrue="1">
      <formula>LEN(TRIM(AO17))=0</formula>
    </cfRule>
  </conditionalFormatting>
  <conditionalFormatting sqref="AO17:AU17">
    <cfRule type="notContainsBlanks" dxfId="282" priority="250" stopIfTrue="1">
      <formula>LEN(TRIM(AO17))&gt;0</formula>
    </cfRule>
  </conditionalFormatting>
  <conditionalFormatting sqref="AO18:AU18">
    <cfRule type="containsBlanks" dxfId="281" priority="251" stopIfTrue="1">
      <formula>LEN(TRIM(AO18))=0</formula>
    </cfRule>
  </conditionalFormatting>
  <conditionalFormatting sqref="AO18:AU18">
    <cfRule type="notContainsBlanks" dxfId="280" priority="252" stopIfTrue="1">
      <formula>LEN(TRIM(AO18))&gt;0</formula>
    </cfRule>
  </conditionalFormatting>
  <conditionalFormatting sqref="AO19:AU19">
    <cfRule type="containsBlanks" dxfId="279" priority="253" stopIfTrue="1">
      <formula>LEN(TRIM(AO19))=0</formula>
    </cfRule>
  </conditionalFormatting>
  <conditionalFormatting sqref="AO19:AU19">
    <cfRule type="notContainsBlanks" dxfId="278" priority="254" stopIfTrue="1">
      <formula>LEN(TRIM(AO19))&gt;0</formula>
    </cfRule>
  </conditionalFormatting>
  <conditionalFormatting sqref="AO20:AU20">
    <cfRule type="containsBlanks" dxfId="277" priority="255" stopIfTrue="1">
      <formula>LEN(TRIM(AO20))=0</formula>
    </cfRule>
  </conditionalFormatting>
  <conditionalFormatting sqref="AO20:AU20">
    <cfRule type="notContainsBlanks" dxfId="276" priority="256" stopIfTrue="1">
      <formula>LEN(TRIM(AO20))&gt;0</formula>
    </cfRule>
  </conditionalFormatting>
  <conditionalFormatting sqref="AO21:AU21">
    <cfRule type="containsBlanks" dxfId="275" priority="257" stopIfTrue="1">
      <formula>LEN(TRIM(AO21))=0</formula>
    </cfRule>
  </conditionalFormatting>
  <conditionalFormatting sqref="AO21:AU21">
    <cfRule type="notContainsBlanks" dxfId="274" priority="258" stopIfTrue="1">
      <formula>LEN(TRIM(AO21))&gt;0</formula>
    </cfRule>
  </conditionalFormatting>
  <conditionalFormatting sqref="AO23:AU23">
    <cfRule type="containsBlanks" dxfId="273" priority="259" stopIfTrue="1">
      <formula>LEN(TRIM(AO23))=0</formula>
    </cfRule>
  </conditionalFormatting>
  <conditionalFormatting sqref="AO23:AU23">
    <cfRule type="notContainsBlanks" dxfId="272" priority="260" stopIfTrue="1">
      <formula>LEN(TRIM(AO23))&gt;0</formula>
    </cfRule>
  </conditionalFormatting>
  <conditionalFormatting sqref="AO24:AU24">
    <cfRule type="containsBlanks" dxfId="271" priority="261" stopIfTrue="1">
      <formula>LEN(TRIM(AO24))=0</formula>
    </cfRule>
  </conditionalFormatting>
  <conditionalFormatting sqref="AO24:AU24">
    <cfRule type="notContainsBlanks" dxfId="270" priority="262" stopIfTrue="1">
      <formula>LEN(TRIM(AO24))&gt;0</formula>
    </cfRule>
  </conditionalFormatting>
  <conditionalFormatting sqref="AO25:AU25">
    <cfRule type="containsBlanks" dxfId="269" priority="263" stopIfTrue="1">
      <formula>LEN(TRIM(AO25))=0</formula>
    </cfRule>
  </conditionalFormatting>
  <conditionalFormatting sqref="AO25:AU25">
    <cfRule type="notContainsBlanks" dxfId="268" priority="264" stopIfTrue="1">
      <formula>LEN(TRIM(AO25))&gt;0</formula>
    </cfRule>
  </conditionalFormatting>
  <conditionalFormatting sqref="AO26:AU26">
    <cfRule type="containsBlanks" dxfId="267" priority="265" stopIfTrue="1">
      <formula>LEN(TRIM(AO26))=0</formula>
    </cfRule>
  </conditionalFormatting>
  <conditionalFormatting sqref="AO26:AU26">
    <cfRule type="notContainsBlanks" dxfId="266" priority="266" stopIfTrue="1">
      <formula>LEN(TRIM(AO26))&gt;0</formula>
    </cfRule>
  </conditionalFormatting>
  <conditionalFormatting sqref="AO27:AU27">
    <cfRule type="containsBlanks" dxfId="265" priority="267" stopIfTrue="1">
      <formula>LEN(TRIM(AO27))=0</formula>
    </cfRule>
  </conditionalFormatting>
  <conditionalFormatting sqref="AO27:AU27">
    <cfRule type="notContainsBlanks" dxfId="264" priority="268" stopIfTrue="1">
      <formula>LEN(TRIM(AO27))&gt;0</formula>
    </cfRule>
  </conditionalFormatting>
  <conditionalFormatting sqref="AO28:AU28">
    <cfRule type="containsBlanks" dxfId="263" priority="269" stopIfTrue="1">
      <formula>LEN(TRIM(AO28))=0</formula>
    </cfRule>
  </conditionalFormatting>
  <conditionalFormatting sqref="AO28:AU28">
    <cfRule type="notContainsBlanks" dxfId="262" priority="270" stopIfTrue="1">
      <formula>LEN(TRIM(AO28))&gt;0</formula>
    </cfRule>
  </conditionalFormatting>
  <conditionalFormatting sqref="AO29:AU29">
    <cfRule type="containsBlanks" dxfId="261" priority="271" stopIfTrue="1">
      <formula>LEN(TRIM(AO29))=0</formula>
    </cfRule>
  </conditionalFormatting>
  <conditionalFormatting sqref="AO29:AU29">
    <cfRule type="notContainsBlanks" dxfId="260" priority="272" stopIfTrue="1">
      <formula>LEN(TRIM(AO29))&gt;0</formula>
    </cfRule>
  </conditionalFormatting>
  <conditionalFormatting sqref="AO31:AU31">
    <cfRule type="containsBlanks" dxfId="259" priority="273" stopIfTrue="1">
      <formula>LEN(TRIM(AO31))=0</formula>
    </cfRule>
  </conditionalFormatting>
  <conditionalFormatting sqref="AO31:AU31">
    <cfRule type="notContainsBlanks" dxfId="258" priority="274" stopIfTrue="1">
      <formula>LEN(TRIM(AO31))&gt;0</formula>
    </cfRule>
  </conditionalFormatting>
  <conditionalFormatting sqref="AO32:AU32">
    <cfRule type="containsBlanks" dxfId="257" priority="275" stopIfTrue="1">
      <formula>LEN(TRIM(AO32))=0</formula>
    </cfRule>
  </conditionalFormatting>
  <conditionalFormatting sqref="AO32:AU32">
    <cfRule type="notContainsBlanks" dxfId="256" priority="276" stopIfTrue="1">
      <formula>LEN(TRIM(AO32))&gt;0</formula>
    </cfRule>
  </conditionalFormatting>
  <conditionalFormatting sqref="AO33:AU33">
    <cfRule type="containsBlanks" dxfId="255" priority="277" stopIfTrue="1">
      <formula>LEN(TRIM(AO33))=0</formula>
    </cfRule>
  </conditionalFormatting>
  <conditionalFormatting sqref="AO33:AU33">
    <cfRule type="notContainsBlanks" dxfId="254" priority="278" stopIfTrue="1">
      <formula>LEN(TRIM(AO33))&gt;0</formula>
    </cfRule>
  </conditionalFormatting>
  <conditionalFormatting sqref="AO34:AU34">
    <cfRule type="containsBlanks" dxfId="253" priority="279" stopIfTrue="1">
      <formula>LEN(TRIM(AO34))=0</formula>
    </cfRule>
  </conditionalFormatting>
  <conditionalFormatting sqref="AO34:AU34">
    <cfRule type="notContainsBlanks" dxfId="252" priority="280" stopIfTrue="1">
      <formula>LEN(TRIM(AO34))&gt;0</formula>
    </cfRule>
  </conditionalFormatting>
  <conditionalFormatting sqref="AO35:AU35">
    <cfRule type="containsBlanks" dxfId="251" priority="281" stopIfTrue="1">
      <formula>LEN(TRIM(AO35))=0</formula>
    </cfRule>
  </conditionalFormatting>
  <conditionalFormatting sqref="AO35:AU35">
    <cfRule type="notContainsBlanks" dxfId="250" priority="282" stopIfTrue="1">
      <formula>LEN(TRIM(AO35))&gt;0</formula>
    </cfRule>
  </conditionalFormatting>
  <conditionalFormatting sqref="AO36:AU36">
    <cfRule type="containsBlanks" dxfId="249" priority="283" stopIfTrue="1">
      <formula>LEN(TRIM(AO36))=0</formula>
    </cfRule>
  </conditionalFormatting>
  <conditionalFormatting sqref="AO36:AU36">
    <cfRule type="notContainsBlanks" dxfId="248" priority="284" stopIfTrue="1">
      <formula>LEN(TRIM(AO36))&gt;0</formula>
    </cfRule>
  </conditionalFormatting>
  <conditionalFormatting sqref="AO37:AU37">
    <cfRule type="containsBlanks" dxfId="247" priority="285" stopIfTrue="1">
      <formula>LEN(TRIM(AO37))=0</formula>
    </cfRule>
  </conditionalFormatting>
  <conditionalFormatting sqref="AO37:AU37">
    <cfRule type="notContainsBlanks" dxfId="246" priority="286" stopIfTrue="1">
      <formula>LEN(TRIM(AO37))&gt;0</formula>
    </cfRule>
  </conditionalFormatting>
  <conditionalFormatting sqref="AO40:AU40">
    <cfRule type="containsBlanks" dxfId="245" priority="287" stopIfTrue="1">
      <formula>LEN(TRIM(AO40))=0</formula>
    </cfRule>
  </conditionalFormatting>
  <conditionalFormatting sqref="AO40:AU40">
    <cfRule type="notContainsBlanks" dxfId="244" priority="288" stopIfTrue="1">
      <formula>LEN(TRIM(AO40))&gt;0</formula>
    </cfRule>
  </conditionalFormatting>
  <conditionalFormatting sqref="AO41:AU41">
    <cfRule type="containsBlanks" dxfId="243" priority="289" stopIfTrue="1">
      <formula>LEN(TRIM(AO41))=0</formula>
    </cfRule>
  </conditionalFormatting>
  <conditionalFormatting sqref="AO41:AU41">
    <cfRule type="notContainsBlanks" dxfId="242" priority="290" stopIfTrue="1">
      <formula>LEN(TRIM(AO41))&gt;0</formula>
    </cfRule>
  </conditionalFormatting>
  <conditionalFormatting sqref="AO42:AU42">
    <cfRule type="containsBlanks" dxfId="241" priority="291" stopIfTrue="1">
      <formula>LEN(TRIM(AO42))=0</formula>
    </cfRule>
  </conditionalFormatting>
  <conditionalFormatting sqref="AO42:AU42">
    <cfRule type="notContainsBlanks" dxfId="240" priority="292" stopIfTrue="1">
      <formula>LEN(TRIM(AO42))&gt;0</formula>
    </cfRule>
  </conditionalFormatting>
  <conditionalFormatting sqref="AO43:AU43">
    <cfRule type="containsBlanks" dxfId="239" priority="293" stopIfTrue="1">
      <formula>LEN(TRIM(AO43))=0</formula>
    </cfRule>
  </conditionalFormatting>
  <conditionalFormatting sqref="AO43:AU43">
    <cfRule type="notContainsBlanks" dxfId="238" priority="294" stopIfTrue="1">
      <formula>LEN(TRIM(AO43))&gt;0</formula>
    </cfRule>
  </conditionalFormatting>
  <conditionalFormatting sqref="AO44:AU44">
    <cfRule type="containsBlanks" dxfId="237" priority="295" stopIfTrue="1">
      <formula>LEN(TRIM(AO44))=0</formula>
    </cfRule>
  </conditionalFormatting>
  <conditionalFormatting sqref="AO44:AU44">
    <cfRule type="notContainsBlanks" dxfId="236" priority="296" stopIfTrue="1">
      <formula>LEN(TRIM(AO44))&gt;0</formula>
    </cfRule>
  </conditionalFormatting>
  <conditionalFormatting sqref="AO45:AU45">
    <cfRule type="containsBlanks" dxfId="235" priority="297" stopIfTrue="1">
      <formula>LEN(TRIM(AO45))=0</formula>
    </cfRule>
  </conditionalFormatting>
  <conditionalFormatting sqref="AO45:AU45">
    <cfRule type="notContainsBlanks" dxfId="234" priority="298" stopIfTrue="1">
      <formula>LEN(TRIM(AO45))&gt;0</formula>
    </cfRule>
  </conditionalFormatting>
  <conditionalFormatting sqref="AO46:AU46">
    <cfRule type="containsBlanks" dxfId="233" priority="299" stopIfTrue="1">
      <formula>LEN(TRIM(AO46))=0</formula>
    </cfRule>
  </conditionalFormatting>
  <conditionalFormatting sqref="AO46:AU46">
    <cfRule type="notContainsBlanks" dxfId="232" priority="300" stopIfTrue="1">
      <formula>LEN(TRIM(AO46))&gt;0</formula>
    </cfRule>
  </conditionalFormatting>
  <conditionalFormatting sqref="AO47:AT47">
    <cfRule type="containsBlanks" dxfId="231" priority="301" stopIfTrue="1">
      <formula>LEN(TRIM(AO47))=0</formula>
    </cfRule>
  </conditionalFormatting>
  <conditionalFormatting sqref="AO47:AT47">
    <cfRule type="notContainsBlanks" dxfId="230" priority="302" stopIfTrue="1">
      <formula>LEN(TRIM(AO47))&gt;0</formula>
    </cfRule>
  </conditionalFormatting>
  <conditionalFormatting sqref="BA7:BG7">
    <cfRule type="containsBlanks" dxfId="229" priority="303" stopIfTrue="1">
      <formula>LEN(TRIM(BA7))=0</formula>
    </cfRule>
  </conditionalFormatting>
  <conditionalFormatting sqref="BA7:BG7">
    <cfRule type="notContainsBlanks" dxfId="228" priority="304" stopIfTrue="1">
      <formula>LEN(TRIM(BA7))&gt;0</formula>
    </cfRule>
  </conditionalFormatting>
  <conditionalFormatting sqref="BA8:BG8">
    <cfRule type="containsBlanks" dxfId="227" priority="305" stopIfTrue="1">
      <formula>LEN(TRIM(BA8))=0</formula>
    </cfRule>
  </conditionalFormatting>
  <conditionalFormatting sqref="BA8:BG8">
    <cfRule type="notContainsBlanks" dxfId="226" priority="306" stopIfTrue="1">
      <formula>LEN(TRIM(BA8))&gt;0</formula>
    </cfRule>
  </conditionalFormatting>
  <conditionalFormatting sqref="BA9:BG9">
    <cfRule type="containsBlanks" dxfId="225" priority="307" stopIfTrue="1">
      <formula>LEN(TRIM(BA9))=0</formula>
    </cfRule>
  </conditionalFormatting>
  <conditionalFormatting sqref="BA9:BG9">
    <cfRule type="notContainsBlanks" dxfId="224" priority="308" stopIfTrue="1">
      <formula>LEN(TRIM(BA9))&gt;0</formula>
    </cfRule>
  </conditionalFormatting>
  <conditionalFormatting sqref="BA10:BG10">
    <cfRule type="containsBlanks" dxfId="223" priority="309" stopIfTrue="1">
      <formula>LEN(TRIM(BA10))=0</formula>
    </cfRule>
  </conditionalFormatting>
  <conditionalFormatting sqref="BA10:BG10">
    <cfRule type="notContainsBlanks" dxfId="222" priority="310" stopIfTrue="1">
      <formula>LEN(TRIM(BA10))&gt;0</formula>
    </cfRule>
  </conditionalFormatting>
  <conditionalFormatting sqref="BA11:BG11">
    <cfRule type="containsBlanks" dxfId="221" priority="311" stopIfTrue="1">
      <formula>LEN(TRIM(BA11))=0</formula>
    </cfRule>
  </conditionalFormatting>
  <conditionalFormatting sqref="BA11:BG11">
    <cfRule type="notContainsBlanks" dxfId="220" priority="312" stopIfTrue="1">
      <formula>LEN(TRIM(BA11))&gt;0</formula>
    </cfRule>
  </conditionalFormatting>
  <conditionalFormatting sqref="BA12:BG12">
    <cfRule type="containsBlanks" dxfId="219" priority="313" stopIfTrue="1">
      <formula>LEN(TRIM(BA12))=0</formula>
    </cfRule>
  </conditionalFormatting>
  <conditionalFormatting sqref="BA12:BG12">
    <cfRule type="notContainsBlanks" dxfId="218" priority="314" stopIfTrue="1">
      <formula>LEN(TRIM(BA12))&gt;0</formula>
    </cfRule>
  </conditionalFormatting>
  <conditionalFormatting sqref="BA13:BG13">
    <cfRule type="containsBlanks" dxfId="217" priority="315" stopIfTrue="1">
      <formula>LEN(TRIM(BA13))=0</formula>
    </cfRule>
  </conditionalFormatting>
  <conditionalFormatting sqref="BA13:BG13">
    <cfRule type="notContainsBlanks" dxfId="216" priority="316" stopIfTrue="1">
      <formula>LEN(TRIM(BA13))&gt;0</formula>
    </cfRule>
  </conditionalFormatting>
  <conditionalFormatting sqref="BA15:BG15">
    <cfRule type="containsBlanks" dxfId="215" priority="317" stopIfTrue="1">
      <formula>LEN(TRIM(BA15))=0</formula>
    </cfRule>
  </conditionalFormatting>
  <conditionalFormatting sqref="BA15:BG15">
    <cfRule type="notContainsBlanks" dxfId="214" priority="318" stopIfTrue="1">
      <formula>LEN(TRIM(BA15))&gt;0</formula>
    </cfRule>
  </conditionalFormatting>
  <conditionalFormatting sqref="BA16:BG16">
    <cfRule type="containsBlanks" dxfId="213" priority="319" stopIfTrue="1">
      <formula>LEN(TRIM(BA16))=0</formula>
    </cfRule>
  </conditionalFormatting>
  <conditionalFormatting sqref="BA16:BG16">
    <cfRule type="notContainsBlanks" dxfId="212" priority="320" stopIfTrue="1">
      <formula>LEN(TRIM(BA16))&gt;0</formula>
    </cfRule>
  </conditionalFormatting>
  <conditionalFormatting sqref="BA17:BG17">
    <cfRule type="containsBlanks" dxfId="211" priority="321" stopIfTrue="1">
      <formula>LEN(TRIM(BA17))=0</formula>
    </cfRule>
  </conditionalFormatting>
  <conditionalFormatting sqref="BA17:BG17">
    <cfRule type="notContainsBlanks" dxfId="210" priority="322" stopIfTrue="1">
      <formula>LEN(TRIM(BA17))&gt;0</formula>
    </cfRule>
  </conditionalFormatting>
  <conditionalFormatting sqref="BA18:BG18">
    <cfRule type="containsBlanks" dxfId="209" priority="323" stopIfTrue="1">
      <formula>LEN(TRIM(BA18))=0</formula>
    </cfRule>
  </conditionalFormatting>
  <conditionalFormatting sqref="BA18:BG18">
    <cfRule type="notContainsBlanks" dxfId="208" priority="324" stopIfTrue="1">
      <formula>LEN(TRIM(BA18))&gt;0</formula>
    </cfRule>
  </conditionalFormatting>
  <conditionalFormatting sqref="BA19:BG19">
    <cfRule type="containsBlanks" dxfId="207" priority="325" stopIfTrue="1">
      <formula>LEN(TRIM(BA19))=0</formula>
    </cfRule>
  </conditionalFormatting>
  <conditionalFormatting sqref="BA19:BG19">
    <cfRule type="notContainsBlanks" dxfId="206" priority="326" stopIfTrue="1">
      <formula>LEN(TRIM(BA19))&gt;0</formula>
    </cfRule>
  </conditionalFormatting>
  <conditionalFormatting sqref="BA20:BG20">
    <cfRule type="containsBlanks" dxfId="205" priority="327" stopIfTrue="1">
      <formula>LEN(TRIM(BA20))=0</formula>
    </cfRule>
  </conditionalFormatting>
  <conditionalFormatting sqref="BA20:BG20">
    <cfRule type="notContainsBlanks" dxfId="204" priority="328" stopIfTrue="1">
      <formula>LEN(TRIM(BA20))&gt;0</formula>
    </cfRule>
  </conditionalFormatting>
  <conditionalFormatting sqref="BA21:BG21">
    <cfRule type="containsBlanks" dxfId="203" priority="329" stopIfTrue="1">
      <formula>LEN(TRIM(BA21))=0</formula>
    </cfRule>
  </conditionalFormatting>
  <conditionalFormatting sqref="BA21:BG21">
    <cfRule type="notContainsBlanks" dxfId="202" priority="330" stopIfTrue="1">
      <formula>LEN(TRIM(BA21))&gt;0</formula>
    </cfRule>
  </conditionalFormatting>
  <conditionalFormatting sqref="BA23:BG23">
    <cfRule type="containsBlanks" dxfId="201" priority="331" stopIfTrue="1">
      <formula>LEN(TRIM(BA23))=0</formula>
    </cfRule>
  </conditionalFormatting>
  <conditionalFormatting sqref="BA23:BG23">
    <cfRule type="notContainsBlanks" dxfId="200" priority="332" stopIfTrue="1">
      <formula>LEN(TRIM(BA23))&gt;0</formula>
    </cfRule>
  </conditionalFormatting>
  <conditionalFormatting sqref="BA24:BG24">
    <cfRule type="containsBlanks" dxfId="199" priority="333" stopIfTrue="1">
      <formula>LEN(TRIM(BA24))=0</formula>
    </cfRule>
  </conditionalFormatting>
  <conditionalFormatting sqref="BA24:BG24">
    <cfRule type="notContainsBlanks" dxfId="198" priority="334" stopIfTrue="1">
      <formula>LEN(TRIM(BA24))&gt;0</formula>
    </cfRule>
  </conditionalFormatting>
  <conditionalFormatting sqref="BA25:BG25">
    <cfRule type="containsBlanks" dxfId="197" priority="335" stopIfTrue="1">
      <formula>LEN(TRIM(BA25))=0</formula>
    </cfRule>
  </conditionalFormatting>
  <conditionalFormatting sqref="BA25:BG25">
    <cfRule type="notContainsBlanks" dxfId="196" priority="336" stopIfTrue="1">
      <formula>LEN(TRIM(BA25))&gt;0</formula>
    </cfRule>
  </conditionalFormatting>
  <conditionalFormatting sqref="BA26:BG26">
    <cfRule type="containsBlanks" dxfId="195" priority="337" stopIfTrue="1">
      <formula>LEN(TRIM(BA26))=0</formula>
    </cfRule>
  </conditionalFormatting>
  <conditionalFormatting sqref="BA26:BG26">
    <cfRule type="notContainsBlanks" dxfId="194" priority="338" stopIfTrue="1">
      <formula>LEN(TRIM(BA26))&gt;0</formula>
    </cfRule>
  </conditionalFormatting>
  <conditionalFormatting sqref="BA27:BG27">
    <cfRule type="containsBlanks" dxfId="193" priority="339" stopIfTrue="1">
      <formula>LEN(TRIM(BA27))=0</formula>
    </cfRule>
  </conditionalFormatting>
  <conditionalFormatting sqref="BA27:BG27">
    <cfRule type="notContainsBlanks" dxfId="192" priority="340" stopIfTrue="1">
      <formula>LEN(TRIM(BA27))&gt;0</formula>
    </cfRule>
  </conditionalFormatting>
  <conditionalFormatting sqref="BA28:BG28">
    <cfRule type="containsBlanks" dxfId="191" priority="341" stopIfTrue="1">
      <formula>LEN(TRIM(BA28))=0</formula>
    </cfRule>
  </conditionalFormatting>
  <conditionalFormatting sqref="BA28:BG28">
    <cfRule type="notContainsBlanks" dxfId="190" priority="342" stopIfTrue="1">
      <formula>LEN(TRIM(BA28))&gt;0</formula>
    </cfRule>
  </conditionalFormatting>
  <conditionalFormatting sqref="BA29:BG29">
    <cfRule type="containsBlanks" dxfId="189" priority="343" stopIfTrue="1">
      <formula>LEN(TRIM(BA29))=0</formula>
    </cfRule>
  </conditionalFormatting>
  <conditionalFormatting sqref="BA29:BG29">
    <cfRule type="notContainsBlanks" dxfId="188" priority="344" stopIfTrue="1">
      <formula>LEN(TRIM(BA29))&gt;0</formula>
    </cfRule>
  </conditionalFormatting>
  <conditionalFormatting sqref="BA31:BG31">
    <cfRule type="containsBlanks" dxfId="187" priority="345" stopIfTrue="1">
      <formula>LEN(TRIM(BA31))=0</formula>
    </cfRule>
  </conditionalFormatting>
  <conditionalFormatting sqref="BA31:BG31">
    <cfRule type="notContainsBlanks" dxfId="186" priority="346" stopIfTrue="1">
      <formula>LEN(TRIM(BA31))&gt;0</formula>
    </cfRule>
  </conditionalFormatting>
  <conditionalFormatting sqref="BA32:BG32">
    <cfRule type="containsBlanks" dxfId="185" priority="347" stopIfTrue="1">
      <formula>LEN(TRIM(BA32))=0</formula>
    </cfRule>
  </conditionalFormatting>
  <conditionalFormatting sqref="BA32:BG32">
    <cfRule type="notContainsBlanks" dxfId="184" priority="348" stopIfTrue="1">
      <formula>LEN(TRIM(BA32))&gt;0</formula>
    </cfRule>
  </conditionalFormatting>
  <conditionalFormatting sqref="BA33:BG33">
    <cfRule type="containsBlanks" dxfId="183" priority="349" stopIfTrue="1">
      <formula>LEN(TRIM(BA33))=0</formula>
    </cfRule>
  </conditionalFormatting>
  <conditionalFormatting sqref="BA33:BG33">
    <cfRule type="notContainsBlanks" dxfId="182" priority="350" stopIfTrue="1">
      <formula>LEN(TRIM(BA33))&gt;0</formula>
    </cfRule>
  </conditionalFormatting>
  <conditionalFormatting sqref="BA34:BG34">
    <cfRule type="containsBlanks" dxfId="181" priority="351" stopIfTrue="1">
      <formula>LEN(TRIM(BA34))=0</formula>
    </cfRule>
  </conditionalFormatting>
  <conditionalFormatting sqref="BA34:BG34">
    <cfRule type="notContainsBlanks" dxfId="180" priority="352" stopIfTrue="1">
      <formula>LEN(TRIM(BA34))&gt;0</formula>
    </cfRule>
  </conditionalFormatting>
  <conditionalFormatting sqref="BA35:BG35">
    <cfRule type="containsBlanks" dxfId="179" priority="353" stopIfTrue="1">
      <formula>LEN(TRIM(BA35))=0</formula>
    </cfRule>
  </conditionalFormatting>
  <conditionalFormatting sqref="BA35:BG35">
    <cfRule type="notContainsBlanks" dxfId="178" priority="354" stopIfTrue="1">
      <formula>LEN(TRIM(BA35))&gt;0</formula>
    </cfRule>
  </conditionalFormatting>
  <conditionalFormatting sqref="BA36:BG36">
    <cfRule type="containsBlanks" dxfId="177" priority="355" stopIfTrue="1">
      <formula>LEN(TRIM(BA36))=0</formula>
    </cfRule>
  </conditionalFormatting>
  <conditionalFormatting sqref="BA36:BG36">
    <cfRule type="notContainsBlanks" dxfId="176" priority="356" stopIfTrue="1">
      <formula>LEN(TRIM(BA36))&gt;0</formula>
    </cfRule>
  </conditionalFormatting>
  <conditionalFormatting sqref="BA37:BG37">
    <cfRule type="containsBlanks" dxfId="175" priority="357" stopIfTrue="1">
      <formula>LEN(TRIM(BA37))=0</formula>
    </cfRule>
  </conditionalFormatting>
  <conditionalFormatting sqref="BA37:BG37">
    <cfRule type="notContainsBlanks" dxfId="174" priority="358" stopIfTrue="1">
      <formula>LEN(TRIM(BA37))&gt;0</formula>
    </cfRule>
  </conditionalFormatting>
  <conditionalFormatting sqref="BA40:BG40">
    <cfRule type="containsBlanks" dxfId="173" priority="359" stopIfTrue="1">
      <formula>LEN(TRIM(BA40))=0</formula>
    </cfRule>
  </conditionalFormatting>
  <conditionalFormatting sqref="BA40:BG40">
    <cfRule type="notContainsBlanks" dxfId="172" priority="360" stopIfTrue="1">
      <formula>LEN(TRIM(BA40))&gt;0</formula>
    </cfRule>
  </conditionalFormatting>
  <conditionalFormatting sqref="BA41:BG41">
    <cfRule type="containsBlanks" dxfId="171" priority="361" stopIfTrue="1">
      <formula>LEN(TRIM(BA41))=0</formula>
    </cfRule>
  </conditionalFormatting>
  <conditionalFormatting sqref="BA41:BG41">
    <cfRule type="notContainsBlanks" dxfId="170" priority="362" stopIfTrue="1">
      <formula>LEN(TRIM(BA41))&gt;0</formula>
    </cfRule>
  </conditionalFormatting>
  <conditionalFormatting sqref="BA42:BG42">
    <cfRule type="containsBlanks" dxfId="169" priority="363" stopIfTrue="1">
      <formula>LEN(TRIM(BA42))=0</formula>
    </cfRule>
  </conditionalFormatting>
  <conditionalFormatting sqref="BA42:BG42">
    <cfRule type="notContainsBlanks" dxfId="168" priority="364" stopIfTrue="1">
      <formula>LEN(TRIM(BA42))&gt;0</formula>
    </cfRule>
  </conditionalFormatting>
  <conditionalFormatting sqref="BA43:BG43">
    <cfRule type="containsBlanks" dxfId="167" priority="365" stopIfTrue="1">
      <formula>LEN(TRIM(BA43))=0</formula>
    </cfRule>
  </conditionalFormatting>
  <conditionalFormatting sqref="BA43:BG43">
    <cfRule type="notContainsBlanks" dxfId="166" priority="366" stopIfTrue="1">
      <formula>LEN(TRIM(BA43))&gt;0</formula>
    </cfRule>
  </conditionalFormatting>
  <conditionalFormatting sqref="BA44:BG44">
    <cfRule type="containsBlanks" dxfId="165" priority="367" stopIfTrue="1">
      <formula>LEN(TRIM(BA44))=0</formula>
    </cfRule>
  </conditionalFormatting>
  <conditionalFormatting sqref="BA44:BG44">
    <cfRule type="notContainsBlanks" dxfId="164" priority="368" stopIfTrue="1">
      <formula>LEN(TRIM(BA44))&gt;0</formula>
    </cfRule>
  </conditionalFormatting>
  <conditionalFormatting sqref="BA45:BG45">
    <cfRule type="containsBlanks" dxfId="163" priority="369" stopIfTrue="1">
      <formula>LEN(TRIM(BA45))=0</formula>
    </cfRule>
  </conditionalFormatting>
  <conditionalFormatting sqref="BA45:BG45">
    <cfRule type="notContainsBlanks" dxfId="162" priority="370" stopIfTrue="1">
      <formula>LEN(TRIM(BA45))&gt;0</formula>
    </cfRule>
  </conditionalFormatting>
  <conditionalFormatting sqref="BA46:BG46">
    <cfRule type="containsBlanks" dxfId="161" priority="371" stopIfTrue="1">
      <formula>LEN(TRIM(BA46))=0</formula>
    </cfRule>
  </conditionalFormatting>
  <conditionalFormatting sqref="BA46:BG46">
    <cfRule type="notContainsBlanks" dxfId="160" priority="372" stopIfTrue="1">
      <formula>LEN(TRIM(BA46))&gt;0</formula>
    </cfRule>
  </conditionalFormatting>
  <conditionalFormatting sqref="BA47:BF47">
    <cfRule type="containsBlanks" dxfId="159" priority="373" stopIfTrue="1">
      <formula>LEN(TRIM(BA47))=0</formula>
    </cfRule>
  </conditionalFormatting>
  <conditionalFormatting sqref="BA47:BF47">
    <cfRule type="notContainsBlanks" dxfId="158" priority="374" stopIfTrue="1">
      <formula>LEN(TRIM(BA47))&gt;0</formula>
    </cfRule>
  </conditionalFormatting>
  <conditionalFormatting sqref="BM7:BS7">
    <cfRule type="containsBlanks" dxfId="157" priority="375" stopIfTrue="1">
      <formula>LEN(TRIM(BM7))=0</formula>
    </cfRule>
  </conditionalFormatting>
  <conditionalFormatting sqref="BM7:BS7">
    <cfRule type="notContainsBlanks" dxfId="156" priority="376" stopIfTrue="1">
      <formula>LEN(TRIM(BM7))&gt;0</formula>
    </cfRule>
  </conditionalFormatting>
  <conditionalFormatting sqref="BM8:BS8">
    <cfRule type="containsBlanks" dxfId="155" priority="377" stopIfTrue="1">
      <formula>LEN(TRIM(BM8))=0</formula>
    </cfRule>
  </conditionalFormatting>
  <conditionalFormatting sqref="BM8:BS8">
    <cfRule type="notContainsBlanks" dxfId="154" priority="378" stopIfTrue="1">
      <formula>LEN(TRIM(BM8))&gt;0</formula>
    </cfRule>
  </conditionalFormatting>
  <conditionalFormatting sqref="BM9:BS9">
    <cfRule type="containsBlanks" dxfId="153" priority="379" stopIfTrue="1">
      <formula>LEN(TRIM(BM9))=0</formula>
    </cfRule>
  </conditionalFormatting>
  <conditionalFormatting sqref="BM9:BS9">
    <cfRule type="notContainsBlanks" dxfId="152" priority="380" stopIfTrue="1">
      <formula>LEN(TRIM(BM9))&gt;0</formula>
    </cfRule>
  </conditionalFormatting>
  <conditionalFormatting sqref="BM10:BS10">
    <cfRule type="containsBlanks" dxfId="151" priority="381" stopIfTrue="1">
      <formula>LEN(TRIM(BM10))=0</formula>
    </cfRule>
  </conditionalFormatting>
  <conditionalFormatting sqref="BM10:BS10">
    <cfRule type="notContainsBlanks" dxfId="150" priority="382" stopIfTrue="1">
      <formula>LEN(TRIM(BM10))&gt;0</formula>
    </cfRule>
  </conditionalFormatting>
  <conditionalFormatting sqref="BM11:BS11">
    <cfRule type="containsBlanks" dxfId="149" priority="383" stopIfTrue="1">
      <formula>LEN(TRIM(BM11))=0</formula>
    </cfRule>
  </conditionalFormatting>
  <conditionalFormatting sqref="BM11:BS11">
    <cfRule type="notContainsBlanks" dxfId="148" priority="384" stopIfTrue="1">
      <formula>LEN(TRIM(BM11))&gt;0</formula>
    </cfRule>
  </conditionalFormatting>
  <conditionalFormatting sqref="BM12:BS12">
    <cfRule type="containsBlanks" dxfId="147" priority="385" stopIfTrue="1">
      <formula>LEN(TRIM(BM12))=0</formula>
    </cfRule>
  </conditionalFormatting>
  <conditionalFormatting sqref="BM12:BS12">
    <cfRule type="notContainsBlanks" dxfId="146" priority="386" stopIfTrue="1">
      <formula>LEN(TRIM(BM12))&gt;0</formula>
    </cfRule>
  </conditionalFormatting>
  <conditionalFormatting sqref="BM13:BS13">
    <cfRule type="containsBlanks" dxfId="145" priority="387" stopIfTrue="1">
      <formula>LEN(TRIM(BM13))=0</formula>
    </cfRule>
  </conditionalFormatting>
  <conditionalFormatting sqref="BM13:BS13">
    <cfRule type="notContainsBlanks" dxfId="144" priority="388" stopIfTrue="1">
      <formula>LEN(TRIM(BM13))&gt;0</formula>
    </cfRule>
  </conditionalFormatting>
  <conditionalFormatting sqref="BM15:BS15">
    <cfRule type="containsBlanks" dxfId="143" priority="389" stopIfTrue="1">
      <formula>LEN(TRIM(BM15))=0</formula>
    </cfRule>
  </conditionalFormatting>
  <conditionalFormatting sqref="BM15:BS15">
    <cfRule type="notContainsBlanks" dxfId="142" priority="390" stopIfTrue="1">
      <formula>LEN(TRIM(BM15))&gt;0</formula>
    </cfRule>
  </conditionalFormatting>
  <conditionalFormatting sqref="BM16:BS16">
    <cfRule type="containsBlanks" dxfId="141" priority="391" stopIfTrue="1">
      <formula>LEN(TRIM(BM16))=0</formula>
    </cfRule>
  </conditionalFormatting>
  <conditionalFormatting sqref="BM16:BS16">
    <cfRule type="notContainsBlanks" dxfId="140" priority="392" stopIfTrue="1">
      <formula>LEN(TRIM(BM16))&gt;0</formula>
    </cfRule>
  </conditionalFormatting>
  <conditionalFormatting sqref="BM17:BS17">
    <cfRule type="containsBlanks" dxfId="139" priority="393" stopIfTrue="1">
      <formula>LEN(TRIM(BM17))=0</formula>
    </cfRule>
  </conditionalFormatting>
  <conditionalFormatting sqref="BM17:BS17">
    <cfRule type="notContainsBlanks" dxfId="138" priority="394" stopIfTrue="1">
      <formula>LEN(TRIM(BM17))&gt;0</formula>
    </cfRule>
  </conditionalFormatting>
  <conditionalFormatting sqref="BM18:BS18">
    <cfRule type="containsBlanks" dxfId="137" priority="395" stopIfTrue="1">
      <formula>LEN(TRIM(BM18))=0</formula>
    </cfRule>
  </conditionalFormatting>
  <conditionalFormatting sqref="BM18:BS18">
    <cfRule type="notContainsBlanks" dxfId="136" priority="396" stopIfTrue="1">
      <formula>LEN(TRIM(BM18))&gt;0</formula>
    </cfRule>
  </conditionalFormatting>
  <conditionalFormatting sqref="BM19:BS19">
    <cfRule type="containsBlanks" dxfId="135" priority="397" stopIfTrue="1">
      <formula>LEN(TRIM(BM19))=0</formula>
    </cfRule>
  </conditionalFormatting>
  <conditionalFormatting sqref="BM19:BS19">
    <cfRule type="notContainsBlanks" dxfId="134" priority="398" stopIfTrue="1">
      <formula>LEN(TRIM(BM19))&gt;0</formula>
    </cfRule>
  </conditionalFormatting>
  <conditionalFormatting sqref="BM20:BS20">
    <cfRule type="containsBlanks" dxfId="133" priority="399" stopIfTrue="1">
      <formula>LEN(TRIM(BM20))=0</formula>
    </cfRule>
  </conditionalFormatting>
  <conditionalFormatting sqref="BM20:BS20">
    <cfRule type="notContainsBlanks" dxfId="132" priority="400" stopIfTrue="1">
      <formula>LEN(TRIM(BM20))&gt;0</formula>
    </cfRule>
  </conditionalFormatting>
  <conditionalFormatting sqref="BM21:BS21">
    <cfRule type="containsBlanks" dxfId="131" priority="401" stopIfTrue="1">
      <formula>LEN(TRIM(BM21))=0</formula>
    </cfRule>
  </conditionalFormatting>
  <conditionalFormatting sqref="BM21:BS21">
    <cfRule type="notContainsBlanks" dxfId="130" priority="402" stopIfTrue="1">
      <formula>LEN(TRIM(BM21))&gt;0</formula>
    </cfRule>
  </conditionalFormatting>
  <conditionalFormatting sqref="BM23:BS23">
    <cfRule type="containsBlanks" dxfId="129" priority="403" stopIfTrue="1">
      <formula>LEN(TRIM(BM23))=0</formula>
    </cfRule>
  </conditionalFormatting>
  <conditionalFormatting sqref="BM23:BS23">
    <cfRule type="notContainsBlanks" dxfId="128" priority="404" stopIfTrue="1">
      <formula>LEN(TRIM(BM23))&gt;0</formula>
    </cfRule>
  </conditionalFormatting>
  <conditionalFormatting sqref="BM24:BS24">
    <cfRule type="containsBlanks" dxfId="127" priority="405" stopIfTrue="1">
      <formula>LEN(TRIM(BM24))=0</formula>
    </cfRule>
  </conditionalFormatting>
  <conditionalFormatting sqref="BM24:BS24">
    <cfRule type="notContainsBlanks" dxfId="126" priority="406" stopIfTrue="1">
      <formula>LEN(TRIM(BM24))&gt;0</formula>
    </cfRule>
  </conditionalFormatting>
  <conditionalFormatting sqref="BM25:BS25">
    <cfRule type="containsBlanks" dxfId="125" priority="407" stopIfTrue="1">
      <formula>LEN(TRIM(BM25))=0</formula>
    </cfRule>
  </conditionalFormatting>
  <conditionalFormatting sqref="BM25:BS25">
    <cfRule type="notContainsBlanks" dxfId="124" priority="408" stopIfTrue="1">
      <formula>LEN(TRIM(BM25))&gt;0</formula>
    </cfRule>
  </conditionalFormatting>
  <conditionalFormatting sqref="BM26:BS26">
    <cfRule type="containsBlanks" dxfId="123" priority="409" stopIfTrue="1">
      <formula>LEN(TRIM(BM26))=0</formula>
    </cfRule>
  </conditionalFormatting>
  <conditionalFormatting sqref="BM26:BS26">
    <cfRule type="notContainsBlanks" dxfId="122" priority="410" stopIfTrue="1">
      <formula>LEN(TRIM(BM26))&gt;0</formula>
    </cfRule>
  </conditionalFormatting>
  <conditionalFormatting sqref="BM27:BS27">
    <cfRule type="containsBlanks" dxfId="121" priority="411" stopIfTrue="1">
      <formula>LEN(TRIM(BM27))=0</formula>
    </cfRule>
  </conditionalFormatting>
  <conditionalFormatting sqref="BM27:BS27">
    <cfRule type="notContainsBlanks" dxfId="120" priority="412" stopIfTrue="1">
      <formula>LEN(TRIM(BM27))&gt;0</formula>
    </cfRule>
  </conditionalFormatting>
  <conditionalFormatting sqref="BM28:BS28">
    <cfRule type="containsBlanks" dxfId="119" priority="413" stopIfTrue="1">
      <formula>LEN(TRIM(BM28))=0</formula>
    </cfRule>
  </conditionalFormatting>
  <conditionalFormatting sqref="BM28:BS28">
    <cfRule type="notContainsBlanks" dxfId="118" priority="414" stopIfTrue="1">
      <formula>LEN(TRIM(BM28))&gt;0</formula>
    </cfRule>
  </conditionalFormatting>
  <conditionalFormatting sqref="BM29:BS29">
    <cfRule type="containsBlanks" dxfId="117" priority="415" stopIfTrue="1">
      <formula>LEN(TRIM(BM29))=0</formula>
    </cfRule>
  </conditionalFormatting>
  <conditionalFormatting sqref="BM29:BS29">
    <cfRule type="notContainsBlanks" dxfId="116" priority="416" stopIfTrue="1">
      <formula>LEN(TRIM(BM29))&gt;0</formula>
    </cfRule>
  </conditionalFormatting>
  <conditionalFormatting sqref="BM31:BS31">
    <cfRule type="containsBlanks" dxfId="115" priority="417" stopIfTrue="1">
      <formula>LEN(TRIM(BM31))=0</formula>
    </cfRule>
  </conditionalFormatting>
  <conditionalFormatting sqref="BM31:BS31">
    <cfRule type="notContainsBlanks" dxfId="114" priority="418" stopIfTrue="1">
      <formula>LEN(TRIM(BM31))&gt;0</formula>
    </cfRule>
  </conditionalFormatting>
  <conditionalFormatting sqref="BM32:BS32">
    <cfRule type="containsBlanks" dxfId="113" priority="419" stopIfTrue="1">
      <formula>LEN(TRIM(BM32))=0</formula>
    </cfRule>
  </conditionalFormatting>
  <conditionalFormatting sqref="BM32:BS32">
    <cfRule type="notContainsBlanks" dxfId="112" priority="420" stopIfTrue="1">
      <formula>LEN(TRIM(BM32))&gt;0</formula>
    </cfRule>
  </conditionalFormatting>
  <conditionalFormatting sqref="BM33:BS33">
    <cfRule type="containsBlanks" dxfId="111" priority="421" stopIfTrue="1">
      <formula>LEN(TRIM(BM33))=0</formula>
    </cfRule>
  </conditionalFormatting>
  <conditionalFormatting sqref="BM33:BS33">
    <cfRule type="notContainsBlanks" dxfId="110" priority="422" stopIfTrue="1">
      <formula>LEN(TRIM(BM33))&gt;0</formula>
    </cfRule>
  </conditionalFormatting>
  <conditionalFormatting sqref="BM34:BS34">
    <cfRule type="containsBlanks" dxfId="109" priority="423" stopIfTrue="1">
      <formula>LEN(TRIM(BM34))=0</formula>
    </cfRule>
  </conditionalFormatting>
  <conditionalFormatting sqref="BM34:BS34">
    <cfRule type="notContainsBlanks" dxfId="108" priority="424" stopIfTrue="1">
      <formula>LEN(TRIM(BM34))&gt;0</formula>
    </cfRule>
  </conditionalFormatting>
  <conditionalFormatting sqref="BM35:BS35">
    <cfRule type="containsBlanks" dxfId="107" priority="425" stopIfTrue="1">
      <formula>LEN(TRIM(BM35))=0</formula>
    </cfRule>
  </conditionalFormatting>
  <conditionalFormatting sqref="BM35:BS35">
    <cfRule type="notContainsBlanks" dxfId="106" priority="426" stopIfTrue="1">
      <formula>LEN(TRIM(BM35))&gt;0</formula>
    </cfRule>
  </conditionalFormatting>
  <conditionalFormatting sqref="BM36:BS36">
    <cfRule type="containsBlanks" dxfId="105" priority="427" stopIfTrue="1">
      <formula>LEN(TRIM(BM36))=0</formula>
    </cfRule>
  </conditionalFormatting>
  <conditionalFormatting sqref="BM36:BS36">
    <cfRule type="notContainsBlanks" dxfId="104" priority="428" stopIfTrue="1">
      <formula>LEN(TRIM(BM36))&gt;0</formula>
    </cfRule>
  </conditionalFormatting>
  <conditionalFormatting sqref="BM37:BS37">
    <cfRule type="containsBlanks" dxfId="103" priority="429" stopIfTrue="1">
      <formula>LEN(TRIM(BM37))=0</formula>
    </cfRule>
  </conditionalFormatting>
  <conditionalFormatting sqref="BM37:BS37">
    <cfRule type="notContainsBlanks" dxfId="102" priority="430" stopIfTrue="1">
      <formula>LEN(TRIM(BM37))&gt;0</formula>
    </cfRule>
  </conditionalFormatting>
  <conditionalFormatting sqref="BM40:BS40">
    <cfRule type="containsBlanks" dxfId="101" priority="431" stopIfTrue="1">
      <formula>LEN(TRIM(BM40))=0</formula>
    </cfRule>
  </conditionalFormatting>
  <conditionalFormatting sqref="BM40:BS40">
    <cfRule type="notContainsBlanks" dxfId="100" priority="432" stopIfTrue="1">
      <formula>LEN(TRIM(BM40))&gt;0</formula>
    </cfRule>
  </conditionalFormatting>
  <conditionalFormatting sqref="BM41:BS41">
    <cfRule type="containsBlanks" dxfId="99" priority="433" stopIfTrue="1">
      <formula>LEN(TRIM(BM41))=0</formula>
    </cfRule>
  </conditionalFormatting>
  <conditionalFormatting sqref="BM41:BS41">
    <cfRule type="notContainsBlanks" dxfId="98" priority="434" stopIfTrue="1">
      <formula>LEN(TRIM(BM41))&gt;0</formula>
    </cfRule>
  </conditionalFormatting>
  <conditionalFormatting sqref="BM42:BS42">
    <cfRule type="containsBlanks" dxfId="97" priority="435" stopIfTrue="1">
      <formula>LEN(TRIM(BM42))=0</formula>
    </cfRule>
  </conditionalFormatting>
  <conditionalFormatting sqref="BM42:BS42">
    <cfRule type="notContainsBlanks" dxfId="96" priority="436" stopIfTrue="1">
      <formula>LEN(TRIM(BM42))&gt;0</formula>
    </cfRule>
  </conditionalFormatting>
  <conditionalFormatting sqref="BM43:BS43">
    <cfRule type="containsBlanks" dxfId="95" priority="437" stopIfTrue="1">
      <formula>LEN(TRIM(BM43))=0</formula>
    </cfRule>
  </conditionalFormatting>
  <conditionalFormatting sqref="BM43:BS43">
    <cfRule type="notContainsBlanks" dxfId="94" priority="438" stopIfTrue="1">
      <formula>LEN(TRIM(BM43))&gt;0</formula>
    </cfRule>
  </conditionalFormatting>
  <conditionalFormatting sqref="BM44:BS44">
    <cfRule type="containsBlanks" dxfId="93" priority="439" stopIfTrue="1">
      <formula>LEN(TRIM(BM44))=0</formula>
    </cfRule>
  </conditionalFormatting>
  <conditionalFormatting sqref="BM44:BS44">
    <cfRule type="notContainsBlanks" dxfId="92" priority="440" stopIfTrue="1">
      <formula>LEN(TRIM(BM44))&gt;0</formula>
    </cfRule>
  </conditionalFormatting>
  <conditionalFormatting sqref="BM45:BS45">
    <cfRule type="containsBlanks" dxfId="91" priority="441" stopIfTrue="1">
      <formula>LEN(TRIM(BM45))=0</formula>
    </cfRule>
  </conditionalFormatting>
  <conditionalFormatting sqref="BM45:BS45">
    <cfRule type="notContainsBlanks" dxfId="90" priority="442" stopIfTrue="1">
      <formula>LEN(TRIM(BM45))&gt;0</formula>
    </cfRule>
  </conditionalFormatting>
  <conditionalFormatting sqref="BM46:BS46">
    <cfRule type="containsBlanks" dxfId="89" priority="443" stopIfTrue="1">
      <formula>LEN(TRIM(BM46))=0</formula>
    </cfRule>
  </conditionalFormatting>
  <conditionalFormatting sqref="BM46:BS46">
    <cfRule type="notContainsBlanks" dxfId="88" priority="444" stopIfTrue="1">
      <formula>LEN(TRIM(BM46))&gt;0</formula>
    </cfRule>
  </conditionalFormatting>
  <conditionalFormatting sqref="BM47:BR47">
    <cfRule type="containsBlanks" dxfId="87" priority="445" stopIfTrue="1">
      <formula>LEN(TRIM(BM47))=0</formula>
    </cfRule>
  </conditionalFormatting>
  <conditionalFormatting sqref="BM47:BR47">
    <cfRule type="notContainsBlanks" dxfId="86" priority="446" stopIfTrue="1">
      <formula>LEN(TRIM(BM47))&gt;0</formula>
    </cfRule>
  </conditionalFormatting>
  <conditionalFormatting sqref="BY7:CE7">
    <cfRule type="containsBlanks" dxfId="85" priority="447" stopIfTrue="1">
      <formula>LEN(TRIM(BY7))=0</formula>
    </cfRule>
  </conditionalFormatting>
  <conditionalFormatting sqref="BY7:CE7">
    <cfRule type="notContainsBlanks" dxfId="84" priority="448" stopIfTrue="1">
      <formula>LEN(TRIM(BY7))&gt;0</formula>
    </cfRule>
  </conditionalFormatting>
  <conditionalFormatting sqref="BY8:CE8">
    <cfRule type="containsBlanks" dxfId="83" priority="449" stopIfTrue="1">
      <formula>LEN(TRIM(BY8))=0</formula>
    </cfRule>
  </conditionalFormatting>
  <conditionalFormatting sqref="BY8:CE8">
    <cfRule type="notContainsBlanks" dxfId="82" priority="450" stopIfTrue="1">
      <formula>LEN(TRIM(BY8))&gt;0</formula>
    </cfRule>
  </conditionalFormatting>
  <conditionalFormatting sqref="BY9:CE9">
    <cfRule type="containsBlanks" dxfId="81" priority="451" stopIfTrue="1">
      <formula>LEN(TRIM(BY9))=0</formula>
    </cfRule>
  </conditionalFormatting>
  <conditionalFormatting sqref="BY9:CE9">
    <cfRule type="notContainsBlanks" dxfId="80" priority="452" stopIfTrue="1">
      <formula>LEN(TRIM(BY9))&gt;0</formula>
    </cfRule>
  </conditionalFormatting>
  <conditionalFormatting sqref="BY10:CE10">
    <cfRule type="containsBlanks" dxfId="79" priority="453" stopIfTrue="1">
      <formula>LEN(TRIM(BY10))=0</formula>
    </cfRule>
  </conditionalFormatting>
  <conditionalFormatting sqref="BY10:CE10">
    <cfRule type="notContainsBlanks" dxfId="78" priority="454" stopIfTrue="1">
      <formula>LEN(TRIM(BY10))&gt;0</formula>
    </cfRule>
  </conditionalFormatting>
  <conditionalFormatting sqref="BY11:CE11">
    <cfRule type="containsBlanks" dxfId="77" priority="455" stopIfTrue="1">
      <formula>LEN(TRIM(BY11))=0</formula>
    </cfRule>
  </conditionalFormatting>
  <conditionalFormatting sqref="BY11:CE11">
    <cfRule type="notContainsBlanks" dxfId="76" priority="456" stopIfTrue="1">
      <formula>LEN(TRIM(BY11))&gt;0</formula>
    </cfRule>
  </conditionalFormatting>
  <conditionalFormatting sqref="BY12:CE12">
    <cfRule type="containsBlanks" dxfId="75" priority="457" stopIfTrue="1">
      <formula>LEN(TRIM(BY12))=0</formula>
    </cfRule>
  </conditionalFormatting>
  <conditionalFormatting sqref="BY12:CE12">
    <cfRule type="notContainsBlanks" dxfId="74" priority="458" stopIfTrue="1">
      <formula>LEN(TRIM(BY12))&gt;0</formula>
    </cfRule>
  </conditionalFormatting>
  <conditionalFormatting sqref="BY13:CE13">
    <cfRule type="containsBlanks" dxfId="73" priority="459" stopIfTrue="1">
      <formula>LEN(TRIM(BY13))=0</formula>
    </cfRule>
  </conditionalFormatting>
  <conditionalFormatting sqref="BY13:CE13">
    <cfRule type="notContainsBlanks" dxfId="72" priority="460" stopIfTrue="1">
      <formula>LEN(TRIM(BY13))&gt;0</formula>
    </cfRule>
  </conditionalFormatting>
  <conditionalFormatting sqref="BY15:CE15">
    <cfRule type="containsBlanks" dxfId="71" priority="461" stopIfTrue="1">
      <formula>LEN(TRIM(BY15))=0</formula>
    </cfRule>
  </conditionalFormatting>
  <conditionalFormatting sqref="BY15:CE15">
    <cfRule type="notContainsBlanks" dxfId="70" priority="462" stopIfTrue="1">
      <formula>LEN(TRIM(BY15))&gt;0</formula>
    </cfRule>
  </conditionalFormatting>
  <conditionalFormatting sqref="BY16:CE16">
    <cfRule type="containsBlanks" dxfId="69" priority="463" stopIfTrue="1">
      <formula>LEN(TRIM(BY16))=0</formula>
    </cfRule>
  </conditionalFormatting>
  <conditionalFormatting sqref="BY16:CE16">
    <cfRule type="notContainsBlanks" dxfId="68" priority="464" stopIfTrue="1">
      <formula>LEN(TRIM(BY16))&gt;0</formula>
    </cfRule>
  </conditionalFormatting>
  <conditionalFormatting sqref="BY17:CE17">
    <cfRule type="containsBlanks" dxfId="67" priority="465" stopIfTrue="1">
      <formula>LEN(TRIM(BY17))=0</formula>
    </cfRule>
  </conditionalFormatting>
  <conditionalFormatting sqref="BY17:CE17">
    <cfRule type="notContainsBlanks" dxfId="66" priority="466" stopIfTrue="1">
      <formula>LEN(TRIM(BY17))&gt;0</formula>
    </cfRule>
  </conditionalFormatting>
  <conditionalFormatting sqref="BY18:CE18">
    <cfRule type="containsBlanks" dxfId="65" priority="467" stopIfTrue="1">
      <formula>LEN(TRIM(BY18))=0</formula>
    </cfRule>
  </conditionalFormatting>
  <conditionalFormatting sqref="BY18:CE18">
    <cfRule type="notContainsBlanks" dxfId="64" priority="468" stopIfTrue="1">
      <formula>LEN(TRIM(BY18))&gt;0</formula>
    </cfRule>
  </conditionalFormatting>
  <conditionalFormatting sqref="BY19:CE19">
    <cfRule type="containsBlanks" dxfId="63" priority="469" stopIfTrue="1">
      <formula>LEN(TRIM(BY19))=0</formula>
    </cfRule>
  </conditionalFormatting>
  <conditionalFormatting sqref="BY19:CE19">
    <cfRule type="notContainsBlanks" dxfId="62" priority="470" stopIfTrue="1">
      <formula>LEN(TRIM(BY19))&gt;0</formula>
    </cfRule>
  </conditionalFormatting>
  <conditionalFormatting sqref="BY20:CE20">
    <cfRule type="containsBlanks" dxfId="61" priority="471" stopIfTrue="1">
      <formula>LEN(TRIM(BY20))=0</formula>
    </cfRule>
  </conditionalFormatting>
  <conditionalFormatting sqref="BY20:CE20">
    <cfRule type="notContainsBlanks" dxfId="60" priority="472" stopIfTrue="1">
      <formula>LEN(TRIM(BY20))&gt;0</formula>
    </cfRule>
  </conditionalFormatting>
  <conditionalFormatting sqref="BY21:CE21">
    <cfRule type="containsBlanks" dxfId="59" priority="473" stopIfTrue="1">
      <formula>LEN(TRIM(BY21))=0</formula>
    </cfRule>
  </conditionalFormatting>
  <conditionalFormatting sqref="BY21:CE21">
    <cfRule type="notContainsBlanks" dxfId="58" priority="474" stopIfTrue="1">
      <formula>LEN(TRIM(BY21))&gt;0</formula>
    </cfRule>
  </conditionalFormatting>
  <conditionalFormatting sqref="BY23:CE23">
    <cfRule type="containsBlanks" dxfId="57" priority="475" stopIfTrue="1">
      <formula>LEN(TRIM(BY23))=0</formula>
    </cfRule>
  </conditionalFormatting>
  <conditionalFormatting sqref="BY23:CE23">
    <cfRule type="notContainsBlanks" dxfId="56" priority="476" stopIfTrue="1">
      <formula>LEN(TRIM(BY23))&gt;0</formula>
    </cfRule>
  </conditionalFormatting>
  <conditionalFormatting sqref="BY24:CE24">
    <cfRule type="containsBlanks" dxfId="55" priority="477" stopIfTrue="1">
      <formula>LEN(TRIM(BY24))=0</formula>
    </cfRule>
  </conditionalFormatting>
  <conditionalFormatting sqref="BY24:CE24">
    <cfRule type="notContainsBlanks" dxfId="54" priority="478" stopIfTrue="1">
      <formula>LEN(TRIM(BY24))&gt;0</formula>
    </cfRule>
  </conditionalFormatting>
  <conditionalFormatting sqref="BY25:CE25">
    <cfRule type="containsBlanks" dxfId="53" priority="479" stopIfTrue="1">
      <formula>LEN(TRIM(BY25))=0</formula>
    </cfRule>
  </conditionalFormatting>
  <conditionalFormatting sqref="BY25:CE25">
    <cfRule type="notContainsBlanks" dxfId="52" priority="480" stopIfTrue="1">
      <formula>LEN(TRIM(BY25))&gt;0</formula>
    </cfRule>
  </conditionalFormatting>
  <conditionalFormatting sqref="BY26:CE26">
    <cfRule type="containsBlanks" dxfId="51" priority="481" stopIfTrue="1">
      <formula>LEN(TRIM(BY26))=0</formula>
    </cfRule>
  </conditionalFormatting>
  <conditionalFormatting sqref="BY26:CE26">
    <cfRule type="notContainsBlanks" dxfId="50" priority="482" stopIfTrue="1">
      <formula>LEN(TRIM(BY26))&gt;0</formula>
    </cfRule>
  </conditionalFormatting>
  <conditionalFormatting sqref="BY27:CE27">
    <cfRule type="containsBlanks" dxfId="49" priority="483" stopIfTrue="1">
      <formula>LEN(TRIM(BY27))=0</formula>
    </cfRule>
  </conditionalFormatting>
  <conditionalFormatting sqref="BY27:CE27">
    <cfRule type="notContainsBlanks" dxfId="48" priority="484" stopIfTrue="1">
      <formula>LEN(TRIM(BY27))&gt;0</formula>
    </cfRule>
  </conditionalFormatting>
  <conditionalFormatting sqref="BY28:CE28">
    <cfRule type="containsBlanks" dxfId="47" priority="485" stopIfTrue="1">
      <formula>LEN(TRIM(BY28))=0</formula>
    </cfRule>
  </conditionalFormatting>
  <conditionalFormatting sqref="BY28:CE28">
    <cfRule type="notContainsBlanks" dxfId="46" priority="486" stopIfTrue="1">
      <formula>LEN(TRIM(BY28))&gt;0</formula>
    </cfRule>
  </conditionalFormatting>
  <conditionalFormatting sqref="BY29:CE29">
    <cfRule type="containsBlanks" dxfId="45" priority="487" stopIfTrue="1">
      <formula>LEN(TRIM(BY29))=0</formula>
    </cfRule>
  </conditionalFormatting>
  <conditionalFormatting sqref="BY29:CE29">
    <cfRule type="notContainsBlanks" dxfId="44" priority="488" stopIfTrue="1">
      <formula>LEN(TRIM(BY29))&gt;0</formula>
    </cfRule>
  </conditionalFormatting>
  <conditionalFormatting sqref="BY31:CE31">
    <cfRule type="containsBlanks" dxfId="43" priority="489" stopIfTrue="1">
      <formula>LEN(TRIM(BY31))=0</formula>
    </cfRule>
  </conditionalFormatting>
  <conditionalFormatting sqref="BY31:CE31">
    <cfRule type="notContainsBlanks" dxfId="42" priority="490" stopIfTrue="1">
      <formula>LEN(TRIM(BY31))&gt;0</formula>
    </cfRule>
  </conditionalFormatting>
  <conditionalFormatting sqref="BY32:CE32">
    <cfRule type="containsBlanks" dxfId="41" priority="491" stopIfTrue="1">
      <formula>LEN(TRIM(BY32))=0</formula>
    </cfRule>
  </conditionalFormatting>
  <conditionalFormatting sqref="BY32:CE32">
    <cfRule type="notContainsBlanks" dxfId="40" priority="492" stopIfTrue="1">
      <formula>LEN(TRIM(BY32))&gt;0</formula>
    </cfRule>
  </conditionalFormatting>
  <conditionalFormatting sqref="BY33:CE33">
    <cfRule type="containsBlanks" dxfId="39" priority="493" stopIfTrue="1">
      <formula>LEN(TRIM(BY33))=0</formula>
    </cfRule>
  </conditionalFormatting>
  <conditionalFormatting sqref="BY33:CE33">
    <cfRule type="notContainsBlanks" dxfId="38" priority="494" stopIfTrue="1">
      <formula>LEN(TRIM(BY33))&gt;0</formula>
    </cfRule>
  </conditionalFormatting>
  <conditionalFormatting sqref="BY34:CE34">
    <cfRule type="containsBlanks" dxfId="37" priority="495" stopIfTrue="1">
      <formula>LEN(TRIM(BY34))=0</formula>
    </cfRule>
  </conditionalFormatting>
  <conditionalFormatting sqref="BY34:CE34">
    <cfRule type="notContainsBlanks" dxfId="36" priority="496" stopIfTrue="1">
      <formula>LEN(TRIM(BY34))&gt;0</formula>
    </cfRule>
  </conditionalFormatting>
  <conditionalFormatting sqref="BY35:CE35">
    <cfRule type="containsBlanks" dxfId="35" priority="497" stopIfTrue="1">
      <formula>LEN(TRIM(BY35))=0</formula>
    </cfRule>
  </conditionalFormatting>
  <conditionalFormatting sqref="BY35:CE35">
    <cfRule type="notContainsBlanks" dxfId="34" priority="498" stopIfTrue="1">
      <formula>LEN(TRIM(BY35))&gt;0</formula>
    </cfRule>
  </conditionalFormatting>
  <conditionalFormatting sqref="BY36:CE36">
    <cfRule type="containsBlanks" dxfId="33" priority="499" stopIfTrue="1">
      <formula>LEN(TRIM(BY36))=0</formula>
    </cfRule>
  </conditionalFormatting>
  <conditionalFormatting sqref="BY36:CE36">
    <cfRule type="notContainsBlanks" dxfId="32" priority="500" stopIfTrue="1">
      <formula>LEN(TRIM(BY36))&gt;0</formula>
    </cfRule>
  </conditionalFormatting>
  <conditionalFormatting sqref="BY37:CE37">
    <cfRule type="containsBlanks" dxfId="31" priority="501" stopIfTrue="1">
      <formula>LEN(TRIM(BY37))=0</formula>
    </cfRule>
  </conditionalFormatting>
  <conditionalFormatting sqref="BY37:CE37">
    <cfRule type="notContainsBlanks" dxfId="30" priority="502" stopIfTrue="1">
      <formula>LEN(TRIM(BY37))&gt;0</formula>
    </cfRule>
  </conditionalFormatting>
  <conditionalFormatting sqref="BY40:CE40">
    <cfRule type="containsBlanks" dxfId="29" priority="503" stopIfTrue="1">
      <formula>LEN(TRIM(BY40))=0</formula>
    </cfRule>
  </conditionalFormatting>
  <conditionalFormatting sqref="BY40:CE40">
    <cfRule type="notContainsBlanks" dxfId="28" priority="504" stopIfTrue="1">
      <formula>LEN(TRIM(BY40))&gt;0</formula>
    </cfRule>
  </conditionalFormatting>
  <conditionalFormatting sqref="BY41:CE41">
    <cfRule type="containsBlanks" dxfId="27" priority="505" stopIfTrue="1">
      <formula>LEN(TRIM(BY41))=0</formula>
    </cfRule>
  </conditionalFormatting>
  <conditionalFormatting sqref="BY41:CE41">
    <cfRule type="notContainsBlanks" dxfId="26" priority="506" stopIfTrue="1">
      <formula>LEN(TRIM(BY41))&gt;0</formula>
    </cfRule>
  </conditionalFormatting>
  <conditionalFormatting sqref="BY42:CE42">
    <cfRule type="containsBlanks" dxfId="25" priority="507" stopIfTrue="1">
      <formula>LEN(TRIM(BY42))=0</formula>
    </cfRule>
  </conditionalFormatting>
  <conditionalFormatting sqref="BY42:CE42">
    <cfRule type="notContainsBlanks" dxfId="24" priority="508" stopIfTrue="1">
      <formula>LEN(TRIM(BY42))&gt;0</formula>
    </cfRule>
  </conditionalFormatting>
  <conditionalFormatting sqref="BY43:CE43">
    <cfRule type="containsBlanks" dxfId="23" priority="509" stopIfTrue="1">
      <formula>LEN(TRIM(BY43))=0</formula>
    </cfRule>
  </conditionalFormatting>
  <conditionalFormatting sqref="BY43:CE43">
    <cfRule type="notContainsBlanks" dxfId="22" priority="510" stopIfTrue="1">
      <formula>LEN(TRIM(BY43))&gt;0</formula>
    </cfRule>
  </conditionalFormatting>
  <conditionalFormatting sqref="BY44:CE44">
    <cfRule type="containsBlanks" dxfId="21" priority="511" stopIfTrue="1">
      <formula>LEN(TRIM(BY44))=0</formula>
    </cfRule>
  </conditionalFormatting>
  <conditionalFormatting sqref="BY44:CE44">
    <cfRule type="notContainsBlanks" dxfId="20" priority="512" stopIfTrue="1">
      <formula>LEN(TRIM(BY44))&gt;0</formula>
    </cfRule>
  </conditionalFormatting>
  <conditionalFormatting sqref="BY45:CE45">
    <cfRule type="containsBlanks" dxfId="19" priority="513" stopIfTrue="1">
      <formula>LEN(TRIM(BY45))=0</formula>
    </cfRule>
  </conditionalFormatting>
  <conditionalFormatting sqref="BY45:CE45">
    <cfRule type="notContainsBlanks" dxfId="18" priority="514" stopIfTrue="1">
      <formula>LEN(TRIM(BY45))&gt;0</formula>
    </cfRule>
  </conditionalFormatting>
  <conditionalFormatting sqref="BY46:CE46">
    <cfRule type="containsBlanks" dxfId="17" priority="515" stopIfTrue="1">
      <formula>LEN(TRIM(BY46))=0</formula>
    </cfRule>
  </conditionalFormatting>
  <conditionalFormatting sqref="BY46:CE46">
    <cfRule type="notContainsBlanks" dxfId="16" priority="516" stopIfTrue="1">
      <formula>LEN(TRIM(BY46))&gt;0</formula>
    </cfRule>
  </conditionalFormatting>
  <conditionalFormatting sqref="BY47:CD47">
    <cfRule type="containsBlanks" dxfId="15" priority="517" stopIfTrue="1">
      <formula>LEN(TRIM(BY47))=0</formula>
    </cfRule>
  </conditionalFormatting>
  <conditionalFormatting sqref="BY47:CD47">
    <cfRule type="notContainsBlanks" dxfId="14" priority="518" stopIfTrue="1">
      <formula>LEN(TRIM(BY47))&gt;0</formula>
    </cfRule>
  </conditionalFormatting>
  <conditionalFormatting sqref="W47">
    <cfRule type="containsBlanks" dxfId="13" priority="13" stopIfTrue="1">
      <formula>LEN(TRIM(W47))=0</formula>
    </cfRule>
  </conditionalFormatting>
  <conditionalFormatting sqref="W47">
    <cfRule type="notContainsBlanks" dxfId="12" priority="14" stopIfTrue="1">
      <formula>LEN(TRIM(W47))&gt;0</formula>
    </cfRule>
  </conditionalFormatting>
  <conditionalFormatting sqref="AI47">
    <cfRule type="containsBlanks" dxfId="11" priority="11" stopIfTrue="1">
      <formula>LEN(TRIM(AI47))=0</formula>
    </cfRule>
  </conditionalFormatting>
  <conditionalFormatting sqref="AI47">
    <cfRule type="notContainsBlanks" dxfId="10" priority="12" stopIfTrue="1">
      <formula>LEN(TRIM(AI47))&gt;0</formula>
    </cfRule>
  </conditionalFormatting>
  <conditionalFormatting sqref="AU47">
    <cfRule type="containsBlanks" dxfId="9" priority="9" stopIfTrue="1">
      <formula>LEN(TRIM(AU47))=0</formula>
    </cfRule>
  </conditionalFormatting>
  <conditionalFormatting sqref="AU47">
    <cfRule type="notContainsBlanks" dxfId="8" priority="10" stopIfTrue="1">
      <formula>LEN(TRIM(AU47))&gt;0</formula>
    </cfRule>
  </conditionalFormatting>
  <conditionalFormatting sqref="BG47">
    <cfRule type="containsBlanks" dxfId="7" priority="7" stopIfTrue="1">
      <formula>LEN(TRIM(BG47))=0</formula>
    </cfRule>
  </conditionalFormatting>
  <conditionalFormatting sqref="BG47">
    <cfRule type="notContainsBlanks" dxfId="6" priority="8" stopIfTrue="1">
      <formula>LEN(TRIM(BG47))&gt;0</formula>
    </cfRule>
  </conditionalFormatting>
  <conditionalFormatting sqref="BS47">
    <cfRule type="containsBlanks" dxfId="5" priority="5" stopIfTrue="1">
      <formula>LEN(TRIM(BS47))=0</formula>
    </cfRule>
  </conditionalFormatting>
  <conditionalFormatting sqref="BS47">
    <cfRule type="notContainsBlanks" dxfId="4" priority="6" stopIfTrue="1">
      <formula>LEN(TRIM(BS47))&gt;0</formula>
    </cfRule>
  </conditionalFormatting>
  <conditionalFormatting sqref="CE47">
    <cfRule type="containsBlanks" dxfId="3" priority="3" stopIfTrue="1">
      <formula>LEN(TRIM(CE47))=0</formula>
    </cfRule>
  </conditionalFormatting>
  <conditionalFormatting sqref="CE47">
    <cfRule type="notContainsBlanks" dxfId="2" priority="4" stopIfTrue="1">
      <formula>LEN(TRIM(CE47))&gt;0</formula>
    </cfRule>
  </conditionalFormatting>
  <conditionalFormatting sqref="E47:J47">
    <cfRule type="containsBlanks" dxfId="1" priority="1" stopIfTrue="1">
      <formula>LEN(TRIM(E47))=0</formula>
    </cfRule>
  </conditionalFormatting>
  <conditionalFormatting sqref="E47:J47">
    <cfRule type="notContainsBlanks" dxfId="0" priority="2" stopIfTrue="1">
      <formula>LEN(TRIM(E47))&gt;0</formula>
    </cfRule>
  </conditionalFormatting>
  <pageMargins left="0.7" right="0.7" top="0.75" bottom="0.75" header="0.3" footer="0.3"/>
  <customProperties>
    <customPr name="IsPC"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U29"/>
  <sheetViews>
    <sheetView showGridLines="0" zoomScale="85" zoomScaleNormal="85" workbookViewId="0">
      <selection activeCell="B4" sqref="B4"/>
    </sheetView>
  </sheetViews>
  <sheetFormatPr defaultColWidth="9.109375" defaultRowHeight="14.4"/>
  <cols>
    <col min="1" max="1" width="9.109375" style="193"/>
    <col min="2" max="2" width="9.33203125" style="193" bestFit="1" customWidth="1"/>
    <col min="3" max="3" width="16.6640625" style="193" bestFit="1" customWidth="1"/>
    <col min="4" max="4" width="10.44140625" style="193" bestFit="1" customWidth="1"/>
    <col min="5" max="5" width="10.88671875" style="193" customWidth="1"/>
    <col min="6" max="6" width="22.109375" style="193" bestFit="1" customWidth="1"/>
    <col min="7" max="7" width="9.5546875" style="193" bestFit="1" customWidth="1"/>
    <col min="8" max="8" width="12.88671875" style="193" bestFit="1" customWidth="1"/>
    <col min="9" max="9" width="15.44140625" style="193" bestFit="1" customWidth="1"/>
    <col min="10" max="10" width="14.5546875" style="193" bestFit="1" customWidth="1"/>
    <col min="11" max="11" width="14.88671875" style="193" bestFit="1" customWidth="1"/>
    <col min="12" max="12" width="12.44140625" style="193" bestFit="1" customWidth="1"/>
    <col min="13" max="13" width="7" style="193" bestFit="1" customWidth="1"/>
    <col min="14" max="14" width="16.44140625" style="193" bestFit="1" customWidth="1"/>
    <col min="15" max="15" width="6" style="193" bestFit="1" customWidth="1"/>
    <col min="16" max="16" width="9.109375" style="193"/>
    <col min="17" max="17" width="3.6640625" style="193" customWidth="1"/>
    <col min="18" max="18" width="7.6640625" style="193" bestFit="1" customWidth="1"/>
    <col min="19" max="19" width="2" style="193" bestFit="1" customWidth="1"/>
    <col min="20" max="20" width="7.88671875" style="193" bestFit="1" customWidth="1"/>
    <col min="21" max="21" width="7.6640625" style="193" bestFit="1" customWidth="1"/>
    <col min="22" max="22" width="7.44140625" style="193" bestFit="1" customWidth="1"/>
    <col min="23" max="16384" width="9.109375" style="193"/>
  </cols>
  <sheetData>
    <row r="1" spans="1:21" s="192" customFormat="1">
      <c r="A1" s="121"/>
      <c r="B1" s="122" t="s">
        <v>87</v>
      </c>
      <c r="C1" s="121"/>
      <c r="D1" s="121"/>
      <c r="E1" s="121"/>
      <c r="F1" s="121"/>
      <c r="G1" s="121"/>
      <c r="H1" s="121"/>
      <c r="I1" s="121"/>
      <c r="J1" s="121"/>
      <c r="K1" s="121"/>
      <c r="L1" s="121"/>
      <c r="M1" s="121"/>
      <c r="N1" s="121"/>
      <c r="O1" s="121"/>
      <c r="P1" s="121"/>
      <c r="Q1" s="121"/>
    </row>
    <row r="2" spans="1:21">
      <c r="A2" s="2"/>
      <c r="B2" s="2"/>
      <c r="C2" s="2"/>
      <c r="D2" s="2"/>
      <c r="E2" s="2"/>
      <c r="F2" s="2"/>
      <c r="G2" s="2"/>
      <c r="H2" s="2"/>
      <c r="I2" s="2"/>
      <c r="J2" s="2"/>
      <c r="K2" s="2"/>
      <c r="L2" s="2"/>
      <c r="M2" s="2"/>
      <c r="N2" s="2"/>
      <c r="O2" s="2"/>
      <c r="P2" s="2"/>
      <c r="Q2" s="2"/>
    </row>
    <row r="3" spans="1:21">
      <c r="A3" s="2"/>
      <c r="B3" s="3"/>
      <c r="C3" s="3"/>
      <c r="D3" s="3"/>
      <c r="E3" s="3"/>
      <c r="F3" s="3"/>
      <c r="G3" s="3"/>
      <c r="H3" s="3"/>
      <c r="I3" s="3"/>
      <c r="J3" s="3"/>
      <c r="K3" s="3"/>
      <c r="L3" s="3"/>
      <c r="M3" s="3"/>
      <c r="N3" s="3"/>
      <c r="O3" s="3"/>
      <c r="P3" s="3"/>
      <c r="Q3" s="2"/>
    </row>
    <row r="4" spans="1:21">
      <c r="A4" s="2"/>
      <c r="B4" s="3"/>
      <c r="C4" s="105" t="s">
        <v>62</v>
      </c>
      <c r="D4" s="169" t="s">
        <v>24</v>
      </c>
      <c r="E4" s="3"/>
      <c r="F4" s="106" t="s">
        <v>68</v>
      </c>
      <c r="G4" s="107"/>
      <c r="H4" s="108" t="str">
        <f>INDEX(_pcName,1)</f>
        <v>Axial Housed</v>
      </c>
      <c r="I4" s="108" t="str">
        <f>INDEX(_pcName,2)</f>
        <v>Axial Unhoused</v>
      </c>
      <c r="J4" s="108" t="str">
        <f>INDEX(_pcName,3)</f>
        <v>Centrif Housed</v>
      </c>
      <c r="K4" s="108" t="str">
        <f>INDEX(_pcName,4)</f>
        <v>Centrif Unhous</v>
      </c>
      <c r="L4" s="108" t="str">
        <f>INDEX(_pcName,5)</f>
        <v>Inline-Mixed</v>
      </c>
      <c r="M4" s="108" t="str">
        <f>INDEX(_pcName,6)</f>
        <v>Radial</v>
      </c>
      <c r="N4" s="108" t="str">
        <f>INDEX(_pcName,7)</f>
        <v>Power Roof Vent</v>
      </c>
      <c r="O4" s="109" t="s">
        <v>71</v>
      </c>
      <c r="P4" s="3"/>
      <c r="Q4" s="2"/>
    </row>
    <row r="5" spans="1:21">
      <c r="A5" s="2"/>
      <c r="B5" s="3"/>
      <c r="C5" s="105" t="s">
        <v>63</v>
      </c>
      <c r="D5" s="170">
        <v>7.0000000000000007E-2</v>
      </c>
      <c r="E5" s="3"/>
      <c r="F5" s="33" t="s">
        <v>69</v>
      </c>
      <c r="G5" s="110" t="str">
        <f>"mi " &amp; _yearDol &amp; "$"</f>
        <v>mi 2013$</v>
      </c>
      <c r="H5" s="223">
        <f ca="1">$H$7-$H$6</f>
        <v>19.354917495756716</v>
      </c>
      <c r="I5" s="223">
        <f ca="1">$I$7-$I$6</f>
        <v>0.75111997052588209</v>
      </c>
      <c r="J5" s="223">
        <f ca="1">$J$7-$J$6</f>
        <v>7.8893057605340999</v>
      </c>
      <c r="K5" s="223">
        <f ca="1">$K$7-$K$6</f>
        <v>28.23025816416774</v>
      </c>
      <c r="L5" s="223">
        <f ca="1">$L$7-$L$6</f>
        <v>-3.7995843546598467</v>
      </c>
      <c r="M5" s="223">
        <f ca="1">$M$7-$M$6</f>
        <v>87.404489961264773</v>
      </c>
      <c r="N5" s="223">
        <f ca="1">$N$7-$N$6</f>
        <v>2.5228550020967377</v>
      </c>
      <c r="O5" s="115">
        <f ca="1">SUM($H$5:$N$5)</f>
        <v>142.35336199968611</v>
      </c>
      <c r="P5" s="3"/>
      <c r="Q5" s="2"/>
    </row>
    <row r="6" spans="1:21">
      <c r="A6" s="2"/>
      <c r="B6" s="3"/>
      <c r="C6" s="105" t="s">
        <v>64</v>
      </c>
      <c r="D6" s="169" t="s">
        <v>124</v>
      </c>
      <c r="E6" s="3"/>
      <c r="F6" s="111" t="s">
        <v>58</v>
      </c>
      <c r="G6" s="112" t="str">
        <f>"mi " &amp; _yearDol &amp; "$"</f>
        <v>mi 2013$</v>
      </c>
      <c r="H6" s="224">
        <f ca="1">0.001*NPV(dRate,'Axial Housed'!iec)*(1+dRate)^(_yearD-(yearC-1))</f>
        <v>14.928948849207949</v>
      </c>
      <c r="I6" s="224">
        <f ca="1">0.001*NPV(dRate,'Axial Unhoused'!iec)*(1+dRate)^(_yearD-(yearC-1))</f>
        <v>0.54377893726061577</v>
      </c>
      <c r="J6" s="224">
        <f ca="1">0.001*NPV(dRate,'Centrif Housed'!iec)*(1+dRate)^(_yearD-(yearC-1))</f>
        <v>40.33876709074282</v>
      </c>
      <c r="K6" s="224">
        <f ca="1">0.001*NPV(dRate,'Centrif Unhous'!iec)*(1+dRate)^(_yearD-(yearC-1))</f>
        <v>4.3629639525688368</v>
      </c>
      <c r="L6" s="224">
        <f ca="1">0.001*NPV(dRate,'Inline-Mixed'!iec)*(1+dRate)^(_yearD-(yearC-1))</f>
        <v>8.291020926113303</v>
      </c>
      <c r="M6" s="224">
        <f ca="1">0.001*NPV(dRate,Radial!iec)*(1+dRate)^(_yearD-(yearC-1))</f>
        <v>15.050399110626142</v>
      </c>
      <c r="N6" s="224">
        <f ca="1">0.001*NPV(dRate,'Power Roof Vent'!iec)*(1+dRate)^(_yearD-(yearC-1))</f>
        <v>6.1431572561127696</v>
      </c>
      <c r="O6" s="116">
        <f ca="1">SUM($H$6:$N$6)</f>
        <v>89.659036122632443</v>
      </c>
      <c r="P6" s="3"/>
      <c r="Q6" s="2"/>
    </row>
    <row r="7" spans="1:21">
      <c r="A7" s="2"/>
      <c r="B7" s="3"/>
      <c r="C7" s="105" t="s">
        <v>65</v>
      </c>
      <c r="D7" s="169" t="s">
        <v>74</v>
      </c>
      <c r="E7" s="3"/>
      <c r="F7" s="113" t="s">
        <v>59</v>
      </c>
      <c r="G7" s="114" t="str">
        <f>"mi " &amp; _yearDol &amp; "$"</f>
        <v>mi 2013$</v>
      </c>
      <c r="H7" s="225">
        <f ca="1">0.001*NPV(dRate,'Axial Housed'!ecs)*(1+dRate)^(_yearD-(yearC-1))</f>
        <v>34.283866344964665</v>
      </c>
      <c r="I7" s="225">
        <f ca="1">0.001*NPV(dRate,'Axial Unhoused'!ecs)*(1+dRate)^(_yearD-(yearC-1))</f>
        <v>1.2948989077864979</v>
      </c>
      <c r="J7" s="225">
        <f ca="1">0.001*NPV(dRate,'Centrif Housed'!ecs)*(1+dRate)^(_yearD-(yearC-1))</f>
        <v>48.22807285127692</v>
      </c>
      <c r="K7" s="225">
        <f ca="1">0.001*NPV(dRate,'Centrif Unhous'!ecs)*(1+dRate)^(_yearD-(yearC-1))</f>
        <v>32.593222116736577</v>
      </c>
      <c r="L7" s="225">
        <f ca="1">0.001*NPV(dRate,'Inline-Mixed'!ecs)*(1+dRate)^(_yearD-(yearC-1))</f>
        <v>4.4914365714534563</v>
      </c>
      <c r="M7" s="225">
        <f ca="1">0.001*NPV(dRate,Radial!ecs)*(1+dRate)^(_yearD-(yearC-1))</f>
        <v>102.45488907189092</v>
      </c>
      <c r="N7" s="225">
        <f ca="1">0.001*NPV(dRate,'Power Roof Vent'!ecs)*(1+dRate)^(_yearD-(yearC-1))</f>
        <v>8.6660122582095074</v>
      </c>
      <c r="O7" s="117">
        <f ca="1">SUM($H$7:$N$7)</f>
        <v>232.01239812231856</v>
      </c>
      <c r="P7" s="3"/>
      <c r="Q7" s="2"/>
    </row>
    <row r="8" spans="1:21">
      <c r="A8" s="2"/>
      <c r="B8" s="3"/>
      <c r="C8" s="105" t="s">
        <v>134</v>
      </c>
      <c r="D8" s="169" t="s">
        <v>113</v>
      </c>
      <c r="E8" s="3"/>
      <c r="F8" s="21" t="str">
        <f>sEnergy &amp; " Energy Savings"</f>
        <v>FFC Energy Savings</v>
      </c>
      <c r="G8" s="112" t="s">
        <v>70</v>
      </c>
      <c r="H8" s="196">
        <f ca="1">SUM($H$9)</f>
        <v>2.328547479537716E-2</v>
      </c>
      <c r="I8" s="196">
        <f ca="1">SUM($I$9)</f>
        <v>8.6190331996011203E-4</v>
      </c>
      <c r="J8" s="196">
        <f ca="1">SUM($J$9)</f>
        <v>3.1260874761521437E-2</v>
      </c>
      <c r="K8" s="196">
        <f ca="1">SUM($K$9)</f>
        <v>2.107288576629884E-2</v>
      </c>
      <c r="L8" s="196">
        <f ca="1">SUM($L$9)</f>
        <v>2.9083884386417831E-3</v>
      </c>
      <c r="M8" s="196">
        <f ca="1">SUM($M$9)</f>
        <v>7.2010638850012174E-2</v>
      </c>
      <c r="N8" s="196">
        <f ca="1">SUM($N$9)</f>
        <v>5.9903457168368019E-3</v>
      </c>
      <c r="O8" s="221">
        <f ca="1">SUM($H$8:$N$8)</f>
        <v>0.15739051164864828</v>
      </c>
      <c r="P8" s="3"/>
      <c r="Q8" s="2"/>
    </row>
    <row r="9" spans="1:21">
      <c r="A9" s="2"/>
      <c r="B9" s="159"/>
      <c r="C9" s="159"/>
      <c r="D9" s="159"/>
      <c r="E9" s="159"/>
      <c r="F9" s="113" t="str">
        <f>INDEX(_fuel,1)</f>
        <v>Electricity</v>
      </c>
      <c r="G9" s="114" t="s">
        <v>70</v>
      </c>
      <c r="H9" s="197">
        <f ca="1">0.000001*SUM('Axial Housed'!savElec)</f>
        <v>2.328547479537716E-2</v>
      </c>
      <c r="I9" s="197">
        <f ca="1">0.000001*SUM('Axial Unhoused'!savElec)</f>
        <v>8.6190331996011203E-4</v>
      </c>
      <c r="J9" s="197">
        <f ca="1">0.000001*SUM('Centrif Housed'!savElec)</f>
        <v>3.1260874761521437E-2</v>
      </c>
      <c r="K9" s="197">
        <f ca="1">0.000001*SUM('Centrif Unhous'!savElec)</f>
        <v>2.107288576629884E-2</v>
      </c>
      <c r="L9" s="197">
        <f ca="1">0.000001*SUM('Inline-Mixed'!savElec)</f>
        <v>2.9083884386417831E-3</v>
      </c>
      <c r="M9" s="197">
        <f ca="1">0.000001*SUM(Radial!savElec)</f>
        <v>7.2010638850012174E-2</v>
      </c>
      <c r="N9" s="197">
        <f ca="1">0.000001*SUM('Power Roof Vent'!savElec)</f>
        <v>5.9903457168368019E-3</v>
      </c>
      <c r="O9" s="222">
        <f ca="1">SUM($H$9:$N$9)</f>
        <v>0.15739051164864828</v>
      </c>
      <c r="P9" s="3"/>
      <c r="Q9" s="2"/>
      <c r="R9" s="195"/>
    </row>
    <row r="10" spans="1:21">
      <c r="A10" s="2"/>
      <c r="B10" s="3"/>
      <c r="C10" s="3"/>
      <c r="D10" s="3"/>
      <c r="E10" s="3"/>
      <c r="F10" s="3"/>
      <c r="G10" s="3"/>
      <c r="H10" s="3"/>
      <c r="I10" s="3"/>
      <c r="J10" s="3"/>
      <c r="K10" s="3"/>
      <c r="L10" s="3"/>
      <c r="M10" s="3"/>
      <c r="N10" s="3"/>
      <c r="O10" s="3"/>
      <c r="P10" s="3"/>
      <c r="Q10" s="2"/>
      <c r="R10" s="195"/>
      <c r="T10" s="195"/>
      <c r="U10" s="195"/>
    </row>
    <row r="11" spans="1:21">
      <c r="A11" s="2"/>
      <c r="B11" s="3"/>
      <c r="C11" s="105" t="s">
        <v>101</v>
      </c>
      <c r="D11" s="169">
        <v>1</v>
      </c>
      <c r="E11" s="3"/>
      <c r="F11" s="3"/>
      <c r="G11" s="3"/>
      <c r="H11" s="3"/>
      <c r="I11" s="3"/>
      <c r="J11" s="3"/>
      <c r="K11" s="3"/>
      <c r="L11" s="3"/>
      <c r="M11" s="3"/>
      <c r="N11" s="3"/>
      <c r="O11" s="3"/>
      <c r="P11" s="3"/>
      <c r="Q11" s="2"/>
      <c r="R11" s="195"/>
      <c r="T11" s="195"/>
      <c r="U11" s="195"/>
    </row>
    <row r="12" spans="1:21">
      <c r="A12" s="2"/>
      <c r="B12" s="3"/>
      <c r="C12" s="105" t="s">
        <v>66</v>
      </c>
      <c r="D12" s="118">
        <f>INDEX(tsl1stYear,iTSL)</f>
        <v>2019</v>
      </c>
      <c r="E12" s="3"/>
      <c r="F12" s="3"/>
      <c r="G12" s="3"/>
      <c r="H12" s="3"/>
      <c r="I12" s="3"/>
      <c r="J12" s="3"/>
      <c r="K12" s="3"/>
      <c r="L12" s="3"/>
      <c r="M12" s="3"/>
      <c r="N12" s="3"/>
      <c r="O12" s="3"/>
      <c r="P12" s="3"/>
      <c r="Q12" s="2"/>
    </row>
    <row r="13" spans="1:21">
      <c r="A13" s="2"/>
      <c r="B13" s="3"/>
      <c r="C13" s="105" t="s">
        <v>67</v>
      </c>
      <c r="D13" s="118">
        <f>CHOOSE(MATCH(sPer,{"Full","Short"},0),INDEX(tslNYears,iTSL),9)</f>
        <v>30</v>
      </c>
      <c r="E13" s="3"/>
      <c r="F13" s="3"/>
      <c r="G13" s="3"/>
      <c r="H13" s="3"/>
      <c r="I13" s="3"/>
      <c r="J13" s="3"/>
      <c r="K13" s="3"/>
      <c r="L13" s="3"/>
      <c r="M13" s="3"/>
      <c r="N13" s="3"/>
      <c r="O13" s="3"/>
      <c r="P13" s="3"/>
      <c r="Q13" s="2"/>
    </row>
    <row r="14" spans="1:21">
      <c r="A14" s="2"/>
      <c r="B14" s="3"/>
      <c r="C14" s="3"/>
      <c r="D14" s="3"/>
      <c r="E14" s="3"/>
      <c r="F14" s="3"/>
      <c r="G14" s="3"/>
      <c r="H14" s="3"/>
      <c r="I14" s="3"/>
      <c r="J14" s="3"/>
      <c r="K14" s="3"/>
      <c r="L14" s="3"/>
      <c r="M14" s="3"/>
      <c r="N14" s="3"/>
      <c r="O14" s="3"/>
      <c r="P14" s="3"/>
      <c r="Q14" s="2"/>
    </row>
    <row r="15" spans="1:21">
      <c r="A15" s="2"/>
      <c r="B15" s="2"/>
      <c r="C15" s="2"/>
      <c r="D15" s="2"/>
      <c r="E15" s="2"/>
      <c r="F15" s="2"/>
      <c r="G15" s="2"/>
      <c r="H15" s="2"/>
      <c r="I15" s="2"/>
      <c r="J15" s="2"/>
      <c r="K15" s="2"/>
      <c r="L15" s="2"/>
      <c r="M15" s="2"/>
      <c r="N15" s="2"/>
      <c r="O15" s="2"/>
      <c r="P15" s="2"/>
      <c r="Q15" s="2"/>
    </row>
    <row r="16" spans="1:21">
      <c r="A16" s="2"/>
      <c r="B16" s="2"/>
      <c r="C16" s="2"/>
      <c r="D16" s="2"/>
      <c r="E16" s="2"/>
      <c r="F16" s="2"/>
      <c r="G16" s="2"/>
      <c r="H16" s="2"/>
      <c r="I16" s="2"/>
      <c r="J16" s="2"/>
      <c r="K16" s="2"/>
      <c r="L16" s="2"/>
      <c r="M16" s="2"/>
      <c r="N16" s="2"/>
      <c r="O16" s="2"/>
      <c r="P16" s="2"/>
      <c r="Q16" s="2"/>
    </row>
    <row r="17" spans="1:17">
      <c r="A17" s="119"/>
      <c r="B17" s="121" t="s">
        <v>85</v>
      </c>
      <c r="C17" s="121"/>
      <c r="D17" s="121"/>
      <c r="E17" s="121"/>
      <c r="F17" s="121"/>
      <c r="G17" s="121"/>
      <c r="H17" s="121"/>
      <c r="I17" s="121"/>
      <c r="J17" s="121"/>
      <c r="K17" s="121"/>
      <c r="L17" s="121"/>
      <c r="M17" s="121"/>
      <c r="N17" s="121"/>
      <c r="O17" s="121"/>
      <c r="P17" s="121"/>
      <c r="Q17" s="2"/>
    </row>
    <row r="18" spans="1:17" ht="15" customHeight="1">
      <c r="A18" s="252" t="s">
        <v>135</v>
      </c>
      <c r="B18" s="252"/>
      <c r="C18" s="252"/>
      <c r="D18" s="252"/>
      <c r="E18" s="252"/>
      <c r="F18" s="252"/>
      <c r="G18" s="252"/>
      <c r="H18" s="252"/>
      <c r="I18" s="252"/>
      <c r="J18" s="252"/>
      <c r="K18" s="252"/>
      <c r="L18" s="252"/>
      <c r="M18" s="252"/>
      <c r="N18" s="252"/>
      <c r="O18" s="252"/>
      <c r="P18" s="252"/>
      <c r="Q18" s="2"/>
    </row>
    <row r="19" spans="1:17">
      <c r="A19" s="252"/>
      <c r="B19" s="252"/>
      <c r="C19" s="252"/>
      <c r="D19" s="252"/>
      <c r="E19" s="252"/>
      <c r="F19" s="252"/>
      <c r="G19" s="252"/>
      <c r="H19" s="252"/>
      <c r="I19" s="252"/>
      <c r="J19" s="252"/>
      <c r="K19" s="252"/>
      <c r="L19" s="252"/>
      <c r="M19" s="252"/>
      <c r="N19" s="252"/>
      <c r="O19" s="252"/>
      <c r="P19" s="252"/>
      <c r="Q19" s="2"/>
    </row>
    <row r="20" spans="1:17">
      <c r="A20" s="252"/>
      <c r="B20" s="252"/>
      <c r="C20" s="252"/>
      <c r="D20" s="252"/>
      <c r="E20" s="252"/>
      <c r="F20" s="252"/>
      <c r="G20" s="252"/>
      <c r="H20" s="252"/>
      <c r="I20" s="252"/>
      <c r="J20" s="252"/>
      <c r="K20" s="252"/>
      <c r="L20" s="252"/>
      <c r="M20" s="252"/>
      <c r="N20" s="252"/>
      <c r="O20" s="252"/>
      <c r="P20" s="252"/>
      <c r="Q20" s="2"/>
    </row>
    <row r="21" spans="1:17">
      <c r="A21" s="252"/>
      <c r="B21" s="252"/>
      <c r="C21" s="252"/>
      <c r="D21" s="252"/>
      <c r="E21" s="252"/>
      <c r="F21" s="252"/>
      <c r="G21" s="252"/>
      <c r="H21" s="252"/>
      <c r="I21" s="252"/>
      <c r="J21" s="252"/>
      <c r="K21" s="252"/>
      <c r="L21" s="252"/>
      <c r="M21" s="252"/>
      <c r="N21" s="252"/>
      <c r="O21" s="252"/>
      <c r="P21" s="252"/>
      <c r="Q21" s="2"/>
    </row>
    <row r="22" spans="1:17">
      <c r="A22" s="252"/>
      <c r="B22" s="252"/>
      <c r="C22" s="252"/>
      <c r="D22" s="252"/>
      <c r="E22" s="252"/>
      <c r="F22" s="252"/>
      <c r="G22" s="252"/>
      <c r="H22" s="252"/>
      <c r="I22" s="252"/>
      <c r="J22" s="252"/>
      <c r="K22" s="252"/>
      <c r="L22" s="252"/>
      <c r="M22" s="252"/>
      <c r="N22" s="252"/>
      <c r="O22" s="252"/>
      <c r="P22" s="252"/>
    </row>
    <row r="23" spans="1:17">
      <c r="A23" s="252"/>
      <c r="B23" s="252"/>
      <c r="C23" s="252"/>
      <c r="D23" s="252"/>
      <c r="E23" s="252"/>
      <c r="F23" s="252"/>
      <c r="G23" s="252"/>
      <c r="H23" s="252"/>
      <c r="I23" s="252"/>
      <c r="J23" s="252"/>
      <c r="K23" s="252"/>
      <c r="L23" s="252"/>
      <c r="M23" s="252"/>
      <c r="N23" s="252"/>
      <c r="O23" s="252"/>
      <c r="P23" s="252"/>
    </row>
    <row r="24" spans="1:17">
      <c r="A24" s="252"/>
      <c r="B24" s="252"/>
      <c r="C24" s="252"/>
      <c r="D24" s="252"/>
      <c r="E24" s="252"/>
      <c r="F24" s="252"/>
      <c r="G24" s="252"/>
      <c r="H24" s="252"/>
      <c r="I24" s="252"/>
      <c r="J24" s="252"/>
      <c r="K24" s="252"/>
      <c r="L24" s="252"/>
      <c r="M24" s="252"/>
      <c r="N24" s="252"/>
      <c r="O24" s="252"/>
      <c r="P24" s="252"/>
    </row>
    <row r="25" spans="1:17">
      <c r="A25" s="252"/>
      <c r="B25" s="252"/>
      <c r="C25" s="252"/>
      <c r="D25" s="252"/>
      <c r="E25" s="252"/>
      <c r="F25" s="252"/>
      <c r="G25" s="252"/>
      <c r="H25" s="252"/>
      <c r="I25" s="252"/>
      <c r="J25" s="252"/>
      <c r="K25" s="252"/>
      <c r="L25" s="252"/>
      <c r="M25" s="252"/>
      <c r="N25" s="252"/>
      <c r="O25" s="252"/>
      <c r="P25" s="252"/>
    </row>
    <row r="26" spans="1:17">
      <c r="A26" s="194"/>
      <c r="B26" s="194"/>
      <c r="C26" s="194"/>
      <c r="D26" s="194"/>
      <c r="E26" s="194"/>
      <c r="F26" s="194"/>
      <c r="G26" s="194"/>
      <c r="H26" s="194"/>
      <c r="I26" s="194"/>
      <c r="J26" s="194"/>
      <c r="K26" s="194"/>
      <c r="L26" s="194"/>
      <c r="M26" s="194"/>
      <c r="N26" s="194"/>
      <c r="O26" s="194"/>
      <c r="P26" s="194"/>
    </row>
    <row r="27" spans="1:17">
      <c r="A27" s="194"/>
      <c r="B27" s="194"/>
      <c r="C27" s="194"/>
      <c r="D27" s="194"/>
      <c r="E27" s="194"/>
      <c r="F27" s="194"/>
      <c r="G27" s="194"/>
      <c r="H27" s="194"/>
      <c r="I27" s="194"/>
      <c r="J27" s="194"/>
      <c r="K27" s="194"/>
      <c r="L27" s="194"/>
      <c r="M27" s="194"/>
      <c r="N27" s="194"/>
      <c r="O27" s="194"/>
      <c r="P27" s="194"/>
    </row>
    <row r="28" spans="1:17">
      <c r="A28" s="194"/>
      <c r="B28" s="194"/>
      <c r="C28" s="194"/>
      <c r="D28" s="194"/>
      <c r="E28" s="194"/>
      <c r="F28" s="194"/>
      <c r="G28" s="194"/>
      <c r="H28" s="194"/>
      <c r="I28" s="194"/>
      <c r="J28" s="194"/>
      <c r="K28" s="194"/>
      <c r="L28" s="194"/>
      <c r="M28" s="194"/>
      <c r="N28" s="194"/>
      <c r="O28" s="194"/>
      <c r="P28" s="194"/>
    </row>
    <row r="29" spans="1:17">
      <c r="A29" s="194"/>
      <c r="B29" s="194"/>
      <c r="C29" s="194"/>
      <c r="D29" s="194"/>
      <c r="E29" s="194"/>
      <c r="F29" s="194"/>
      <c r="G29" s="194"/>
      <c r="H29" s="194"/>
      <c r="I29" s="194"/>
      <c r="J29" s="194"/>
      <c r="K29" s="194"/>
      <c r="L29" s="194"/>
      <c r="M29" s="194"/>
      <c r="N29" s="194"/>
      <c r="O29" s="194"/>
      <c r="P29" s="194"/>
    </row>
  </sheetData>
  <sheetProtection formatCells="0" formatColumns="0"/>
  <mergeCells count="1">
    <mergeCell ref="A18:P25"/>
  </mergeCells>
  <conditionalFormatting sqref="D7:D8">
    <cfRule type="notContainsBlanks" dxfId="3696" priority="4" stopIfTrue="1">
      <formula>LEN(TRIM(D7))&gt;0</formula>
    </cfRule>
  </conditionalFormatting>
  <conditionalFormatting sqref="D6">
    <cfRule type="notContainsBlanks" dxfId="3695" priority="3" stopIfTrue="1">
      <formula>LEN(TRIM(D6))&gt;0</formula>
    </cfRule>
  </conditionalFormatting>
  <conditionalFormatting sqref="D5">
    <cfRule type="notContainsBlanks" dxfId="3694" priority="2" stopIfTrue="1">
      <formula>LEN(TRIM(D5))&gt;0</formula>
    </cfRule>
  </conditionalFormatting>
  <conditionalFormatting sqref="D4">
    <cfRule type="notContainsBlanks" dxfId="3693" priority="1" stopIfTrue="1">
      <formula>LEN(TRIM(D4))&gt;0</formula>
    </cfRule>
  </conditionalFormatting>
  <conditionalFormatting sqref="D11">
    <cfRule type="notContainsBlanks" dxfId="3692" priority="6" stopIfTrue="1">
      <formula>LEN(TRIM(D11))&gt;0</formula>
    </cfRule>
  </conditionalFormatting>
  <conditionalFormatting sqref="D12">
    <cfRule type="notContainsBlanks" dxfId="3691" priority="7" stopIfTrue="1">
      <formula>LEN(TRIM(D12))&gt;0</formula>
    </cfRule>
  </conditionalFormatting>
  <conditionalFormatting sqref="D13">
    <cfRule type="notContainsBlanks" dxfId="3690" priority="8" stopIfTrue="1">
      <formula>LEN(TRIM(D13))&gt;0</formula>
    </cfRule>
  </conditionalFormatting>
  <dataValidations count="6">
    <dataValidation type="list" allowBlank="1" showInputMessage="1" showErrorMessage="1" sqref="D4">
      <formula1>"Reference,Low,High"</formula1>
    </dataValidation>
    <dataValidation type="list" allowBlank="1" showInputMessage="1" showErrorMessage="1" sqref="D6">
      <formula1>"Full,Short"</formula1>
    </dataValidation>
    <dataValidation type="list" allowBlank="1" showInputMessage="1" showErrorMessage="1" sqref="D7">
      <formula1>_PIdx</formula1>
    </dataValidation>
    <dataValidation type="list" allowBlank="1" showInputMessage="1" showErrorMessage="1" sqref="D11">
      <formula1>_TSL</formula1>
    </dataValidation>
    <dataValidation type="list" allowBlank="1" showInputMessage="1" showErrorMessage="1" prompt="Select 3% or 7% discount rate." sqref="D5">
      <formula1>"3%, 7%"</formula1>
    </dataValidation>
    <dataValidation type="list" allowBlank="1" showInputMessage="1" showErrorMessage="1" sqref="D8">
      <formula1>"Site,Primary,FFC"</formula1>
    </dataValidation>
  </dataValidations>
  <pageMargins left="0.7" right="0.7" top="0.75" bottom="0.75" header="0.3" footer="0.3"/>
  <pageSetup orientation="portrait" r:id="rId1"/>
  <customProperties>
    <customPr name="IsPC"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AllScenarios"/>
  <dimension ref="A1:R259"/>
  <sheetViews>
    <sheetView zoomScale="85" zoomScaleNormal="85" workbookViewId="0"/>
  </sheetViews>
  <sheetFormatPr defaultRowHeight="14.4"/>
  <cols>
    <col min="1" max="1" width="5.6640625" customWidth="1"/>
    <col min="2" max="2" width="16.33203125" bestFit="1" customWidth="1"/>
    <col min="3" max="3" width="10.44140625" bestFit="1" customWidth="1"/>
    <col min="4" max="5" width="9.6640625" bestFit="1" customWidth="1"/>
    <col min="6" max="6" width="20.33203125" bestFit="1" customWidth="1"/>
    <col min="7" max="7" width="19.44140625" bestFit="1" customWidth="1"/>
    <col min="8" max="8" width="18.6640625" bestFit="1" customWidth="1"/>
    <col min="9" max="9" width="10.109375" bestFit="1" customWidth="1"/>
    <col min="11" max="11" width="25.109375" bestFit="1" customWidth="1"/>
    <col min="12" max="12" width="16.33203125" customWidth="1"/>
    <col min="13" max="15" width="5.6640625" customWidth="1"/>
    <col min="16" max="17" width="6.6640625" customWidth="1"/>
    <col min="18" max="18" width="7.6640625" customWidth="1"/>
  </cols>
  <sheetData>
    <row r="1" spans="1:18">
      <c r="A1" t="s">
        <v>152</v>
      </c>
    </row>
    <row r="2" spans="1:18">
      <c r="A2" t="s">
        <v>77</v>
      </c>
    </row>
    <row r="3" spans="1:18">
      <c r="A3" t="s">
        <v>78</v>
      </c>
    </row>
    <row r="4" spans="1:18">
      <c r="A4" t="s">
        <v>79</v>
      </c>
    </row>
    <row r="5" spans="1:18">
      <c r="A5" t="s">
        <v>80</v>
      </c>
    </row>
    <row r="7" spans="1:18">
      <c r="A7" s="42" t="s">
        <v>146</v>
      </c>
      <c r="B7" s="42" t="s">
        <v>145</v>
      </c>
      <c r="C7" s="42" t="s">
        <v>81</v>
      </c>
      <c r="D7" s="42" t="s">
        <v>82</v>
      </c>
      <c r="E7" s="42" t="s">
        <v>69</v>
      </c>
      <c r="F7" s="42" t="s">
        <v>58</v>
      </c>
      <c r="G7" s="42" t="s">
        <v>59</v>
      </c>
      <c r="H7" s="42" t="s">
        <v>125</v>
      </c>
      <c r="I7" s="42" t="s">
        <v>17</v>
      </c>
    </row>
    <row r="8" spans="1:18">
      <c r="A8">
        <v>1</v>
      </c>
      <c r="B8" t="s">
        <v>9</v>
      </c>
      <c r="C8" t="s">
        <v>24</v>
      </c>
      <c r="D8" s="37">
        <v>0.03</v>
      </c>
      <c r="E8" s="1">
        <v>71.930581638282135</v>
      </c>
      <c r="F8" s="1">
        <v>28.245049563650682</v>
      </c>
      <c r="G8" s="1">
        <v>100.17563120193282</v>
      </c>
      <c r="H8" s="1">
        <v>2.328547479537716E-2</v>
      </c>
      <c r="I8" s="1">
        <v>2.328547479537716E-2</v>
      </c>
      <c r="K8" s="45" t="s">
        <v>81</v>
      </c>
      <c r="L8" s="44" t="s">
        <v>24</v>
      </c>
    </row>
    <row r="9" spans="1:18">
      <c r="A9">
        <v>1</v>
      </c>
      <c r="B9" t="s">
        <v>10</v>
      </c>
      <c r="C9" t="s">
        <v>24</v>
      </c>
      <c r="D9" s="37">
        <v>0.03</v>
      </c>
      <c r="E9" s="1">
        <v>2.7262273419113434</v>
      </c>
      <c r="F9" s="1">
        <v>1.0288107481465627</v>
      </c>
      <c r="G9" s="1">
        <v>3.7550380900579059</v>
      </c>
      <c r="H9" s="1">
        <v>8.6190331996011203E-4</v>
      </c>
      <c r="I9" s="1">
        <v>8.6190331996011203E-4</v>
      </c>
      <c r="K9" s="45" t="s">
        <v>82</v>
      </c>
      <c r="L9" s="51">
        <v>7.0000000000000007E-2</v>
      </c>
    </row>
    <row r="10" spans="1:18">
      <c r="A10">
        <v>1</v>
      </c>
      <c r="B10" t="s">
        <v>11</v>
      </c>
      <c r="C10" t="s">
        <v>24</v>
      </c>
      <c r="D10" s="37">
        <v>0.03</v>
      </c>
      <c r="E10" s="1">
        <v>61.925517761749958</v>
      </c>
      <c r="F10" s="1">
        <v>76.319537786817577</v>
      </c>
      <c r="G10" s="1">
        <v>138.24505554856754</v>
      </c>
      <c r="H10" s="1">
        <v>3.1260874761521437E-2</v>
      </c>
      <c r="I10" s="1">
        <v>3.1260874761521437E-2</v>
      </c>
    </row>
    <row r="11" spans="1:18">
      <c r="A11">
        <v>1</v>
      </c>
      <c r="B11" t="s">
        <v>12</v>
      </c>
      <c r="C11" t="s">
        <v>24</v>
      </c>
      <c r="D11" s="37">
        <v>0.03</v>
      </c>
      <c r="E11" s="1">
        <v>85.060636035640812</v>
      </c>
      <c r="F11" s="1">
        <v>8.2545753441486447</v>
      </c>
      <c r="G11" s="1">
        <v>93.31521137978946</v>
      </c>
      <c r="H11" s="1">
        <v>2.107288576629884E-2</v>
      </c>
      <c r="I11" s="1">
        <v>2.107288576629884E-2</v>
      </c>
      <c r="K11" s="43"/>
      <c r="L11" s="47"/>
      <c r="M11" s="46" t="s">
        <v>146</v>
      </c>
      <c r="N11" s="47"/>
      <c r="O11" s="47"/>
      <c r="P11" s="47"/>
      <c r="Q11" s="47"/>
      <c r="R11" s="48"/>
    </row>
    <row r="12" spans="1:18">
      <c r="A12">
        <v>1</v>
      </c>
      <c r="B12" t="s">
        <v>13</v>
      </c>
      <c r="C12" t="s">
        <v>24</v>
      </c>
      <c r="D12" s="37">
        <v>0.03</v>
      </c>
      <c r="E12" s="1">
        <v>-2.8171202878906101</v>
      </c>
      <c r="F12" s="1">
        <v>15.686321880844259</v>
      </c>
      <c r="G12" s="1">
        <v>12.869201592953649</v>
      </c>
      <c r="H12" s="1">
        <v>2.9083884386417831E-3</v>
      </c>
      <c r="I12" s="1">
        <v>2.9083884386417831E-3</v>
      </c>
      <c r="K12" s="46" t="s">
        <v>83</v>
      </c>
      <c r="L12" s="46" t="s">
        <v>145</v>
      </c>
      <c r="M12" s="43">
        <v>1</v>
      </c>
      <c r="N12" s="49">
        <v>2</v>
      </c>
      <c r="O12" s="49">
        <v>3</v>
      </c>
      <c r="P12" s="49">
        <v>4</v>
      </c>
      <c r="Q12" s="49">
        <v>5</v>
      </c>
      <c r="R12" s="50">
        <v>6</v>
      </c>
    </row>
    <row r="13" spans="1:18">
      <c r="A13">
        <v>1</v>
      </c>
      <c r="B13" t="s">
        <v>14</v>
      </c>
      <c r="C13" t="s">
        <v>24</v>
      </c>
      <c r="D13" s="37">
        <v>0.03</v>
      </c>
      <c r="E13" s="1">
        <v>275.98531345668539</v>
      </c>
      <c r="F13" s="1">
        <v>28.474829214443531</v>
      </c>
      <c r="G13" s="1">
        <v>304.46014267112889</v>
      </c>
      <c r="H13" s="1">
        <v>7.2010638850012174E-2</v>
      </c>
      <c r="I13" s="1">
        <v>7.2010638850012174E-2</v>
      </c>
      <c r="K13" s="43" t="s">
        <v>126</v>
      </c>
      <c r="L13" s="43" t="s">
        <v>9</v>
      </c>
      <c r="M13" s="234">
        <v>2.328547479537716E-2</v>
      </c>
      <c r="N13" s="235">
        <v>5.3291566561160242E-2</v>
      </c>
      <c r="O13" s="235">
        <v>8.312457001440185E-2</v>
      </c>
      <c r="P13" s="235">
        <v>0.13894320920407469</v>
      </c>
      <c r="Q13" s="235">
        <v>0.60037065263776568</v>
      </c>
      <c r="R13" s="236">
        <v>1.0954096002427773</v>
      </c>
    </row>
    <row r="14" spans="1:18">
      <c r="A14">
        <v>1</v>
      </c>
      <c r="B14" t="s">
        <v>15</v>
      </c>
      <c r="C14" t="s">
        <v>24</v>
      </c>
      <c r="D14" s="37">
        <v>0.03</v>
      </c>
      <c r="E14" s="1">
        <v>13.921304077304763</v>
      </c>
      <c r="F14" s="1">
        <v>11.622638869541797</v>
      </c>
      <c r="G14" s="1">
        <v>25.54394294684656</v>
      </c>
      <c r="H14" s="1">
        <v>5.9903457168368019E-3</v>
      </c>
      <c r="I14" s="1">
        <v>5.9903457168368019E-3</v>
      </c>
      <c r="K14" s="227"/>
      <c r="L14" s="228" t="s">
        <v>10</v>
      </c>
      <c r="M14" s="237">
        <v>8.6190331996011203E-4</v>
      </c>
      <c r="N14" s="238">
        <v>1.4256216392616713E-3</v>
      </c>
      <c r="O14" s="238">
        <v>4.7142963715011265E-3</v>
      </c>
      <c r="P14" s="238">
        <v>9.0659532717738724E-3</v>
      </c>
      <c r="Q14" s="238">
        <v>0.22426181456588853</v>
      </c>
      <c r="R14" s="239">
        <v>0.76705942797849103</v>
      </c>
    </row>
    <row r="15" spans="1:18">
      <c r="A15">
        <v>1</v>
      </c>
      <c r="B15" t="s">
        <v>9</v>
      </c>
      <c r="C15" t="s">
        <v>24</v>
      </c>
      <c r="D15" s="37">
        <v>7.0000000000000007E-2</v>
      </c>
      <c r="E15" s="1">
        <v>19.354917495756716</v>
      </c>
      <c r="F15" s="1">
        <v>14.928948849207949</v>
      </c>
      <c r="G15" s="1">
        <v>34.283866344964665</v>
      </c>
      <c r="H15" s="1">
        <v>2.328547479537716E-2</v>
      </c>
      <c r="I15" s="1">
        <v>2.328547479537716E-2</v>
      </c>
      <c r="K15" s="227"/>
      <c r="L15" s="228" t="s">
        <v>11</v>
      </c>
      <c r="M15" s="237">
        <v>3.1260874761521437E-2</v>
      </c>
      <c r="N15" s="238">
        <v>0.10230970066695359</v>
      </c>
      <c r="O15" s="238">
        <v>0.23037122474221278</v>
      </c>
      <c r="P15" s="238">
        <v>0.34957742547986637</v>
      </c>
      <c r="Q15" s="238">
        <v>1.5258521493699846</v>
      </c>
      <c r="R15" s="239">
        <v>2.484257808904383</v>
      </c>
    </row>
    <row r="16" spans="1:18">
      <c r="A16">
        <v>1</v>
      </c>
      <c r="B16" t="s">
        <v>10</v>
      </c>
      <c r="C16" t="s">
        <v>24</v>
      </c>
      <c r="D16" s="37">
        <v>7.0000000000000007E-2</v>
      </c>
      <c r="E16" s="1">
        <v>0.75111997052588209</v>
      </c>
      <c r="F16" s="1">
        <v>0.54377893726061577</v>
      </c>
      <c r="G16" s="1">
        <v>1.2948989077864979</v>
      </c>
      <c r="H16" s="1">
        <v>8.6190331996011203E-4</v>
      </c>
      <c r="I16" s="1">
        <v>8.6190331996011203E-4</v>
      </c>
      <c r="K16" s="227"/>
      <c r="L16" s="228" t="s">
        <v>12</v>
      </c>
      <c r="M16" s="237">
        <v>2.107288576629884E-2</v>
      </c>
      <c r="N16" s="238">
        <v>5.6432887623574422E-2</v>
      </c>
      <c r="O16" s="238">
        <v>7.3539202341739163E-2</v>
      </c>
      <c r="P16" s="238">
        <v>0.10803472550855736</v>
      </c>
      <c r="Q16" s="238">
        <v>0.53674193710195728</v>
      </c>
      <c r="R16" s="239">
        <v>0.78508668240735535</v>
      </c>
    </row>
    <row r="17" spans="1:18">
      <c r="A17">
        <v>1</v>
      </c>
      <c r="B17" t="s">
        <v>11</v>
      </c>
      <c r="C17" t="s">
        <v>24</v>
      </c>
      <c r="D17" s="37">
        <v>7.0000000000000007E-2</v>
      </c>
      <c r="E17" s="1">
        <v>7.8893057605340999</v>
      </c>
      <c r="F17" s="1">
        <v>40.33876709074282</v>
      </c>
      <c r="G17" s="1">
        <v>48.22807285127692</v>
      </c>
      <c r="H17" s="1">
        <v>3.1260874761521437E-2</v>
      </c>
      <c r="I17" s="1">
        <v>3.1260874761521437E-2</v>
      </c>
      <c r="K17" s="227"/>
      <c r="L17" s="228" t="s">
        <v>13</v>
      </c>
      <c r="M17" s="237">
        <v>2.9083884386417831E-3</v>
      </c>
      <c r="N17" s="238">
        <v>1.3684745193121647E-2</v>
      </c>
      <c r="O17" s="238">
        <v>2.2452438549864489E-2</v>
      </c>
      <c r="P17" s="238">
        <v>3.0308054782254623E-2</v>
      </c>
      <c r="Q17" s="238">
        <v>0.13188477688406081</v>
      </c>
      <c r="R17" s="239">
        <v>0.23752346761578391</v>
      </c>
    </row>
    <row r="18" spans="1:18">
      <c r="A18">
        <v>1</v>
      </c>
      <c r="B18" t="s">
        <v>12</v>
      </c>
      <c r="C18" t="s">
        <v>24</v>
      </c>
      <c r="D18" s="37">
        <v>7.0000000000000007E-2</v>
      </c>
      <c r="E18" s="1">
        <v>28.23025816416774</v>
      </c>
      <c r="F18" s="1">
        <v>4.3629639525688368</v>
      </c>
      <c r="G18" s="1">
        <v>32.593222116736577</v>
      </c>
      <c r="H18" s="1">
        <v>2.107288576629884E-2</v>
      </c>
      <c r="I18" s="1">
        <v>2.107288576629884E-2</v>
      </c>
      <c r="K18" s="227"/>
      <c r="L18" s="228" t="s">
        <v>15</v>
      </c>
      <c r="M18" s="237">
        <v>5.9903457168368019E-3</v>
      </c>
      <c r="N18" s="238">
        <v>2.1935194123418239E-2</v>
      </c>
      <c r="O18" s="238">
        <v>5.0290259663540393E-2</v>
      </c>
      <c r="P18" s="238">
        <v>8.2549282739355148E-2</v>
      </c>
      <c r="Q18" s="238">
        <v>0.29973694996152994</v>
      </c>
      <c r="R18" s="239">
        <v>0.66688111956244345</v>
      </c>
    </row>
    <row r="19" spans="1:18">
      <c r="A19">
        <v>1</v>
      </c>
      <c r="B19" t="s">
        <v>13</v>
      </c>
      <c r="C19" t="s">
        <v>24</v>
      </c>
      <c r="D19" s="37">
        <v>7.0000000000000007E-2</v>
      </c>
      <c r="E19" s="1">
        <v>-3.7995843546598467</v>
      </c>
      <c r="F19" s="1">
        <v>8.291020926113303</v>
      </c>
      <c r="G19" s="1">
        <v>4.4914365714534563</v>
      </c>
      <c r="H19" s="1">
        <v>2.9083884386417831E-3</v>
      </c>
      <c r="I19" s="1">
        <v>2.9083884386417831E-3</v>
      </c>
      <c r="K19" s="227"/>
      <c r="L19" s="228" t="s">
        <v>14</v>
      </c>
      <c r="M19" s="237">
        <v>7.2010638850012174E-2</v>
      </c>
      <c r="N19" s="238">
        <v>0.19945553647330413</v>
      </c>
      <c r="O19" s="238">
        <v>0.34757384676043085</v>
      </c>
      <c r="P19" s="238">
        <v>0.48873956213477115</v>
      </c>
      <c r="Q19" s="238">
        <v>1.3038485864482492</v>
      </c>
      <c r="R19" s="239">
        <v>2.3708012695441161</v>
      </c>
    </row>
    <row r="20" spans="1:18">
      <c r="A20">
        <v>1</v>
      </c>
      <c r="B20" t="s">
        <v>14</v>
      </c>
      <c r="C20" t="s">
        <v>24</v>
      </c>
      <c r="D20" s="37">
        <v>7.0000000000000007E-2</v>
      </c>
      <c r="E20" s="1">
        <v>87.404489961264773</v>
      </c>
      <c r="F20" s="1">
        <v>15.050399110626142</v>
      </c>
      <c r="G20" s="1">
        <v>102.45488907189092</v>
      </c>
      <c r="H20" s="1">
        <v>7.2010638850012174E-2</v>
      </c>
      <c r="I20" s="1">
        <v>7.2010638850012174E-2</v>
      </c>
      <c r="K20" s="43" t="s">
        <v>84</v>
      </c>
      <c r="L20" s="43" t="s">
        <v>9</v>
      </c>
      <c r="M20" s="234">
        <v>19.354917495756716</v>
      </c>
      <c r="N20" s="235">
        <v>48.848066389924625</v>
      </c>
      <c r="O20" s="235">
        <v>79.441262319926011</v>
      </c>
      <c r="P20" s="235">
        <v>146.56019717262524</v>
      </c>
      <c r="Q20" s="235">
        <v>717.50206104784422</v>
      </c>
      <c r="R20" s="236">
        <v>1363.9371353036402</v>
      </c>
    </row>
    <row r="21" spans="1:18">
      <c r="A21">
        <v>1</v>
      </c>
      <c r="B21" t="s">
        <v>15</v>
      </c>
      <c r="C21" t="s">
        <v>24</v>
      </c>
      <c r="D21" s="37">
        <v>7.0000000000000007E-2</v>
      </c>
      <c r="E21" s="1">
        <v>2.5228550020967377</v>
      </c>
      <c r="F21" s="1">
        <v>6.1431572561127696</v>
      </c>
      <c r="G21" s="1">
        <v>8.6660122582095074</v>
      </c>
      <c r="H21" s="1">
        <v>5.9903457168368019E-3</v>
      </c>
      <c r="I21" s="1">
        <v>5.9903457168368019E-3</v>
      </c>
      <c r="K21" s="227"/>
      <c r="L21" s="228" t="s">
        <v>10</v>
      </c>
      <c r="M21" s="237">
        <v>0.75111997052588209</v>
      </c>
      <c r="N21" s="238">
        <v>1.1074242647872985</v>
      </c>
      <c r="O21" s="238">
        <v>5.2895174784501133</v>
      </c>
      <c r="P21" s="238">
        <v>11.434003367996665</v>
      </c>
      <c r="Q21" s="238">
        <v>331.45862205974748</v>
      </c>
      <c r="R21" s="239">
        <v>1144.5578036271422</v>
      </c>
    </row>
    <row r="22" spans="1:18">
      <c r="A22">
        <v>1</v>
      </c>
      <c r="B22" t="s">
        <v>9</v>
      </c>
      <c r="C22" t="s">
        <v>75</v>
      </c>
      <c r="D22" s="37">
        <v>0.03</v>
      </c>
      <c r="E22" s="1">
        <v>62.444999198299115</v>
      </c>
      <c r="F22" s="1">
        <v>26.386346884949536</v>
      </c>
      <c r="G22" s="1">
        <v>88.831346083248647</v>
      </c>
      <c r="H22" s="1">
        <v>2.1703664052979819E-2</v>
      </c>
      <c r="I22" s="1">
        <v>2.1703664052979819E-2</v>
      </c>
      <c r="K22" s="227"/>
      <c r="L22" s="228" t="s">
        <v>11</v>
      </c>
      <c r="M22" s="237">
        <v>7.8893057605340999</v>
      </c>
      <c r="N22" s="238">
        <v>63.729061917697038</v>
      </c>
      <c r="O22" s="238">
        <v>215.18845369296145</v>
      </c>
      <c r="P22" s="238">
        <v>348.12344983757373</v>
      </c>
      <c r="Q22" s="238">
        <v>1834.9837740468197</v>
      </c>
      <c r="R22" s="239">
        <v>3098.9596281223517</v>
      </c>
    </row>
    <row r="23" spans="1:18">
      <c r="A23">
        <v>1</v>
      </c>
      <c r="B23" t="s">
        <v>10</v>
      </c>
      <c r="C23" t="s">
        <v>75</v>
      </c>
      <c r="D23" s="37">
        <v>0.03</v>
      </c>
      <c r="E23" s="1">
        <v>2.3700341832681988</v>
      </c>
      <c r="F23" s="1">
        <v>0.96110850216015553</v>
      </c>
      <c r="G23" s="1">
        <v>3.3311426854283543</v>
      </c>
      <c r="H23" s="1">
        <v>8.0335417400554396E-4</v>
      </c>
      <c r="I23" s="1">
        <v>8.0335417400554396E-4</v>
      </c>
      <c r="K23" s="227"/>
      <c r="L23" s="228" t="s">
        <v>12</v>
      </c>
      <c r="M23" s="237">
        <v>28.23025816416774</v>
      </c>
      <c r="N23" s="238">
        <v>76.596648193895632</v>
      </c>
      <c r="O23" s="238">
        <v>96.407948094773801</v>
      </c>
      <c r="P23" s="238">
        <v>145.05330636441028</v>
      </c>
      <c r="Q23" s="238">
        <v>786.88804286781942</v>
      </c>
      <c r="R23" s="239">
        <v>1153.7654832123155</v>
      </c>
    </row>
    <row r="24" spans="1:18">
      <c r="A24">
        <v>1</v>
      </c>
      <c r="B24" t="s">
        <v>11</v>
      </c>
      <c r="C24" t="s">
        <v>75</v>
      </c>
      <c r="D24" s="37">
        <v>0.03</v>
      </c>
      <c r="E24" s="1">
        <v>51.406207307057159</v>
      </c>
      <c r="F24" s="1">
        <v>71.297230107664163</v>
      </c>
      <c r="G24" s="1">
        <v>122.70343741472132</v>
      </c>
      <c r="H24" s="1">
        <v>2.9137397297531481E-2</v>
      </c>
      <c r="I24" s="1">
        <v>2.9137397297531481E-2</v>
      </c>
      <c r="K24" s="227"/>
      <c r="L24" s="228" t="s">
        <v>13</v>
      </c>
      <c r="M24" s="237">
        <v>-3.7995843546598467</v>
      </c>
      <c r="N24" s="238">
        <v>3.1475320894024463</v>
      </c>
      <c r="O24" s="238">
        <v>8.2076343603895587</v>
      </c>
      <c r="P24" s="238">
        <v>9.7670051104325069</v>
      </c>
      <c r="Q24" s="238">
        <v>95.363100449738255</v>
      </c>
      <c r="R24" s="239">
        <v>204.65428338009716</v>
      </c>
    </row>
    <row r="25" spans="1:18">
      <c r="A25">
        <v>1</v>
      </c>
      <c r="B25" t="s">
        <v>12</v>
      </c>
      <c r="C25" t="s">
        <v>75</v>
      </c>
      <c r="D25" s="37">
        <v>0.03</v>
      </c>
      <c r="E25" s="1">
        <v>75.117456069398813</v>
      </c>
      <c r="F25" s="1">
        <v>7.7113721442698706</v>
      </c>
      <c r="G25" s="1">
        <v>82.828828213668686</v>
      </c>
      <c r="H25" s="1">
        <v>1.9641458733126161E-2</v>
      </c>
      <c r="I25" s="1">
        <v>1.9641458733126161E-2</v>
      </c>
      <c r="K25" s="227"/>
      <c r="L25" s="228" t="s">
        <v>15</v>
      </c>
      <c r="M25" s="237">
        <v>2.5228550020967377</v>
      </c>
      <c r="N25" s="238">
        <v>19.3519248032005</v>
      </c>
      <c r="O25" s="238">
        <v>54.481766201614533</v>
      </c>
      <c r="P25" s="238">
        <v>94.545083298077515</v>
      </c>
      <c r="Q25" s="238">
        <v>370.99608371485249</v>
      </c>
      <c r="R25" s="239">
        <v>877.78874164934598</v>
      </c>
    </row>
    <row r="26" spans="1:18">
      <c r="A26">
        <v>1</v>
      </c>
      <c r="B26" t="s">
        <v>13</v>
      </c>
      <c r="C26" t="s">
        <v>75</v>
      </c>
      <c r="D26" s="37">
        <v>0.03</v>
      </c>
      <c r="E26" s="1">
        <v>-3.2314042699251342</v>
      </c>
      <c r="F26" s="1">
        <v>14.654062814235452</v>
      </c>
      <c r="G26" s="1">
        <v>11.422658544310318</v>
      </c>
      <c r="H26" s="1">
        <v>2.7108289283111634E-3</v>
      </c>
      <c r="I26" s="1">
        <v>2.7108289283111634E-3</v>
      </c>
      <c r="K26" s="227"/>
      <c r="L26" s="228" t="s">
        <v>14</v>
      </c>
      <c r="M26" s="237">
        <v>87.404489961264773</v>
      </c>
      <c r="N26" s="238">
        <v>254.6248386334897</v>
      </c>
      <c r="O26" s="238">
        <v>450.89922261577715</v>
      </c>
      <c r="P26" s="238">
        <v>637.12313041963944</v>
      </c>
      <c r="Q26" s="238">
        <v>1707.40276292924</v>
      </c>
      <c r="R26" s="239">
        <v>3155.9707638320501</v>
      </c>
    </row>
    <row r="27" spans="1:18">
      <c r="A27">
        <v>1</v>
      </c>
      <c r="B27" t="s">
        <v>14</v>
      </c>
      <c r="C27" t="s">
        <v>75</v>
      </c>
      <c r="D27" s="37">
        <v>0.03</v>
      </c>
      <c r="E27" s="1">
        <v>243.19684997861663</v>
      </c>
      <c r="F27" s="1">
        <v>26.601005583255574</v>
      </c>
      <c r="G27" s="1">
        <v>269.79785556187221</v>
      </c>
      <c r="H27" s="1">
        <v>6.7118618143616568E-2</v>
      </c>
      <c r="I27" s="1">
        <v>6.7118618143616568E-2</v>
      </c>
      <c r="K27" s="43" t="s">
        <v>147</v>
      </c>
      <c r="L27" s="47"/>
      <c r="M27" s="234">
        <v>0.15739051164864831</v>
      </c>
      <c r="N27" s="235">
        <v>0.44853525228079394</v>
      </c>
      <c r="O27" s="235">
        <v>0.81206583844369074</v>
      </c>
      <c r="P27" s="235">
        <v>1.2072182131206532</v>
      </c>
      <c r="Q27" s="235">
        <v>4.6226968669694362</v>
      </c>
      <c r="R27" s="236">
        <v>8.4070193762553487</v>
      </c>
    </row>
    <row r="28" spans="1:18">
      <c r="A28">
        <v>1</v>
      </c>
      <c r="B28" t="s">
        <v>15</v>
      </c>
      <c r="C28" t="s">
        <v>75</v>
      </c>
      <c r="D28" s="37">
        <v>0.03</v>
      </c>
      <c r="E28" s="1">
        <v>11.785529011053166</v>
      </c>
      <c r="F28" s="1">
        <v>10.857795814417729</v>
      </c>
      <c r="G28" s="1">
        <v>22.643324825470895</v>
      </c>
      <c r="H28" s="1">
        <v>5.5834027064208258E-3</v>
      </c>
      <c r="I28" s="1">
        <v>5.5834027064208258E-3</v>
      </c>
      <c r="K28" s="226" t="s">
        <v>148</v>
      </c>
      <c r="L28" s="229"/>
      <c r="M28" s="232">
        <v>142.35336199968611</v>
      </c>
      <c r="N28" s="233">
        <v>467.40549629239723</v>
      </c>
      <c r="O28" s="233">
        <v>909.91580476389254</v>
      </c>
      <c r="P28" s="233">
        <v>1392.6061755707556</v>
      </c>
      <c r="Q28" s="233">
        <v>5844.5944471160619</v>
      </c>
      <c r="R28" s="240">
        <v>10999.633839126942</v>
      </c>
    </row>
    <row r="29" spans="1:18">
      <c r="A29">
        <v>1</v>
      </c>
      <c r="B29" t="s">
        <v>9</v>
      </c>
      <c r="C29" t="s">
        <v>75</v>
      </c>
      <c r="D29" s="37">
        <v>7.0000000000000007E-2</v>
      </c>
      <c r="E29" s="1">
        <v>16.733911682218427</v>
      </c>
      <c r="F29" s="1">
        <v>13.984811856472328</v>
      </c>
      <c r="G29" s="1">
        <v>30.718723538690753</v>
      </c>
      <c r="H29" s="1">
        <v>2.1703664052979819E-2</v>
      </c>
      <c r="I29" s="1">
        <v>2.1703664052979819E-2</v>
      </c>
    </row>
    <row r="30" spans="1:18">
      <c r="A30">
        <v>1</v>
      </c>
      <c r="B30" t="s">
        <v>10</v>
      </c>
      <c r="C30" t="s">
        <v>75</v>
      </c>
      <c r="D30" s="37">
        <v>7.0000000000000007E-2</v>
      </c>
      <c r="E30" s="1">
        <v>0.65098002010669165</v>
      </c>
      <c r="F30" s="1">
        <v>0.50938925479041031</v>
      </c>
      <c r="G30" s="1">
        <v>1.160369274897102</v>
      </c>
      <c r="H30" s="1">
        <v>8.0335417400554396E-4</v>
      </c>
      <c r="I30" s="1">
        <v>8.0335417400554396E-4</v>
      </c>
    </row>
    <row r="31" spans="1:18">
      <c r="A31">
        <v>1</v>
      </c>
      <c r="B31" t="s">
        <v>11</v>
      </c>
      <c r="C31" t="s">
        <v>75</v>
      </c>
      <c r="D31" s="37">
        <v>7.0000000000000007E-2</v>
      </c>
      <c r="E31" s="1">
        <v>5.4397551450995252</v>
      </c>
      <c r="F31" s="1">
        <v>37.787661675592545</v>
      </c>
      <c r="G31" s="1">
        <v>43.227416820692071</v>
      </c>
      <c r="H31" s="1">
        <v>2.9137397297531481E-2</v>
      </c>
      <c r="I31" s="1">
        <v>2.9137397297531481E-2</v>
      </c>
    </row>
    <row r="32" spans="1:18">
      <c r="A32">
        <v>1</v>
      </c>
      <c r="B32" t="s">
        <v>12</v>
      </c>
      <c r="C32" t="s">
        <v>75</v>
      </c>
      <c r="D32" s="37">
        <v>7.0000000000000007E-2</v>
      </c>
      <c r="E32" s="1">
        <v>25.127412448208545</v>
      </c>
      <c r="F32" s="1">
        <v>4.087041266571374</v>
      </c>
      <c r="G32" s="1">
        <v>29.214453714779921</v>
      </c>
      <c r="H32" s="1">
        <v>1.9641458733126161E-2</v>
      </c>
      <c r="I32" s="1">
        <v>1.9641458733126161E-2</v>
      </c>
    </row>
    <row r="33" spans="1:9">
      <c r="A33">
        <v>1</v>
      </c>
      <c r="B33" t="s">
        <v>13</v>
      </c>
      <c r="C33" t="s">
        <v>75</v>
      </c>
      <c r="D33" s="37">
        <v>7.0000000000000007E-2</v>
      </c>
      <c r="E33" s="1">
        <v>-3.7409134079626387</v>
      </c>
      <c r="F33" s="1">
        <v>7.7666799532186221</v>
      </c>
      <c r="G33" s="1">
        <v>4.0257665452559834</v>
      </c>
      <c r="H33" s="1">
        <v>2.7108289283111634E-3</v>
      </c>
      <c r="I33" s="1">
        <v>2.7108289283111634E-3</v>
      </c>
    </row>
    <row r="34" spans="1:9">
      <c r="A34">
        <v>1</v>
      </c>
      <c r="B34" t="s">
        <v>14</v>
      </c>
      <c r="C34" t="s">
        <v>75</v>
      </c>
      <c r="D34" s="37">
        <v>7.0000000000000007E-2</v>
      </c>
      <c r="E34" s="1">
        <v>77.666882703043996</v>
      </c>
      <c r="F34" s="1">
        <v>14.098581357125623</v>
      </c>
      <c r="G34" s="1">
        <v>91.76546406016962</v>
      </c>
      <c r="H34" s="1">
        <v>6.7118618143616568E-2</v>
      </c>
      <c r="I34" s="1">
        <v>6.7118618143616568E-2</v>
      </c>
    </row>
    <row r="35" spans="1:9">
      <c r="A35">
        <v>1</v>
      </c>
      <c r="B35" t="s">
        <v>15</v>
      </c>
      <c r="C35" t="s">
        <v>75</v>
      </c>
      <c r="D35" s="37">
        <v>7.0000000000000007E-2</v>
      </c>
      <c r="E35" s="1">
        <v>2.0086166582451561</v>
      </c>
      <c r="F35" s="1">
        <v>5.7546515363684101</v>
      </c>
      <c r="G35" s="1">
        <v>7.7632681946135662</v>
      </c>
      <c r="H35" s="1">
        <v>5.5834027064208258E-3</v>
      </c>
      <c r="I35" s="1">
        <v>5.5834027064208258E-3</v>
      </c>
    </row>
    <row r="36" spans="1:9">
      <c r="A36">
        <v>1</v>
      </c>
      <c r="B36" t="s">
        <v>9</v>
      </c>
      <c r="C36" t="s">
        <v>76</v>
      </c>
      <c r="D36" s="37">
        <v>0.03</v>
      </c>
      <c r="E36" s="1">
        <v>82.679548286821486</v>
      </c>
      <c r="F36" s="1">
        <v>30.226345730577108</v>
      </c>
      <c r="G36" s="1">
        <v>112.90589401739859</v>
      </c>
      <c r="H36" s="1">
        <v>2.4975065574602263E-2</v>
      </c>
      <c r="I36" s="1">
        <v>2.4975065574602263E-2</v>
      </c>
    </row>
    <row r="37" spans="1:9">
      <c r="A37">
        <v>1</v>
      </c>
      <c r="B37" t="s">
        <v>10</v>
      </c>
      <c r="C37" t="s">
        <v>76</v>
      </c>
      <c r="D37" s="37">
        <v>0.03</v>
      </c>
      <c r="E37" s="1">
        <v>3.1280371047721638</v>
      </c>
      <c r="F37" s="1">
        <v>1.1009783960454267</v>
      </c>
      <c r="G37" s="1">
        <v>4.2290155008175905</v>
      </c>
      <c r="H37" s="1">
        <v>9.2444224366805636E-4</v>
      </c>
      <c r="I37" s="1">
        <v>9.2444224366805636E-4</v>
      </c>
    </row>
    <row r="38" spans="1:9">
      <c r="A38">
        <v>1</v>
      </c>
      <c r="B38" t="s">
        <v>11</v>
      </c>
      <c r="C38" t="s">
        <v>76</v>
      </c>
      <c r="D38" s="37">
        <v>0.03</v>
      </c>
      <c r="E38" s="1">
        <v>73.869308762354152</v>
      </c>
      <c r="F38" s="1">
        <v>81.673099207832635</v>
      </c>
      <c r="G38" s="1">
        <v>155.54240797018679</v>
      </c>
      <c r="H38" s="1">
        <v>3.3529085148663609E-2</v>
      </c>
      <c r="I38" s="1">
        <v>3.3529085148663609E-2</v>
      </c>
    </row>
    <row r="39" spans="1:9">
      <c r="A39">
        <v>1</v>
      </c>
      <c r="B39" t="s">
        <v>12</v>
      </c>
      <c r="C39" t="s">
        <v>76</v>
      </c>
      <c r="D39" s="37">
        <v>0.03</v>
      </c>
      <c r="E39" s="1">
        <v>96.147380317312326</v>
      </c>
      <c r="F39" s="1">
        <v>8.8336063156507905</v>
      </c>
      <c r="G39" s="1">
        <v>104.98098663296312</v>
      </c>
      <c r="H39" s="1">
        <v>2.2601878334134257E-2</v>
      </c>
      <c r="I39" s="1">
        <v>2.2601878334134257E-2</v>
      </c>
    </row>
    <row r="40" spans="1:9">
      <c r="A40">
        <v>1</v>
      </c>
      <c r="B40" t="s">
        <v>13</v>
      </c>
      <c r="C40" t="s">
        <v>76</v>
      </c>
      <c r="D40" s="37">
        <v>0.03</v>
      </c>
      <c r="E40" s="1">
        <v>-2.3077787294929806</v>
      </c>
      <c r="F40" s="1">
        <v>16.786665123140697</v>
      </c>
      <c r="G40" s="1">
        <v>14.478886393647716</v>
      </c>
      <c r="H40" s="1">
        <v>3.1194134760321756E-3</v>
      </c>
      <c r="I40" s="1">
        <v>3.1194134760321756E-3</v>
      </c>
    </row>
    <row r="41" spans="1:9">
      <c r="A41">
        <v>1</v>
      </c>
      <c r="B41" t="s">
        <v>14</v>
      </c>
      <c r="C41" t="s">
        <v>76</v>
      </c>
      <c r="D41" s="37">
        <v>0.03</v>
      </c>
      <c r="E41" s="1">
        <v>313.11107912625101</v>
      </c>
      <c r="F41" s="1">
        <v>30.472243658674724</v>
      </c>
      <c r="G41" s="1">
        <v>343.58332278492571</v>
      </c>
      <c r="H41" s="1">
        <v>7.7235887289136926E-2</v>
      </c>
      <c r="I41" s="1">
        <v>7.7235887289136926E-2</v>
      </c>
    </row>
    <row r="42" spans="1:9">
      <c r="A42">
        <v>1</v>
      </c>
      <c r="B42" t="s">
        <v>15</v>
      </c>
      <c r="C42" t="s">
        <v>76</v>
      </c>
      <c r="D42" s="37">
        <v>0.03</v>
      </c>
      <c r="E42" s="1">
        <v>16.370699287231417</v>
      </c>
      <c r="F42" s="1">
        <v>12.437928281227883</v>
      </c>
      <c r="G42" s="1">
        <v>28.808627568459301</v>
      </c>
      <c r="H42" s="1">
        <v>6.4250120595515572E-3</v>
      </c>
      <c r="I42" s="1">
        <v>6.4250120595515572E-3</v>
      </c>
    </row>
    <row r="43" spans="1:9">
      <c r="A43">
        <v>1</v>
      </c>
      <c r="B43" t="s">
        <v>9</v>
      </c>
      <c r="C43" t="s">
        <v>76</v>
      </c>
      <c r="D43" s="37">
        <v>7.0000000000000007E-2</v>
      </c>
      <c r="E43" s="1">
        <v>22.077799401911825</v>
      </c>
      <c r="F43" s="1">
        <v>15.938603182059467</v>
      </c>
      <c r="G43" s="1">
        <v>38.016402583971292</v>
      </c>
      <c r="H43" s="1">
        <v>2.4975065574602263E-2</v>
      </c>
      <c r="I43" s="1">
        <v>2.4975065574602263E-2</v>
      </c>
    </row>
    <row r="44" spans="1:9">
      <c r="A44">
        <v>1</v>
      </c>
      <c r="B44" t="s">
        <v>10</v>
      </c>
      <c r="C44" t="s">
        <v>76</v>
      </c>
      <c r="D44" s="37">
        <v>7.0000000000000007E-2</v>
      </c>
      <c r="E44" s="1">
        <v>0.85501960181940551</v>
      </c>
      <c r="F44" s="1">
        <v>0.58055505362782489</v>
      </c>
      <c r="G44" s="1">
        <v>1.4355746554472304</v>
      </c>
      <c r="H44" s="1">
        <v>9.2444224366805636E-4</v>
      </c>
      <c r="I44" s="1">
        <v>9.2444224366805636E-4</v>
      </c>
    </row>
    <row r="45" spans="1:9">
      <c r="A45">
        <v>1</v>
      </c>
      <c r="B45" t="s">
        <v>11</v>
      </c>
      <c r="C45" t="s">
        <v>76</v>
      </c>
      <c r="D45" s="37">
        <v>7.0000000000000007E-2</v>
      </c>
      <c r="E45" s="1">
        <v>10.377839197090836</v>
      </c>
      <c r="F45" s="1">
        <v>43.066903638495695</v>
      </c>
      <c r="G45" s="1">
        <v>53.444742835586531</v>
      </c>
      <c r="H45" s="1">
        <v>3.3529085148663609E-2</v>
      </c>
      <c r="I45" s="1">
        <v>3.3529085148663609E-2</v>
      </c>
    </row>
    <row r="46" spans="1:9">
      <c r="A46">
        <v>1</v>
      </c>
      <c r="B46" t="s">
        <v>12</v>
      </c>
      <c r="C46" t="s">
        <v>76</v>
      </c>
      <c r="D46" s="37">
        <v>7.0000000000000007E-2</v>
      </c>
      <c r="E46" s="1">
        <v>31.458957055575684</v>
      </c>
      <c r="F46" s="1">
        <v>4.6580339875244379</v>
      </c>
      <c r="G46" s="1">
        <v>36.116991043100121</v>
      </c>
      <c r="H46" s="1">
        <v>2.2601878334134257E-2</v>
      </c>
      <c r="I46" s="1">
        <v>2.2601878334134257E-2</v>
      </c>
    </row>
    <row r="47" spans="1:9">
      <c r="A47">
        <v>1</v>
      </c>
      <c r="B47" t="s">
        <v>13</v>
      </c>
      <c r="C47" t="s">
        <v>76</v>
      </c>
      <c r="D47" s="37">
        <v>7.0000000000000007E-2</v>
      </c>
      <c r="E47" s="1">
        <v>-3.8745690565763065</v>
      </c>
      <c r="F47" s="1">
        <v>8.8517479596349702</v>
      </c>
      <c r="G47" s="1">
        <v>4.9771789030586637</v>
      </c>
      <c r="H47" s="1">
        <v>3.1194134760321756E-3</v>
      </c>
      <c r="I47" s="1">
        <v>3.1194134760321756E-3</v>
      </c>
    </row>
    <row r="48" spans="1:9">
      <c r="A48">
        <v>1</v>
      </c>
      <c r="B48" t="s">
        <v>14</v>
      </c>
      <c r="C48" t="s">
        <v>76</v>
      </c>
      <c r="D48" s="37">
        <v>7.0000000000000007E-2</v>
      </c>
      <c r="E48" s="1">
        <v>97.621602888682048</v>
      </c>
      <c r="F48" s="1">
        <v>16.068267202122392</v>
      </c>
      <c r="G48" s="1">
        <v>113.68987009080445</v>
      </c>
      <c r="H48" s="1">
        <v>7.7235887289136926E-2</v>
      </c>
      <c r="I48" s="1">
        <v>7.7235887289136926E-2</v>
      </c>
    </row>
    <row r="49" spans="1:9">
      <c r="A49">
        <v>1</v>
      </c>
      <c r="B49" t="s">
        <v>15</v>
      </c>
      <c r="C49" t="s">
        <v>76</v>
      </c>
      <c r="D49" s="37">
        <v>7.0000000000000007E-2</v>
      </c>
      <c r="E49" s="1">
        <v>3.0544577777499136</v>
      </c>
      <c r="F49" s="1">
        <v>6.5586228996534839</v>
      </c>
      <c r="G49" s="1">
        <v>9.6130806774033974</v>
      </c>
      <c r="H49" s="1">
        <v>6.4250120595515572E-3</v>
      </c>
      <c r="I49" s="1">
        <v>6.4250120595515572E-3</v>
      </c>
    </row>
    <row r="50" spans="1:9">
      <c r="A50">
        <v>2</v>
      </c>
      <c r="B50" t="s">
        <v>9</v>
      </c>
      <c r="C50" t="s">
        <v>24</v>
      </c>
      <c r="D50" s="37">
        <v>0.03</v>
      </c>
      <c r="E50" s="1">
        <v>173.23396552540504</v>
      </c>
      <c r="F50" s="1">
        <v>56.029829390378055</v>
      </c>
      <c r="G50" s="1">
        <v>229.26379491578308</v>
      </c>
      <c r="H50" s="1">
        <v>5.3291566561160242E-2</v>
      </c>
      <c r="I50" s="1">
        <v>5.3291566561160242E-2</v>
      </c>
    </row>
    <row r="51" spans="1:9">
      <c r="A51">
        <v>2</v>
      </c>
      <c r="B51" t="s">
        <v>10</v>
      </c>
      <c r="C51" t="s">
        <v>24</v>
      </c>
      <c r="D51" s="37">
        <v>0.03</v>
      </c>
      <c r="E51" s="1">
        <v>4.2539514473704205</v>
      </c>
      <c r="F51" s="1">
        <v>1.9570277117331187</v>
      </c>
      <c r="G51" s="1">
        <v>6.2109791591035393</v>
      </c>
      <c r="H51" s="1">
        <v>1.4256216392616713E-3</v>
      </c>
      <c r="I51" s="1">
        <v>1.4256216392616713E-3</v>
      </c>
    </row>
    <row r="52" spans="1:9">
      <c r="A52">
        <v>2</v>
      </c>
      <c r="B52" t="s">
        <v>11</v>
      </c>
      <c r="C52" t="s">
        <v>24</v>
      </c>
      <c r="D52" s="37">
        <v>0.03</v>
      </c>
      <c r="E52" s="1">
        <v>274.39088974514641</v>
      </c>
      <c r="F52" s="1">
        <v>178.05359108775804</v>
      </c>
      <c r="G52" s="1">
        <v>452.44448083290445</v>
      </c>
      <c r="H52" s="1">
        <v>0.10230970066695359</v>
      </c>
      <c r="I52" s="1">
        <v>0.10230970066695359</v>
      </c>
    </row>
    <row r="53" spans="1:9">
      <c r="A53">
        <v>2</v>
      </c>
      <c r="B53" t="s">
        <v>12</v>
      </c>
      <c r="C53" t="s">
        <v>24</v>
      </c>
      <c r="D53" s="37">
        <v>0.03</v>
      </c>
      <c r="E53" s="1">
        <v>229.67636107530134</v>
      </c>
      <c r="F53" s="1">
        <v>20.220444505433949</v>
      </c>
      <c r="G53" s="1">
        <v>249.8968055807353</v>
      </c>
      <c r="H53" s="1">
        <v>5.6432887623574422E-2</v>
      </c>
      <c r="I53" s="1">
        <v>5.6432887623574422E-2</v>
      </c>
    </row>
    <row r="54" spans="1:9">
      <c r="A54">
        <v>2</v>
      </c>
      <c r="B54" t="s">
        <v>13</v>
      </c>
      <c r="C54" t="s">
        <v>24</v>
      </c>
      <c r="D54" s="37">
        <v>0.03</v>
      </c>
      <c r="E54" s="1">
        <v>26.524381869044092</v>
      </c>
      <c r="F54" s="1">
        <v>34.028652346953429</v>
      </c>
      <c r="G54" s="1">
        <v>60.553034215997521</v>
      </c>
      <c r="H54" s="1">
        <v>1.3684745193121647E-2</v>
      </c>
      <c r="I54" s="1">
        <v>1.3684745193121647E-2</v>
      </c>
    </row>
    <row r="55" spans="1:9">
      <c r="A55">
        <v>2</v>
      </c>
      <c r="B55" t="s">
        <v>14</v>
      </c>
      <c r="C55" t="s">
        <v>24</v>
      </c>
      <c r="D55" s="37">
        <v>0.03</v>
      </c>
      <c r="E55" s="1">
        <v>788.13472513164447</v>
      </c>
      <c r="F55" s="1">
        <v>55.160960908492015</v>
      </c>
      <c r="G55" s="1">
        <v>843.2956860401365</v>
      </c>
      <c r="H55" s="1">
        <v>0.19945553647330413</v>
      </c>
      <c r="I55" s="1">
        <v>0.19945553647330413</v>
      </c>
    </row>
    <row r="56" spans="1:9">
      <c r="A56">
        <v>2</v>
      </c>
      <c r="B56" t="s">
        <v>15</v>
      </c>
      <c r="C56" t="s">
        <v>24</v>
      </c>
      <c r="D56" s="37">
        <v>0.03</v>
      </c>
      <c r="E56" s="1">
        <v>70.111475645998922</v>
      </c>
      <c r="F56" s="1">
        <v>23.424252290668061</v>
      </c>
      <c r="G56" s="1">
        <v>93.535727936666987</v>
      </c>
      <c r="H56" s="1">
        <v>2.1935194123418239E-2</v>
      </c>
      <c r="I56" s="1">
        <v>2.1935194123418239E-2</v>
      </c>
    </row>
    <row r="57" spans="1:9">
      <c r="A57">
        <v>2</v>
      </c>
      <c r="B57" t="s">
        <v>9</v>
      </c>
      <c r="C57" t="s">
        <v>24</v>
      </c>
      <c r="D57" s="37">
        <v>7.0000000000000007E-2</v>
      </c>
      <c r="E57" s="1">
        <v>48.848066389924625</v>
      </c>
      <c r="F57" s="1">
        <v>29.614621674279974</v>
      </c>
      <c r="G57" s="1">
        <v>78.462688064204599</v>
      </c>
      <c r="H57" s="1">
        <v>5.3291566561160242E-2</v>
      </c>
      <c r="I57" s="1">
        <v>5.3291566561160242E-2</v>
      </c>
    </row>
    <row r="58" spans="1:9">
      <c r="A58">
        <v>2</v>
      </c>
      <c r="B58" t="s">
        <v>10</v>
      </c>
      <c r="C58" t="s">
        <v>24</v>
      </c>
      <c r="D58" s="37">
        <v>7.0000000000000007E-2</v>
      </c>
      <c r="E58" s="1">
        <v>1.1074242647872985</v>
      </c>
      <c r="F58" s="1">
        <v>1.0343889303188025</v>
      </c>
      <c r="G58" s="1">
        <v>2.141813195106101</v>
      </c>
      <c r="H58" s="1">
        <v>1.4256216392616713E-3</v>
      </c>
      <c r="I58" s="1">
        <v>1.4256216392616713E-3</v>
      </c>
    </row>
    <row r="59" spans="1:9">
      <c r="A59">
        <v>2</v>
      </c>
      <c r="B59" t="s">
        <v>11</v>
      </c>
      <c r="C59" t="s">
        <v>24</v>
      </c>
      <c r="D59" s="37">
        <v>7.0000000000000007E-2</v>
      </c>
      <c r="E59" s="1">
        <v>63.729061917697038</v>
      </c>
      <c r="F59" s="1">
        <v>94.110401462625674</v>
      </c>
      <c r="G59" s="1">
        <v>157.83946338032271</v>
      </c>
      <c r="H59" s="1">
        <v>0.10230970066695359</v>
      </c>
      <c r="I59" s="1">
        <v>0.10230970066695359</v>
      </c>
    </row>
    <row r="60" spans="1:9">
      <c r="A60">
        <v>2</v>
      </c>
      <c r="B60" t="s">
        <v>12</v>
      </c>
      <c r="C60" t="s">
        <v>24</v>
      </c>
      <c r="D60" s="37">
        <v>7.0000000000000007E-2</v>
      </c>
      <c r="E60" s="1">
        <v>76.596648193895632</v>
      </c>
      <c r="F60" s="1">
        <v>10.687535918448367</v>
      </c>
      <c r="G60" s="1">
        <v>87.284184112343993</v>
      </c>
      <c r="H60" s="1">
        <v>5.6432887623574422E-2</v>
      </c>
      <c r="I60" s="1">
        <v>5.6432887623574422E-2</v>
      </c>
    </row>
    <row r="61" spans="1:9">
      <c r="A61">
        <v>2</v>
      </c>
      <c r="B61" t="s">
        <v>13</v>
      </c>
      <c r="C61" t="s">
        <v>24</v>
      </c>
      <c r="D61" s="37">
        <v>7.0000000000000007E-2</v>
      </c>
      <c r="E61" s="1">
        <v>3.1475320894024463</v>
      </c>
      <c r="F61" s="1">
        <v>17.985877813750484</v>
      </c>
      <c r="G61" s="1">
        <v>21.133409903152931</v>
      </c>
      <c r="H61" s="1">
        <v>1.3684745193121647E-2</v>
      </c>
      <c r="I61" s="1">
        <v>1.3684745193121647E-2</v>
      </c>
    </row>
    <row r="62" spans="1:9">
      <c r="A62">
        <v>2</v>
      </c>
      <c r="B62" t="s">
        <v>14</v>
      </c>
      <c r="C62" t="s">
        <v>24</v>
      </c>
      <c r="D62" s="37">
        <v>7.0000000000000007E-2</v>
      </c>
      <c r="E62" s="1">
        <v>254.6248386334897</v>
      </c>
      <c r="F62" s="1">
        <v>29.155380379852975</v>
      </c>
      <c r="G62" s="1">
        <v>283.78021901334267</v>
      </c>
      <c r="H62" s="1">
        <v>0.19945553647330413</v>
      </c>
      <c r="I62" s="1">
        <v>0.19945553647330413</v>
      </c>
    </row>
    <row r="63" spans="1:9">
      <c r="A63">
        <v>2</v>
      </c>
      <c r="B63" t="s">
        <v>15</v>
      </c>
      <c r="C63" t="s">
        <v>24</v>
      </c>
      <c r="D63" s="37">
        <v>7.0000000000000007E-2</v>
      </c>
      <c r="E63" s="1">
        <v>19.3519248032005</v>
      </c>
      <c r="F63" s="1">
        <v>12.380911688268483</v>
      </c>
      <c r="G63" s="1">
        <v>31.732836491468984</v>
      </c>
      <c r="H63" s="1">
        <v>2.1935194123418239E-2</v>
      </c>
      <c r="I63" s="1">
        <v>2.1935194123418239E-2</v>
      </c>
    </row>
    <row r="64" spans="1:9">
      <c r="A64">
        <v>2</v>
      </c>
      <c r="B64" t="s">
        <v>9</v>
      </c>
      <c r="C64" t="s">
        <v>75</v>
      </c>
      <c r="D64" s="37">
        <v>0.03</v>
      </c>
      <c r="E64" s="1">
        <v>150.95834232967348</v>
      </c>
      <c r="F64" s="1">
        <v>52.342712689082269</v>
      </c>
      <c r="G64" s="1">
        <v>203.30105501875576</v>
      </c>
      <c r="H64" s="1">
        <v>4.9671405357388627E-2</v>
      </c>
      <c r="I64" s="1">
        <v>4.9671405357388627E-2</v>
      </c>
    </row>
    <row r="65" spans="1:9">
      <c r="A65">
        <v>2</v>
      </c>
      <c r="B65" t="s">
        <v>10</v>
      </c>
      <c r="C65" t="s">
        <v>75</v>
      </c>
      <c r="D65" s="37">
        <v>0.03</v>
      </c>
      <c r="E65" s="1">
        <v>3.6815967342588864</v>
      </c>
      <c r="F65" s="1">
        <v>1.8282429262119078</v>
      </c>
      <c r="G65" s="1">
        <v>5.509839660470794</v>
      </c>
      <c r="H65" s="1">
        <v>1.3287790729318539E-3</v>
      </c>
      <c r="I65" s="1">
        <v>1.3287790729318539E-3</v>
      </c>
    </row>
    <row r="66" spans="1:9">
      <c r="A66">
        <v>2</v>
      </c>
      <c r="B66" t="s">
        <v>11</v>
      </c>
      <c r="C66" t="s">
        <v>75</v>
      </c>
      <c r="D66" s="37">
        <v>0.03</v>
      </c>
      <c r="E66" s="1">
        <v>235.24377553029183</v>
      </c>
      <c r="F66" s="1">
        <v>166.33654007103468</v>
      </c>
      <c r="G66" s="1">
        <v>401.5803156013265</v>
      </c>
      <c r="H66" s="1">
        <v>9.5360044095562591E-2</v>
      </c>
      <c r="I66" s="1">
        <v>9.5360044095562591E-2</v>
      </c>
    </row>
    <row r="67" spans="1:9">
      <c r="A67">
        <v>2</v>
      </c>
      <c r="B67" t="s">
        <v>12</v>
      </c>
      <c r="C67" t="s">
        <v>75</v>
      </c>
      <c r="D67" s="37">
        <v>0.03</v>
      </c>
      <c r="E67" s="1">
        <v>202.92460944826848</v>
      </c>
      <c r="F67" s="1">
        <v>18.889811529128409</v>
      </c>
      <c r="G67" s="1">
        <v>221.81442097739688</v>
      </c>
      <c r="H67" s="1">
        <v>5.2599546438117595E-2</v>
      </c>
      <c r="I67" s="1">
        <v>5.2599546438117595E-2</v>
      </c>
    </row>
    <row r="68" spans="1:9">
      <c r="A68">
        <v>2</v>
      </c>
      <c r="B68" t="s">
        <v>13</v>
      </c>
      <c r="C68" t="s">
        <v>75</v>
      </c>
      <c r="D68" s="37">
        <v>0.03</v>
      </c>
      <c r="E68" s="1">
        <v>21.957310351660716</v>
      </c>
      <c r="F68" s="1">
        <v>31.789352071436497</v>
      </c>
      <c r="G68" s="1">
        <v>53.746662423097213</v>
      </c>
      <c r="H68" s="1">
        <v>1.2755174877330203E-2</v>
      </c>
      <c r="I68" s="1">
        <v>1.2755174877330203E-2</v>
      </c>
    </row>
    <row r="69" spans="1:9">
      <c r="A69">
        <v>2</v>
      </c>
      <c r="B69" t="s">
        <v>14</v>
      </c>
      <c r="C69" t="s">
        <v>75</v>
      </c>
      <c r="D69" s="37">
        <v>0.03</v>
      </c>
      <c r="E69" s="1">
        <v>695.75683621671124</v>
      </c>
      <c r="F69" s="1">
        <v>51.531021241744561</v>
      </c>
      <c r="G69" s="1">
        <v>747.28785745845585</v>
      </c>
      <c r="H69" s="1">
        <v>0.18590558566027257</v>
      </c>
      <c r="I69" s="1">
        <v>0.18590558566027257</v>
      </c>
    </row>
    <row r="70" spans="1:9">
      <c r="A70">
        <v>2</v>
      </c>
      <c r="B70" t="s">
        <v>15</v>
      </c>
      <c r="C70" t="s">
        <v>75</v>
      </c>
      <c r="D70" s="37">
        <v>0.03</v>
      </c>
      <c r="E70" s="1">
        <v>61.031578880210333</v>
      </c>
      <c r="F70" s="1">
        <v>21.88278852438501</v>
      </c>
      <c r="G70" s="1">
        <v>82.914367404595339</v>
      </c>
      <c r="H70" s="1">
        <v>2.0445067450836768E-2</v>
      </c>
      <c r="I70" s="1">
        <v>2.0445067450836768E-2</v>
      </c>
    </row>
    <row r="71" spans="1:9">
      <c r="A71">
        <v>2</v>
      </c>
      <c r="B71" t="s">
        <v>9</v>
      </c>
      <c r="C71" t="s">
        <v>75</v>
      </c>
      <c r="D71" s="37">
        <v>7.0000000000000007E-2</v>
      </c>
      <c r="E71" s="1">
        <v>42.561703606051566</v>
      </c>
      <c r="F71" s="1">
        <v>27.741732957802068</v>
      </c>
      <c r="G71" s="1">
        <v>70.303436563853637</v>
      </c>
      <c r="H71" s="1">
        <v>4.9671405357388627E-2</v>
      </c>
      <c r="I71" s="1">
        <v>4.9671405357388627E-2</v>
      </c>
    </row>
    <row r="72" spans="1:9">
      <c r="A72">
        <v>2</v>
      </c>
      <c r="B72" t="s">
        <v>10</v>
      </c>
      <c r="C72" t="s">
        <v>75</v>
      </c>
      <c r="D72" s="37">
        <v>7.0000000000000007E-2</v>
      </c>
      <c r="E72" s="1">
        <v>0.95032386877277653</v>
      </c>
      <c r="F72" s="1">
        <v>0.96897207720646794</v>
      </c>
      <c r="G72" s="1">
        <v>1.9192959459792445</v>
      </c>
      <c r="H72" s="1">
        <v>1.3287790729318539E-3</v>
      </c>
      <c r="I72" s="1">
        <v>1.3287790729318539E-3</v>
      </c>
    </row>
    <row r="73" spans="1:9">
      <c r="A73">
        <v>2</v>
      </c>
      <c r="B73" t="s">
        <v>11</v>
      </c>
      <c r="C73" t="s">
        <v>75</v>
      </c>
      <c r="D73" s="37">
        <v>7.0000000000000007E-2</v>
      </c>
      <c r="E73" s="1">
        <v>53.314789861786409</v>
      </c>
      <c r="F73" s="1">
        <v>88.1586688711661</v>
      </c>
      <c r="G73" s="1">
        <v>141.47345873295251</v>
      </c>
      <c r="H73" s="1">
        <v>9.5360044095562591E-2</v>
      </c>
      <c r="I73" s="1">
        <v>9.5360044095562591E-2</v>
      </c>
    </row>
    <row r="74" spans="1:9">
      <c r="A74">
        <v>2</v>
      </c>
      <c r="B74" t="s">
        <v>12</v>
      </c>
      <c r="C74" t="s">
        <v>75</v>
      </c>
      <c r="D74" s="37">
        <v>7.0000000000000007E-2</v>
      </c>
      <c r="E74" s="1">
        <v>68.224256027947476</v>
      </c>
      <c r="F74" s="1">
        <v>10.011634478653901</v>
      </c>
      <c r="G74" s="1">
        <v>78.235890506601379</v>
      </c>
      <c r="H74" s="1">
        <v>5.2599546438117595E-2</v>
      </c>
      <c r="I74" s="1">
        <v>5.2599546438117595E-2</v>
      </c>
    </row>
    <row r="75" spans="1:9">
      <c r="A75">
        <v>2</v>
      </c>
      <c r="B75" t="s">
        <v>13</v>
      </c>
      <c r="C75" t="s">
        <v>75</v>
      </c>
      <c r="D75" s="37">
        <v>7.0000000000000007E-2</v>
      </c>
      <c r="E75" s="1">
        <v>2.0938934923784345</v>
      </c>
      <c r="F75" s="1">
        <v>16.848414435564592</v>
      </c>
      <c r="G75" s="1">
        <v>18.942307927943027</v>
      </c>
      <c r="H75" s="1">
        <v>1.2755174877330203E-2</v>
      </c>
      <c r="I75" s="1">
        <v>1.2755174877330203E-2</v>
      </c>
    </row>
    <row r="76" spans="1:9">
      <c r="A76">
        <v>2</v>
      </c>
      <c r="B76" t="s">
        <v>14</v>
      </c>
      <c r="C76" t="s">
        <v>75</v>
      </c>
      <c r="D76" s="37">
        <v>7.0000000000000007E-2</v>
      </c>
      <c r="E76" s="1">
        <v>226.86104498451692</v>
      </c>
      <c r="F76" s="1">
        <v>27.311535013917688</v>
      </c>
      <c r="G76" s="1">
        <v>254.1725799984346</v>
      </c>
      <c r="H76" s="1">
        <v>0.18590558566027257</v>
      </c>
      <c r="I76" s="1">
        <v>0.18590558566027257</v>
      </c>
    </row>
    <row r="77" spans="1:9">
      <c r="A77">
        <v>2</v>
      </c>
      <c r="B77" t="s">
        <v>15</v>
      </c>
      <c r="C77" t="s">
        <v>75</v>
      </c>
      <c r="D77" s="37">
        <v>7.0000000000000007E-2</v>
      </c>
      <c r="E77" s="1">
        <v>16.829288798821434</v>
      </c>
      <c r="F77" s="1">
        <v>11.597917731576942</v>
      </c>
      <c r="G77" s="1">
        <v>28.427206530398376</v>
      </c>
      <c r="H77" s="1">
        <v>2.0445067450836768E-2</v>
      </c>
      <c r="I77" s="1">
        <v>2.0445067450836768E-2</v>
      </c>
    </row>
    <row r="78" spans="1:9">
      <c r="A78">
        <v>2</v>
      </c>
      <c r="B78" t="s">
        <v>9</v>
      </c>
      <c r="C78" t="s">
        <v>76</v>
      </c>
      <c r="D78" s="37">
        <v>0.03</v>
      </c>
      <c r="E78" s="1">
        <v>198.43837356597464</v>
      </c>
      <c r="F78" s="1">
        <v>59.960135334948305</v>
      </c>
      <c r="G78" s="1">
        <v>258.39850890092293</v>
      </c>
      <c r="H78" s="1">
        <v>5.7158395142644584E-2</v>
      </c>
      <c r="I78" s="1">
        <v>5.7158395142644584E-2</v>
      </c>
    </row>
    <row r="79" spans="1:9">
      <c r="A79">
        <v>2</v>
      </c>
      <c r="B79" t="s">
        <v>10</v>
      </c>
      <c r="C79" t="s">
        <v>76</v>
      </c>
      <c r="D79" s="37">
        <v>0.03</v>
      </c>
      <c r="E79" s="1">
        <v>4.9006495566871813</v>
      </c>
      <c r="F79" s="1">
        <v>2.0943066885353261</v>
      </c>
      <c r="G79" s="1">
        <v>6.9949562452225074</v>
      </c>
      <c r="H79" s="1">
        <v>1.5290634532905507E-3</v>
      </c>
      <c r="I79" s="1">
        <v>1.5290634532905507E-3</v>
      </c>
    </row>
    <row r="80" spans="1:9">
      <c r="A80">
        <v>2</v>
      </c>
      <c r="B80" t="s">
        <v>11</v>
      </c>
      <c r="C80" t="s">
        <v>76</v>
      </c>
      <c r="D80" s="37">
        <v>0.03</v>
      </c>
      <c r="E80" s="1">
        <v>318.51130568217195</v>
      </c>
      <c r="F80" s="1">
        <v>190.5434575592142</v>
      </c>
      <c r="G80" s="1">
        <v>509.05476324138613</v>
      </c>
      <c r="H80" s="1">
        <v>0.1097330350275082</v>
      </c>
      <c r="I80" s="1">
        <v>0.1097330350275082</v>
      </c>
    </row>
    <row r="81" spans="1:9">
      <c r="A81">
        <v>2</v>
      </c>
      <c r="B81" t="s">
        <v>12</v>
      </c>
      <c r="C81" t="s">
        <v>76</v>
      </c>
      <c r="D81" s="37">
        <v>0.03</v>
      </c>
      <c r="E81" s="1">
        <v>259.49874402677142</v>
      </c>
      <c r="F81" s="1">
        <v>21.638841350583132</v>
      </c>
      <c r="G81" s="1">
        <v>281.13758537735453</v>
      </c>
      <c r="H81" s="1">
        <v>6.0527507919762281E-2</v>
      </c>
      <c r="I81" s="1">
        <v>6.0527507919762281E-2</v>
      </c>
    </row>
    <row r="82" spans="1:9">
      <c r="A82">
        <v>2</v>
      </c>
      <c r="B82" t="s">
        <v>13</v>
      </c>
      <c r="C82" t="s">
        <v>76</v>
      </c>
      <c r="D82" s="37">
        <v>0.03</v>
      </c>
      <c r="E82" s="1">
        <v>31.711382581091939</v>
      </c>
      <c r="F82" s="1">
        <v>36.415648988922726</v>
      </c>
      <c r="G82" s="1">
        <v>68.127031570014665</v>
      </c>
      <c r="H82" s="1">
        <v>1.4677674413884576E-2</v>
      </c>
      <c r="I82" s="1">
        <v>1.4677674413884576E-2</v>
      </c>
    </row>
    <row r="83" spans="1:9">
      <c r="A83">
        <v>2</v>
      </c>
      <c r="B83" t="s">
        <v>14</v>
      </c>
      <c r="C83" t="s">
        <v>76</v>
      </c>
      <c r="D83" s="37">
        <v>0.03</v>
      </c>
      <c r="E83" s="1">
        <v>892.62900649590756</v>
      </c>
      <c r="F83" s="1">
        <v>59.030318622511459</v>
      </c>
      <c r="G83" s="1">
        <v>951.65932511841902</v>
      </c>
      <c r="H83" s="1">
        <v>0.21392846363067453</v>
      </c>
      <c r="I83" s="1">
        <v>0.21392846363067453</v>
      </c>
    </row>
    <row r="84" spans="1:9">
      <c r="A84">
        <v>2</v>
      </c>
      <c r="B84" t="s">
        <v>15</v>
      </c>
      <c r="C84" t="s">
        <v>76</v>
      </c>
      <c r="D84" s="37">
        <v>0.03</v>
      </c>
      <c r="E84" s="1">
        <v>80.422826170283201</v>
      </c>
      <c r="F84" s="1">
        <v>25.067385582823611</v>
      </c>
      <c r="G84" s="1">
        <v>105.49021175310681</v>
      </c>
      <c r="H84" s="1">
        <v>2.3526836919520351E-2</v>
      </c>
      <c r="I84" s="1">
        <v>2.3526836919520351E-2</v>
      </c>
    </row>
    <row r="85" spans="1:9">
      <c r="A85">
        <v>2</v>
      </c>
      <c r="B85" t="s">
        <v>9</v>
      </c>
      <c r="C85" t="s">
        <v>76</v>
      </c>
      <c r="D85" s="37">
        <v>7.0000000000000007E-2</v>
      </c>
      <c r="E85" s="1">
        <v>55.387561830982342</v>
      </c>
      <c r="F85" s="1">
        <v>31.617477427301203</v>
      </c>
      <c r="G85" s="1">
        <v>87.005039258283546</v>
      </c>
      <c r="H85" s="1">
        <v>5.7158395142644584E-2</v>
      </c>
      <c r="I85" s="1">
        <v>5.7158395142644584E-2</v>
      </c>
    </row>
    <row r="86" spans="1:9">
      <c r="A86">
        <v>2</v>
      </c>
      <c r="B86" t="s">
        <v>10</v>
      </c>
      <c r="C86" t="s">
        <v>76</v>
      </c>
      <c r="D86" s="37">
        <v>7.0000000000000007E-2</v>
      </c>
      <c r="E86" s="1">
        <v>1.2701510438446102</v>
      </c>
      <c r="F86" s="1">
        <v>1.104345313443891</v>
      </c>
      <c r="G86" s="1">
        <v>2.3744963572885012</v>
      </c>
      <c r="H86" s="1">
        <v>1.5290634532905507E-3</v>
      </c>
      <c r="I86" s="1">
        <v>1.5290634532905507E-3</v>
      </c>
    </row>
    <row r="87" spans="1:9">
      <c r="A87">
        <v>2</v>
      </c>
      <c r="B87" t="s">
        <v>11</v>
      </c>
      <c r="C87" t="s">
        <v>76</v>
      </c>
      <c r="D87" s="37">
        <v>7.0000000000000007E-2</v>
      </c>
      <c r="E87" s="1">
        <v>74.437284403452949</v>
      </c>
      <c r="F87" s="1">
        <v>100.47514794028395</v>
      </c>
      <c r="G87" s="1">
        <v>174.9124323437369</v>
      </c>
      <c r="H87" s="1">
        <v>0.1097330350275082</v>
      </c>
      <c r="I87" s="1">
        <v>0.1097330350275082</v>
      </c>
    </row>
    <row r="88" spans="1:9">
      <c r="A88">
        <v>2</v>
      </c>
      <c r="B88" t="s">
        <v>12</v>
      </c>
      <c r="C88" t="s">
        <v>76</v>
      </c>
      <c r="D88" s="37">
        <v>7.0000000000000007E-2</v>
      </c>
      <c r="E88" s="1">
        <v>85.31044626554214</v>
      </c>
      <c r="F88" s="1">
        <v>11.410340789478543</v>
      </c>
      <c r="G88" s="1">
        <v>96.720787055020679</v>
      </c>
      <c r="H88" s="1">
        <v>6.0527507919762281E-2</v>
      </c>
      <c r="I88" s="1">
        <v>6.0527507919762281E-2</v>
      </c>
    </row>
    <row r="89" spans="1:9">
      <c r="A89">
        <v>2</v>
      </c>
      <c r="B89" t="s">
        <v>13</v>
      </c>
      <c r="C89" t="s">
        <v>76</v>
      </c>
      <c r="D89" s="37">
        <v>7.0000000000000007E-2</v>
      </c>
      <c r="E89" s="1">
        <v>4.2166832395709442</v>
      </c>
      <c r="F89" s="1">
        <v>19.202274202284883</v>
      </c>
      <c r="G89" s="1">
        <v>23.418957441855827</v>
      </c>
      <c r="H89" s="1">
        <v>1.4677674413884576E-2</v>
      </c>
      <c r="I89" s="1">
        <v>1.4677674413884576E-2</v>
      </c>
    </row>
    <row r="90" spans="1:9">
      <c r="A90">
        <v>2</v>
      </c>
      <c r="B90" t="s">
        <v>14</v>
      </c>
      <c r="C90" t="s">
        <v>76</v>
      </c>
      <c r="D90" s="37">
        <v>7.0000000000000007E-2</v>
      </c>
      <c r="E90" s="1">
        <v>283.77176525882146</v>
      </c>
      <c r="F90" s="1">
        <v>31.127177351212758</v>
      </c>
      <c r="G90" s="1">
        <v>314.89894261003423</v>
      </c>
      <c r="H90" s="1">
        <v>0.21392846363067453</v>
      </c>
      <c r="I90" s="1">
        <v>0.21392846363067453</v>
      </c>
    </row>
    <row r="91" spans="1:9">
      <c r="A91">
        <v>2</v>
      </c>
      <c r="B91" t="s">
        <v>15</v>
      </c>
      <c r="C91" t="s">
        <v>76</v>
      </c>
      <c r="D91" s="37">
        <v>7.0000000000000007E-2</v>
      </c>
      <c r="E91" s="1">
        <v>21.98253085705646</v>
      </c>
      <c r="F91" s="1">
        <v>13.218240642702915</v>
      </c>
      <c r="G91" s="1">
        <v>35.200771499759377</v>
      </c>
      <c r="H91" s="1">
        <v>2.3526836919520351E-2</v>
      </c>
      <c r="I91" s="1">
        <v>2.3526836919520351E-2</v>
      </c>
    </row>
    <row r="92" spans="1:9">
      <c r="A92">
        <v>3</v>
      </c>
      <c r="B92" t="s">
        <v>9</v>
      </c>
      <c r="C92" t="s">
        <v>24</v>
      </c>
      <c r="D92" s="37">
        <v>0.03</v>
      </c>
      <c r="E92" s="1">
        <v>276.35611650864206</v>
      </c>
      <c r="F92" s="1">
        <v>81.251204911960016</v>
      </c>
      <c r="G92" s="1">
        <v>357.60732142060209</v>
      </c>
      <c r="H92" s="1">
        <v>8.312457001440185E-2</v>
      </c>
      <c r="I92" s="1">
        <v>8.312457001440185E-2</v>
      </c>
    </row>
    <row r="93" spans="1:9">
      <c r="A93">
        <v>3</v>
      </c>
      <c r="B93" t="s">
        <v>10</v>
      </c>
      <c r="C93" t="s">
        <v>24</v>
      </c>
      <c r="D93" s="37">
        <v>0.03</v>
      </c>
      <c r="E93" s="1">
        <v>17.14619185423113</v>
      </c>
      <c r="F93" s="1">
        <v>3.3924950644004617</v>
      </c>
      <c r="G93" s="1">
        <v>20.538686918631591</v>
      </c>
      <c r="H93" s="1">
        <v>4.7142963715011265E-3</v>
      </c>
      <c r="I93" s="1">
        <v>4.7142963715011265E-3</v>
      </c>
    </row>
    <row r="94" spans="1:9">
      <c r="A94">
        <v>3</v>
      </c>
      <c r="B94" t="s">
        <v>11</v>
      </c>
      <c r="C94" t="s">
        <v>24</v>
      </c>
      <c r="D94" s="37">
        <v>0.03</v>
      </c>
      <c r="E94" s="1">
        <v>753.4811303033714</v>
      </c>
      <c r="F94" s="1">
        <v>265.29019341143203</v>
      </c>
      <c r="G94" s="1">
        <v>1018.7713237148034</v>
      </c>
      <c r="H94" s="1">
        <v>0.23037122474221278</v>
      </c>
      <c r="I94" s="1">
        <v>0.23037122474221278</v>
      </c>
    </row>
    <row r="95" spans="1:9">
      <c r="A95">
        <v>3</v>
      </c>
      <c r="B95" t="s">
        <v>12</v>
      </c>
      <c r="C95" t="s">
        <v>24</v>
      </c>
      <c r="D95" s="37">
        <v>0.03</v>
      </c>
      <c r="E95" s="1">
        <v>292.85111496395729</v>
      </c>
      <c r="F95" s="1">
        <v>32.796083399144642</v>
      </c>
      <c r="G95" s="1">
        <v>325.64719836310195</v>
      </c>
      <c r="H95" s="1">
        <v>7.3539202341739163E-2</v>
      </c>
      <c r="I95" s="1">
        <v>7.3539202341739163E-2</v>
      </c>
    </row>
    <row r="96" spans="1:9">
      <c r="A96">
        <v>3</v>
      </c>
      <c r="B96" t="s">
        <v>13</v>
      </c>
      <c r="C96" t="s">
        <v>24</v>
      </c>
      <c r="D96" s="37">
        <v>0.03</v>
      </c>
      <c r="E96" s="1">
        <v>49.276523521640975</v>
      </c>
      <c r="F96" s="1">
        <v>50.072295952608421</v>
      </c>
      <c r="G96" s="1">
        <v>99.348819474249396</v>
      </c>
      <c r="H96" s="1">
        <v>2.2452438549864489E-2</v>
      </c>
      <c r="I96" s="1">
        <v>2.2452438549864489E-2</v>
      </c>
    </row>
    <row r="97" spans="1:9">
      <c r="A97">
        <v>3</v>
      </c>
      <c r="B97" t="s">
        <v>14</v>
      </c>
      <c r="C97" t="s">
        <v>24</v>
      </c>
      <c r="D97" s="37">
        <v>0.03</v>
      </c>
      <c r="E97" s="1">
        <v>1387.0107990761319</v>
      </c>
      <c r="F97" s="1">
        <v>82.527378384646852</v>
      </c>
      <c r="G97" s="1">
        <v>1469.5381774607788</v>
      </c>
      <c r="H97" s="1">
        <v>0.34757384676043085</v>
      </c>
      <c r="I97" s="1">
        <v>0.34757384676043085</v>
      </c>
    </row>
    <row r="98" spans="1:9">
      <c r="A98">
        <v>3</v>
      </c>
      <c r="B98" t="s">
        <v>15</v>
      </c>
      <c r="C98" t="s">
        <v>24</v>
      </c>
      <c r="D98" s="37">
        <v>0.03</v>
      </c>
      <c r="E98" s="1">
        <v>179.87831848474644</v>
      </c>
      <c r="F98" s="1">
        <v>34.568657424673304</v>
      </c>
      <c r="G98" s="1">
        <v>214.44697590941976</v>
      </c>
      <c r="H98" s="1">
        <v>5.0290259663540393E-2</v>
      </c>
      <c r="I98" s="1">
        <v>5.0290259663540393E-2</v>
      </c>
    </row>
    <row r="99" spans="1:9">
      <c r="A99">
        <v>3</v>
      </c>
      <c r="B99" t="s">
        <v>9</v>
      </c>
      <c r="C99" t="s">
        <v>24</v>
      </c>
      <c r="D99" s="37">
        <v>7.0000000000000007E-2</v>
      </c>
      <c r="E99" s="1">
        <v>79.441262319926011</v>
      </c>
      <c r="F99" s="1">
        <v>42.945404621565991</v>
      </c>
      <c r="G99" s="1">
        <v>122.386666941492</v>
      </c>
      <c r="H99" s="1">
        <v>8.312457001440185E-2</v>
      </c>
      <c r="I99" s="1">
        <v>8.312457001440185E-2</v>
      </c>
    </row>
    <row r="100" spans="1:9">
      <c r="A100">
        <v>3</v>
      </c>
      <c r="B100" t="s">
        <v>10</v>
      </c>
      <c r="C100" t="s">
        <v>24</v>
      </c>
      <c r="D100" s="37">
        <v>7.0000000000000007E-2</v>
      </c>
      <c r="E100" s="1">
        <v>5.2895174784501133</v>
      </c>
      <c r="F100" s="1">
        <v>1.7931066176213446</v>
      </c>
      <c r="G100" s="1">
        <v>7.0826240960714575</v>
      </c>
      <c r="H100" s="1">
        <v>4.7142963715011265E-3</v>
      </c>
      <c r="I100" s="1">
        <v>4.7142963715011265E-3</v>
      </c>
    </row>
    <row r="101" spans="1:9">
      <c r="A101">
        <v>3</v>
      </c>
      <c r="B101" t="s">
        <v>11</v>
      </c>
      <c r="C101" t="s">
        <v>24</v>
      </c>
      <c r="D101" s="37">
        <v>7.0000000000000007E-2</v>
      </c>
      <c r="E101" s="1">
        <v>215.18845369296145</v>
      </c>
      <c r="F101" s="1">
        <v>140.21939379892711</v>
      </c>
      <c r="G101" s="1">
        <v>355.40784749188856</v>
      </c>
      <c r="H101" s="1">
        <v>0.23037122474221278</v>
      </c>
      <c r="I101" s="1">
        <v>0.23037122474221278</v>
      </c>
    </row>
    <row r="102" spans="1:9">
      <c r="A102">
        <v>3</v>
      </c>
      <c r="B102" t="s">
        <v>12</v>
      </c>
      <c r="C102" t="s">
        <v>24</v>
      </c>
      <c r="D102" s="37">
        <v>7.0000000000000007E-2</v>
      </c>
      <c r="E102" s="1">
        <v>96.407948094773801</v>
      </c>
      <c r="F102" s="1">
        <v>17.334402278772483</v>
      </c>
      <c r="G102" s="1">
        <v>113.74235037354629</v>
      </c>
      <c r="H102" s="1">
        <v>7.3539202341739163E-2</v>
      </c>
      <c r="I102" s="1">
        <v>7.3539202341739163E-2</v>
      </c>
    </row>
    <row r="103" spans="1:9">
      <c r="A103">
        <v>3</v>
      </c>
      <c r="B103" t="s">
        <v>13</v>
      </c>
      <c r="C103" t="s">
        <v>24</v>
      </c>
      <c r="D103" s="37">
        <v>7.0000000000000007E-2</v>
      </c>
      <c r="E103" s="1">
        <v>8.2076343603895587</v>
      </c>
      <c r="F103" s="1">
        <v>26.465761490498689</v>
      </c>
      <c r="G103" s="1">
        <v>34.673395850888248</v>
      </c>
      <c r="H103" s="1">
        <v>2.2452438549864489E-2</v>
      </c>
      <c r="I103" s="1">
        <v>2.2452438549864489E-2</v>
      </c>
    </row>
    <row r="104" spans="1:9">
      <c r="A104">
        <v>3</v>
      </c>
      <c r="B104" t="s">
        <v>14</v>
      </c>
      <c r="C104" t="s">
        <v>24</v>
      </c>
      <c r="D104" s="37">
        <v>7.0000000000000007E-2</v>
      </c>
      <c r="E104" s="1">
        <v>450.89922261577715</v>
      </c>
      <c r="F104" s="1">
        <v>43.61992737124374</v>
      </c>
      <c r="G104" s="1">
        <v>494.51914998702091</v>
      </c>
      <c r="H104" s="1">
        <v>0.34757384676043085</v>
      </c>
      <c r="I104" s="1">
        <v>0.34757384676043085</v>
      </c>
    </row>
    <row r="105" spans="1:9">
      <c r="A105">
        <v>3</v>
      </c>
      <c r="B105" t="s">
        <v>15</v>
      </c>
      <c r="C105" t="s">
        <v>24</v>
      </c>
      <c r="D105" s="37">
        <v>7.0000000000000007E-2</v>
      </c>
      <c r="E105" s="1">
        <v>54.481766201614533</v>
      </c>
      <c r="F105" s="1">
        <v>18.271298031032291</v>
      </c>
      <c r="G105" s="1">
        <v>72.753064232646821</v>
      </c>
      <c r="H105" s="1">
        <v>5.0290259663540393E-2</v>
      </c>
      <c r="I105" s="1">
        <v>5.0290259663540393E-2</v>
      </c>
    </row>
    <row r="106" spans="1:9">
      <c r="A106">
        <v>3</v>
      </c>
      <c r="B106" t="s">
        <v>9</v>
      </c>
      <c r="C106" t="s">
        <v>75</v>
      </c>
      <c r="D106" s="37">
        <v>0.03</v>
      </c>
      <c r="E106" s="1">
        <v>241.20609002736626</v>
      </c>
      <c r="F106" s="1">
        <v>75.904362383777311</v>
      </c>
      <c r="G106" s="1">
        <v>317.11045241114357</v>
      </c>
      <c r="H106" s="1">
        <v>7.7477816449727066E-2</v>
      </c>
      <c r="I106" s="1">
        <v>7.7477816449727066E-2</v>
      </c>
    </row>
    <row r="107" spans="1:9">
      <c r="A107">
        <v>3</v>
      </c>
      <c r="B107" t="s">
        <v>10</v>
      </c>
      <c r="C107" t="s">
        <v>75</v>
      </c>
      <c r="D107" s="37">
        <v>0.03</v>
      </c>
      <c r="E107" s="1">
        <v>15.050886412952437</v>
      </c>
      <c r="F107" s="1">
        <v>3.1692474595601281</v>
      </c>
      <c r="G107" s="1">
        <v>18.220133872512566</v>
      </c>
      <c r="H107" s="1">
        <v>4.3940539267441937E-3</v>
      </c>
      <c r="I107" s="1">
        <v>4.3940539267441937E-3</v>
      </c>
    </row>
    <row r="108" spans="1:9">
      <c r="A108">
        <v>3</v>
      </c>
      <c r="B108" t="s">
        <v>11</v>
      </c>
      <c r="C108" t="s">
        <v>75</v>
      </c>
      <c r="D108" s="37">
        <v>0.03</v>
      </c>
      <c r="E108" s="1">
        <v>656.40782541950898</v>
      </c>
      <c r="F108" s="1">
        <v>247.83242290847096</v>
      </c>
      <c r="G108" s="1">
        <v>904.24024832798</v>
      </c>
      <c r="H108" s="1">
        <v>0.21472265099551791</v>
      </c>
      <c r="I108" s="1">
        <v>0.21472265099551791</v>
      </c>
    </row>
    <row r="109" spans="1:9">
      <c r="A109">
        <v>3</v>
      </c>
      <c r="B109" t="s">
        <v>12</v>
      </c>
      <c r="C109" t="s">
        <v>75</v>
      </c>
      <c r="D109" s="37">
        <v>0.03</v>
      </c>
      <c r="E109" s="1">
        <v>258.41439937923445</v>
      </c>
      <c r="F109" s="1">
        <v>30.637893946245075</v>
      </c>
      <c r="G109" s="1">
        <v>289.05229332547952</v>
      </c>
      <c r="H109" s="1">
        <v>6.8543873111688039E-2</v>
      </c>
      <c r="I109" s="1">
        <v>6.8543873111688039E-2</v>
      </c>
    </row>
    <row r="110" spans="1:9">
      <c r="A110">
        <v>3</v>
      </c>
      <c r="B110" t="s">
        <v>13</v>
      </c>
      <c r="C110" t="s">
        <v>75</v>
      </c>
      <c r="D110" s="37">
        <v>0.03</v>
      </c>
      <c r="E110" s="1">
        <v>41.40444381072286</v>
      </c>
      <c r="F110" s="1">
        <v>46.77722258387184</v>
      </c>
      <c r="G110" s="1">
        <v>88.1816663945947</v>
      </c>
      <c r="H110" s="1">
        <v>2.0927300880251472E-2</v>
      </c>
      <c r="I110" s="1">
        <v>2.0927300880251472E-2</v>
      </c>
    </row>
    <row r="111" spans="1:9">
      <c r="A111">
        <v>3</v>
      </c>
      <c r="B111" t="s">
        <v>14</v>
      </c>
      <c r="C111" t="s">
        <v>75</v>
      </c>
      <c r="D111" s="37">
        <v>0.03</v>
      </c>
      <c r="E111" s="1">
        <v>1225.1371143729166</v>
      </c>
      <c r="F111" s="1">
        <v>77.096555580670156</v>
      </c>
      <c r="G111" s="1">
        <v>1302.2336699535867</v>
      </c>
      <c r="H111" s="1">
        <v>0.32396152387998584</v>
      </c>
      <c r="I111" s="1">
        <v>0.32396152387998584</v>
      </c>
    </row>
    <row r="112" spans="1:9">
      <c r="A112">
        <v>3</v>
      </c>
      <c r="B112" t="s">
        <v>15</v>
      </c>
      <c r="C112" t="s">
        <v>75</v>
      </c>
      <c r="D112" s="37">
        <v>0.03</v>
      </c>
      <c r="E112" s="1">
        <v>157.80183232739054</v>
      </c>
      <c r="F112" s="1">
        <v>32.293821403955832</v>
      </c>
      <c r="G112" s="1">
        <v>190.09565373134637</v>
      </c>
      <c r="H112" s="1">
        <v>4.6873884277298244E-2</v>
      </c>
      <c r="I112" s="1">
        <v>4.6873884277298244E-2</v>
      </c>
    </row>
    <row r="113" spans="1:9">
      <c r="A113">
        <v>3</v>
      </c>
      <c r="B113" t="s">
        <v>9</v>
      </c>
      <c r="C113" t="s">
        <v>75</v>
      </c>
      <c r="D113" s="37">
        <v>7.0000000000000007E-2</v>
      </c>
      <c r="E113" s="1">
        <v>69.430357419046246</v>
      </c>
      <c r="F113" s="1">
        <v>40.229450164171581</v>
      </c>
      <c r="G113" s="1">
        <v>109.65980758321783</v>
      </c>
      <c r="H113" s="1">
        <v>7.7477816449727066E-2</v>
      </c>
      <c r="I113" s="1">
        <v>7.7477816449727066E-2</v>
      </c>
    </row>
    <row r="114" spans="1:9">
      <c r="A114">
        <v>3</v>
      </c>
      <c r="B114" t="s">
        <v>10</v>
      </c>
      <c r="C114" t="s">
        <v>75</v>
      </c>
      <c r="D114" s="37">
        <v>7.0000000000000007E-2</v>
      </c>
      <c r="E114" s="1">
        <v>4.6670892180438148</v>
      </c>
      <c r="F114" s="1">
        <v>1.6797069197112566</v>
      </c>
      <c r="G114" s="1">
        <v>6.3467961377550717</v>
      </c>
      <c r="H114" s="1">
        <v>4.3940539267441937E-3</v>
      </c>
      <c r="I114" s="1">
        <v>4.3940539267441937E-3</v>
      </c>
    </row>
    <row r="115" spans="1:9">
      <c r="A115">
        <v>3</v>
      </c>
      <c r="B115" t="s">
        <v>11</v>
      </c>
      <c r="C115" t="s">
        <v>75</v>
      </c>
      <c r="D115" s="37">
        <v>7.0000000000000007E-2</v>
      </c>
      <c r="E115" s="1">
        <v>187.20480431466748</v>
      </c>
      <c r="F115" s="1">
        <v>131.35163504901666</v>
      </c>
      <c r="G115" s="1">
        <v>318.55643936368415</v>
      </c>
      <c r="H115" s="1">
        <v>0.21472265099551791</v>
      </c>
      <c r="I115" s="1">
        <v>0.21472265099551791</v>
      </c>
    </row>
    <row r="116" spans="1:9">
      <c r="A116">
        <v>3</v>
      </c>
      <c r="B116" t="s">
        <v>12</v>
      </c>
      <c r="C116" t="s">
        <v>75</v>
      </c>
      <c r="D116" s="37">
        <v>7.0000000000000007E-2</v>
      </c>
      <c r="E116" s="1">
        <v>85.713137896896228</v>
      </c>
      <c r="F116" s="1">
        <v>16.238139534244564</v>
      </c>
      <c r="G116" s="1">
        <v>101.9512774311408</v>
      </c>
      <c r="H116" s="1">
        <v>6.8543873111688039E-2</v>
      </c>
      <c r="I116" s="1">
        <v>6.8543873111688039E-2</v>
      </c>
    </row>
    <row r="117" spans="1:9">
      <c r="A117">
        <v>3</v>
      </c>
      <c r="B117" t="s">
        <v>13</v>
      </c>
      <c r="C117" t="s">
        <v>75</v>
      </c>
      <c r="D117" s="37">
        <v>7.0000000000000007E-2</v>
      </c>
      <c r="E117" s="1">
        <v>6.2864614400127223</v>
      </c>
      <c r="F117" s="1">
        <v>24.792013076160519</v>
      </c>
      <c r="G117" s="1">
        <v>31.078474516173241</v>
      </c>
      <c r="H117" s="1">
        <v>2.0927300880251472E-2</v>
      </c>
      <c r="I117" s="1">
        <v>2.0927300880251472E-2</v>
      </c>
    </row>
    <row r="118" spans="1:9">
      <c r="A118">
        <v>3</v>
      </c>
      <c r="B118" t="s">
        <v>14</v>
      </c>
      <c r="C118" t="s">
        <v>75</v>
      </c>
      <c r="D118" s="37">
        <v>7.0000000000000007E-2</v>
      </c>
      <c r="E118" s="1">
        <v>402.06317327176185</v>
      </c>
      <c r="F118" s="1">
        <v>40.861314727606945</v>
      </c>
      <c r="G118" s="1">
        <v>442.92448799936881</v>
      </c>
      <c r="H118" s="1">
        <v>0.32396152387998584</v>
      </c>
      <c r="I118" s="1">
        <v>0.32396152387998584</v>
      </c>
    </row>
    <row r="119" spans="1:9">
      <c r="A119">
        <v>3</v>
      </c>
      <c r="B119" t="s">
        <v>15</v>
      </c>
      <c r="C119" t="s">
        <v>75</v>
      </c>
      <c r="D119" s="37">
        <v>7.0000000000000007E-2</v>
      </c>
      <c r="E119" s="1">
        <v>48.058546698585339</v>
      </c>
      <c r="F119" s="1">
        <v>17.115784099633821</v>
      </c>
      <c r="G119" s="1">
        <v>65.17433079821916</v>
      </c>
      <c r="H119" s="1">
        <v>4.6873884277298244E-2</v>
      </c>
      <c r="I119" s="1">
        <v>4.6873884277298244E-2</v>
      </c>
    </row>
    <row r="120" spans="1:9">
      <c r="A120">
        <v>3</v>
      </c>
      <c r="B120" t="s">
        <v>9</v>
      </c>
      <c r="C120" t="s">
        <v>76</v>
      </c>
      <c r="D120" s="37">
        <v>0.03</v>
      </c>
      <c r="E120" s="1">
        <v>316.10115213945107</v>
      </c>
      <c r="F120" s="1">
        <v>86.950706358662813</v>
      </c>
      <c r="G120" s="1">
        <v>403.05185849811386</v>
      </c>
      <c r="H120" s="1">
        <v>8.9156077134508682E-2</v>
      </c>
      <c r="I120" s="1">
        <v>8.9156077134508682E-2</v>
      </c>
    </row>
    <row r="121" spans="1:9">
      <c r="A121">
        <v>3</v>
      </c>
      <c r="B121" t="s">
        <v>10</v>
      </c>
      <c r="C121" t="s">
        <v>76</v>
      </c>
      <c r="D121" s="37">
        <v>0.03</v>
      </c>
      <c r="E121" s="1">
        <v>19.500702951384277</v>
      </c>
      <c r="F121" s="1">
        <v>3.6304672956853232</v>
      </c>
      <c r="G121" s="1">
        <v>23.131170247069601</v>
      </c>
      <c r="H121" s="1">
        <v>5.0563614434022842E-3</v>
      </c>
      <c r="I121" s="1">
        <v>5.0563614434022842E-3</v>
      </c>
    </row>
    <row r="122" spans="1:9">
      <c r="A122">
        <v>3</v>
      </c>
      <c r="B122" t="s">
        <v>11</v>
      </c>
      <c r="C122" t="s">
        <v>76</v>
      </c>
      <c r="D122" s="37">
        <v>0.03</v>
      </c>
      <c r="E122" s="1">
        <v>862.34154061842582</v>
      </c>
      <c r="F122" s="1">
        <v>283.89941702581274</v>
      </c>
      <c r="G122" s="1">
        <v>1146.2409576442385</v>
      </c>
      <c r="H122" s="1">
        <v>0.24708638095089758</v>
      </c>
      <c r="I122" s="1">
        <v>0.24708638095089758</v>
      </c>
    </row>
    <row r="123" spans="1:9">
      <c r="A123">
        <v>3</v>
      </c>
      <c r="B123" t="s">
        <v>12</v>
      </c>
      <c r="C123" t="s">
        <v>76</v>
      </c>
      <c r="D123" s="37">
        <v>0.03</v>
      </c>
      <c r="E123" s="1">
        <v>331.26127305659446</v>
      </c>
      <c r="F123" s="1">
        <v>35.096619434052066</v>
      </c>
      <c r="G123" s="1">
        <v>366.35789249064652</v>
      </c>
      <c r="H123" s="1">
        <v>7.887501135584607E-2</v>
      </c>
      <c r="I123" s="1">
        <v>7.887501135584607E-2</v>
      </c>
    </row>
    <row r="124" spans="1:9">
      <c r="A124">
        <v>3</v>
      </c>
      <c r="B124" t="s">
        <v>13</v>
      </c>
      <c r="C124" t="s">
        <v>76</v>
      </c>
      <c r="D124" s="37">
        <v>0.03</v>
      </c>
      <c r="E124" s="1">
        <v>58.190708152839186</v>
      </c>
      <c r="F124" s="1">
        <v>53.584700765938315</v>
      </c>
      <c r="G124" s="1">
        <v>111.7754089187775</v>
      </c>
      <c r="H124" s="1">
        <v>2.4081528605903676E-2</v>
      </c>
      <c r="I124" s="1">
        <v>2.4081528605903676E-2</v>
      </c>
    </row>
    <row r="125" spans="1:9">
      <c r="A125">
        <v>3</v>
      </c>
      <c r="B125" t="s">
        <v>14</v>
      </c>
      <c r="C125" t="s">
        <v>76</v>
      </c>
      <c r="D125" s="37">
        <v>0.03</v>
      </c>
      <c r="E125" s="1">
        <v>1570.0576840431595</v>
      </c>
      <c r="F125" s="1">
        <v>88.316399150622559</v>
      </c>
      <c r="G125" s="1">
        <v>1658.3740831937821</v>
      </c>
      <c r="H125" s="1">
        <v>0.37279456038370989</v>
      </c>
      <c r="I125" s="1">
        <v>0.37279456038370989</v>
      </c>
    </row>
    <row r="126" spans="1:9">
      <c r="A126">
        <v>3</v>
      </c>
      <c r="B126" t="s">
        <v>15</v>
      </c>
      <c r="C126" t="s">
        <v>76</v>
      </c>
      <c r="D126" s="37">
        <v>0.03</v>
      </c>
      <c r="E126" s="1">
        <v>204.86118218859309</v>
      </c>
      <c r="F126" s="1">
        <v>36.993533624552235</v>
      </c>
      <c r="G126" s="1">
        <v>241.85471581314533</v>
      </c>
      <c r="H126" s="1">
        <v>5.3939378474945059E-2</v>
      </c>
      <c r="I126" s="1">
        <v>5.3939378474945059E-2</v>
      </c>
    </row>
    <row r="127" spans="1:9">
      <c r="A127">
        <v>3</v>
      </c>
      <c r="B127" t="s">
        <v>9</v>
      </c>
      <c r="C127" t="s">
        <v>76</v>
      </c>
      <c r="D127" s="37">
        <v>7.0000000000000007E-2</v>
      </c>
      <c r="E127" s="1">
        <v>89.861258237934052</v>
      </c>
      <c r="F127" s="1">
        <v>45.849829728128427</v>
      </c>
      <c r="G127" s="1">
        <v>135.71108796606248</v>
      </c>
      <c r="H127" s="1">
        <v>8.9156077134508682E-2</v>
      </c>
      <c r="I127" s="1">
        <v>8.9156077134508682E-2</v>
      </c>
    </row>
    <row r="128" spans="1:9">
      <c r="A128">
        <v>3</v>
      </c>
      <c r="B128" t="s">
        <v>10</v>
      </c>
      <c r="C128" t="s">
        <v>76</v>
      </c>
      <c r="D128" s="37">
        <v>7.0000000000000007E-2</v>
      </c>
      <c r="E128" s="1">
        <v>5.9376934955951945</v>
      </c>
      <c r="F128" s="1">
        <v>1.9143755618740528</v>
      </c>
      <c r="G128" s="1">
        <v>7.8520690574692473</v>
      </c>
      <c r="H128" s="1">
        <v>5.0563614434022842E-3</v>
      </c>
      <c r="I128" s="1">
        <v>5.0563614434022842E-3</v>
      </c>
    </row>
    <row r="129" spans="1:9">
      <c r="A129">
        <v>3</v>
      </c>
      <c r="B129" t="s">
        <v>11</v>
      </c>
      <c r="C129" t="s">
        <v>76</v>
      </c>
      <c r="D129" s="37">
        <v>7.0000000000000007E-2</v>
      </c>
      <c r="E129" s="1">
        <v>244.14860959219416</v>
      </c>
      <c r="F129" s="1">
        <v>149.70252083813679</v>
      </c>
      <c r="G129" s="1">
        <v>393.85113043033095</v>
      </c>
      <c r="H129" s="1">
        <v>0.24708638095089758</v>
      </c>
      <c r="I129" s="1">
        <v>0.24708638095089758</v>
      </c>
    </row>
    <row r="130" spans="1:9">
      <c r="A130">
        <v>3</v>
      </c>
      <c r="B130" t="s">
        <v>12</v>
      </c>
      <c r="C130" t="s">
        <v>76</v>
      </c>
      <c r="D130" s="37">
        <v>7.0000000000000007E-2</v>
      </c>
      <c r="E130" s="1">
        <v>107.53270061750999</v>
      </c>
      <c r="F130" s="1">
        <v>18.506738961343579</v>
      </c>
      <c r="G130" s="1">
        <v>126.03943957885357</v>
      </c>
      <c r="H130" s="1">
        <v>7.887501135584607E-2</v>
      </c>
      <c r="I130" s="1">
        <v>7.887501135584607E-2</v>
      </c>
    </row>
    <row r="131" spans="1:9">
      <c r="A131">
        <v>3</v>
      </c>
      <c r="B131" t="s">
        <v>13</v>
      </c>
      <c r="C131" t="s">
        <v>76</v>
      </c>
      <c r="D131" s="37">
        <v>7.0000000000000007E-2</v>
      </c>
      <c r="E131" s="1">
        <v>10.16761535266463</v>
      </c>
      <c r="F131" s="1">
        <v>28.255657820843123</v>
      </c>
      <c r="G131" s="1">
        <v>38.423273173507752</v>
      </c>
      <c r="H131" s="1">
        <v>2.4081528605903676E-2</v>
      </c>
      <c r="I131" s="1">
        <v>2.4081528605903676E-2</v>
      </c>
    </row>
    <row r="132" spans="1:9">
      <c r="A132">
        <v>3</v>
      </c>
      <c r="B132" t="s">
        <v>14</v>
      </c>
      <c r="C132" t="s">
        <v>76</v>
      </c>
      <c r="D132" s="37">
        <v>7.0000000000000007E-2</v>
      </c>
      <c r="E132" s="1">
        <v>502.17707700197559</v>
      </c>
      <c r="F132" s="1">
        <v>46.569970881599914</v>
      </c>
      <c r="G132" s="1">
        <v>548.74704788357553</v>
      </c>
      <c r="H132" s="1">
        <v>0.37279456038370989</v>
      </c>
      <c r="I132" s="1">
        <v>0.37279456038370989</v>
      </c>
    </row>
    <row r="133" spans="1:9">
      <c r="A133">
        <v>3</v>
      </c>
      <c r="B133" t="s">
        <v>15</v>
      </c>
      <c r="C133" t="s">
        <v>76</v>
      </c>
      <c r="D133" s="37">
        <v>7.0000000000000007E-2</v>
      </c>
      <c r="E133" s="1">
        <v>61.196912735033663</v>
      </c>
      <c r="F133" s="1">
        <v>19.506997570911949</v>
      </c>
      <c r="G133" s="1">
        <v>80.703910305945612</v>
      </c>
      <c r="H133" s="1">
        <v>5.3939378474945059E-2</v>
      </c>
      <c r="I133" s="1">
        <v>5.3939378474945059E-2</v>
      </c>
    </row>
    <row r="134" spans="1:9">
      <c r="A134">
        <v>4</v>
      </c>
      <c r="B134" t="s">
        <v>9</v>
      </c>
      <c r="C134" t="s">
        <v>24</v>
      </c>
      <c r="D134" s="37">
        <v>0.03</v>
      </c>
      <c r="E134" s="1">
        <v>487.99015982488027</v>
      </c>
      <c r="F134" s="1">
        <v>109.75258777001235</v>
      </c>
      <c r="G134" s="1">
        <v>597.74274759489265</v>
      </c>
      <c r="H134" s="1">
        <v>0.13894320920407469</v>
      </c>
      <c r="I134" s="1">
        <v>0.13894320920407469</v>
      </c>
    </row>
    <row r="135" spans="1:9">
      <c r="A135">
        <v>4</v>
      </c>
      <c r="B135" t="s">
        <v>10</v>
      </c>
      <c r="C135" t="s">
        <v>24</v>
      </c>
      <c r="D135" s="37">
        <v>0.03</v>
      </c>
      <c r="E135" s="1">
        <v>35.360828299139094</v>
      </c>
      <c r="F135" s="1">
        <v>4.1366409294700048</v>
      </c>
      <c r="G135" s="1">
        <v>39.497469228609098</v>
      </c>
      <c r="H135" s="1">
        <v>9.0659532717738724E-3</v>
      </c>
      <c r="I135" s="1">
        <v>9.0659532717738724E-3</v>
      </c>
    </row>
    <row r="136" spans="1:9">
      <c r="A136">
        <v>4</v>
      </c>
      <c r="B136" t="s">
        <v>11</v>
      </c>
      <c r="C136" t="s">
        <v>24</v>
      </c>
      <c r="D136" s="37">
        <v>0.03</v>
      </c>
      <c r="E136" s="1">
        <v>1184.2103074009999</v>
      </c>
      <c r="F136" s="1">
        <v>361.72693756289692</v>
      </c>
      <c r="G136" s="1">
        <v>1545.9372449638968</v>
      </c>
      <c r="H136" s="1">
        <v>0.34957742547986637</v>
      </c>
      <c r="I136" s="1">
        <v>0.34957742547986637</v>
      </c>
    </row>
    <row r="137" spans="1:9">
      <c r="A137">
        <v>4</v>
      </c>
      <c r="B137" t="s">
        <v>12</v>
      </c>
      <c r="C137" t="s">
        <v>24</v>
      </c>
      <c r="D137" s="37">
        <v>0.03</v>
      </c>
      <c r="E137" s="1">
        <v>436.69625272335276</v>
      </c>
      <c r="F137" s="1">
        <v>41.704444693778591</v>
      </c>
      <c r="G137" s="1">
        <v>478.40069741713137</v>
      </c>
      <c r="H137" s="1">
        <v>0.10803472550855736</v>
      </c>
      <c r="I137" s="1">
        <v>0.10803472550855736</v>
      </c>
    </row>
    <row r="138" spans="1:9">
      <c r="A138">
        <v>4</v>
      </c>
      <c r="B138" t="s">
        <v>13</v>
      </c>
      <c r="C138" t="s">
        <v>24</v>
      </c>
      <c r="D138" s="37">
        <v>0.03</v>
      </c>
      <c r="E138" s="1">
        <v>64.034472290529479</v>
      </c>
      <c r="F138" s="1">
        <v>70.074322016625544</v>
      </c>
      <c r="G138" s="1">
        <v>134.10879430715502</v>
      </c>
      <c r="H138" s="1">
        <v>3.0308054782254623E-2</v>
      </c>
      <c r="I138" s="1">
        <v>3.0308054782254623E-2</v>
      </c>
    </row>
    <row r="139" spans="1:9">
      <c r="A139">
        <v>4</v>
      </c>
      <c r="B139" t="s">
        <v>14</v>
      </c>
      <c r="C139" t="s">
        <v>24</v>
      </c>
      <c r="D139" s="37">
        <v>0.03</v>
      </c>
      <c r="E139" s="1">
        <v>1956.1915013912917</v>
      </c>
      <c r="F139" s="1">
        <v>110.19367714476898</v>
      </c>
      <c r="G139" s="1">
        <v>2066.3851785360607</v>
      </c>
      <c r="H139" s="1">
        <v>0.48873956213477115</v>
      </c>
      <c r="I139" s="1">
        <v>0.48873956213477115</v>
      </c>
    </row>
    <row r="140" spans="1:9">
      <c r="A140">
        <v>4</v>
      </c>
      <c r="B140" t="s">
        <v>15</v>
      </c>
      <c r="C140" t="s">
        <v>24</v>
      </c>
      <c r="D140" s="37">
        <v>0.03</v>
      </c>
      <c r="E140" s="1">
        <v>304.94104986524218</v>
      </c>
      <c r="F140" s="1">
        <v>47.064371569893581</v>
      </c>
      <c r="G140" s="1">
        <v>352.00542143513576</v>
      </c>
      <c r="H140" s="1">
        <v>8.2549282739355148E-2</v>
      </c>
      <c r="I140" s="1">
        <v>8.2549282739355148E-2</v>
      </c>
    </row>
    <row r="141" spans="1:9">
      <c r="A141">
        <v>4</v>
      </c>
      <c r="B141" t="s">
        <v>9</v>
      </c>
      <c r="C141" t="s">
        <v>24</v>
      </c>
      <c r="D141" s="37">
        <v>7.0000000000000007E-2</v>
      </c>
      <c r="E141" s="1">
        <v>146.56019717262524</v>
      </c>
      <c r="F141" s="1">
        <v>58.009838686752992</v>
      </c>
      <c r="G141" s="1">
        <v>204.57003585937824</v>
      </c>
      <c r="H141" s="1">
        <v>0.13894320920407469</v>
      </c>
      <c r="I141" s="1">
        <v>0.13894320920407469</v>
      </c>
    </row>
    <row r="142" spans="1:9">
      <c r="A142">
        <v>4</v>
      </c>
      <c r="B142" t="s">
        <v>10</v>
      </c>
      <c r="C142" t="s">
        <v>24</v>
      </c>
      <c r="D142" s="37">
        <v>7.0000000000000007E-2</v>
      </c>
      <c r="E142" s="1">
        <v>11.434003367996665</v>
      </c>
      <c r="F142" s="1">
        <v>2.1864256497206771</v>
      </c>
      <c r="G142" s="1">
        <v>13.620429017717342</v>
      </c>
      <c r="H142" s="1">
        <v>9.0659532717738724E-3</v>
      </c>
      <c r="I142" s="1">
        <v>9.0659532717738724E-3</v>
      </c>
    </row>
    <row r="143" spans="1:9">
      <c r="A143">
        <v>4</v>
      </c>
      <c r="B143" t="s">
        <v>11</v>
      </c>
      <c r="C143" t="s">
        <v>24</v>
      </c>
      <c r="D143" s="37">
        <v>7.0000000000000007E-2</v>
      </c>
      <c r="E143" s="1">
        <v>348.12344983757373</v>
      </c>
      <c r="F143" s="1">
        <v>191.19113018682003</v>
      </c>
      <c r="G143" s="1">
        <v>539.31458002439376</v>
      </c>
      <c r="H143" s="1">
        <v>0.34957742547986637</v>
      </c>
      <c r="I143" s="1">
        <v>0.34957742547986637</v>
      </c>
    </row>
    <row r="144" spans="1:9">
      <c r="A144">
        <v>4</v>
      </c>
      <c r="B144" t="s">
        <v>12</v>
      </c>
      <c r="C144" t="s">
        <v>24</v>
      </c>
      <c r="D144" s="37">
        <v>7.0000000000000007E-2</v>
      </c>
      <c r="E144" s="1">
        <v>145.05330636441028</v>
      </c>
      <c r="F144" s="1">
        <v>22.042925441323622</v>
      </c>
      <c r="G144" s="1">
        <v>167.09623180573391</v>
      </c>
      <c r="H144" s="1">
        <v>0.10803472550855736</v>
      </c>
      <c r="I144" s="1">
        <v>0.10803472550855736</v>
      </c>
    </row>
    <row r="145" spans="1:9">
      <c r="A145">
        <v>4</v>
      </c>
      <c r="B145" t="s">
        <v>13</v>
      </c>
      <c r="C145" t="s">
        <v>24</v>
      </c>
      <c r="D145" s="37">
        <v>7.0000000000000007E-2</v>
      </c>
      <c r="E145" s="1">
        <v>9.7670051104325069</v>
      </c>
      <c r="F145" s="1">
        <v>37.037852125967916</v>
      </c>
      <c r="G145" s="1">
        <v>46.804857236400423</v>
      </c>
      <c r="H145" s="1">
        <v>3.0308054782254623E-2</v>
      </c>
      <c r="I145" s="1">
        <v>3.0308054782254623E-2</v>
      </c>
    </row>
    <row r="146" spans="1:9">
      <c r="A146">
        <v>4</v>
      </c>
      <c r="B146" t="s">
        <v>14</v>
      </c>
      <c r="C146" t="s">
        <v>24</v>
      </c>
      <c r="D146" s="37">
        <v>7.0000000000000007E-2</v>
      </c>
      <c r="E146" s="1">
        <v>637.12313041963944</v>
      </c>
      <c r="F146" s="1">
        <v>58.242976911518085</v>
      </c>
      <c r="G146" s="1">
        <v>695.36610733115754</v>
      </c>
      <c r="H146" s="1">
        <v>0.48873956213477115</v>
      </c>
      <c r="I146" s="1">
        <v>0.48873956213477115</v>
      </c>
    </row>
    <row r="147" spans="1:9">
      <c r="A147">
        <v>4</v>
      </c>
      <c r="B147" t="s">
        <v>15</v>
      </c>
      <c r="C147" t="s">
        <v>24</v>
      </c>
      <c r="D147" s="37">
        <v>7.0000000000000007E-2</v>
      </c>
      <c r="E147" s="1">
        <v>94.545083298077515</v>
      </c>
      <c r="F147" s="1">
        <v>24.875920086586795</v>
      </c>
      <c r="G147" s="1">
        <v>119.42100338466432</v>
      </c>
      <c r="H147" s="1">
        <v>8.2549282739355148E-2</v>
      </c>
      <c r="I147" s="1">
        <v>8.2549282739355148E-2</v>
      </c>
    </row>
    <row r="148" spans="1:9">
      <c r="A148">
        <v>4</v>
      </c>
      <c r="B148" t="s">
        <v>9</v>
      </c>
      <c r="C148" t="s">
        <v>75</v>
      </c>
      <c r="D148" s="37">
        <v>0.03</v>
      </c>
      <c r="E148" s="1">
        <v>427.52181790574411</v>
      </c>
      <c r="F148" s="1">
        <v>102.53017421315897</v>
      </c>
      <c r="G148" s="1">
        <v>530.05199211890306</v>
      </c>
      <c r="H148" s="1">
        <v>0.1295046273055514</v>
      </c>
      <c r="I148" s="1">
        <v>0.1295046273055514</v>
      </c>
    </row>
    <row r="149" spans="1:9">
      <c r="A149">
        <v>4</v>
      </c>
      <c r="B149" t="s">
        <v>10</v>
      </c>
      <c r="C149" t="s">
        <v>75</v>
      </c>
      <c r="D149" s="37">
        <v>0.03</v>
      </c>
      <c r="E149" s="1">
        <v>31.174290178421398</v>
      </c>
      <c r="F149" s="1">
        <v>3.8644238261116306</v>
      </c>
      <c r="G149" s="1">
        <v>35.038714004533027</v>
      </c>
      <c r="H149" s="1">
        <v>8.450102504020689E-3</v>
      </c>
      <c r="I149" s="1">
        <v>8.450102504020689E-3</v>
      </c>
    </row>
    <row r="150" spans="1:9">
      <c r="A150">
        <v>4</v>
      </c>
      <c r="B150" t="s">
        <v>11</v>
      </c>
      <c r="C150" t="s">
        <v>75</v>
      </c>
      <c r="D150" s="37">
        <v>0.03</v>
      </c>
      <c r="E150" s="1">
        <v>1034.2187409790199</v>
      </c>
      <c r="F150" s="1">
        <v>337.92302012627209</v>
      </c>
      <c r="G150" s="1">
        <v>1372.1417611052921</v>
      </c>
      <c r="H150" s="1">
        <v>0.325831455778473</v>
      </c>
      <c r="I150" s="1">
        <v>0.325831455778473</v>
      </c>
    </row>
    <row r="151" spans="1:9">
      <c r="A151">
        <v>4</v>
      </c>
      <c r="B151" t="s">
        <v>12</v>
      </c>
      <c r="C151" t="s">
        <v>75</v>
      </c>
      <c r="D151" s="37">
        <v>0.03</v>
      </c>
      <c r="E151" s="1">
        <v>385.67994787856958</v>
      </c>
      <c r="F151" s="1">
        <v>38.960028795644433</v>
      </c>
      <c r="G151" s="1">
        <v>424.63997667421404</v>
      </c>
      <c r="H151" s="1">
        <v>0.10069620394443182</v>
      </c>
      <c r="I151" s="1">
        <v>0.10069620394443182</v>
      </c>
    </row>
    <row r="152" spans="1:9">
      <c r="A152">
        <v>4</v>
      </c>
      <c r="B152" t="s">
        <v>13</v>
      </c>
      <c r="C152" t="s">
        <v>75</v>
      </c>
      <c r="D152" s="37">
        <v>0.03</v>
      </c>
      <c r="E152" s="1">
        <v>53.571510093946401</v>
      </c>
      <c r="F152" s="1">
        <v>65.462988984727161</v>
      </c>
      <c r="G152" s="1">
        <v>119.03449907867356</v>
      </c>
      <c r="H152" s="1">
        <v>2.8249304863467269E-2</v>
      </c>
      <c r="I152" s="1">
        <v>2.8249304863467269E-2</v>
      </c>
    </row>
    <row r="153" spans="1:9">
      <c r="A153">
        <v>4</v>
      </c>
      <c r="B153" t="s">
        <v>14</v>
      </c>
      <c r="C153" t="s">
        <v>75</v>
      </c>
      <c r="D153" s="37">
        <v>0.03</v>
      </c>
      <c r="E153" s="1">
        <v>1728.1883832706774</v>
      </c>
      <c r="F153" s="1">
        <v>102.94223712079764</v>
      </c>
      <c r="G153" s="1">
        <v>1831.1306203914751</v>
      </c>
      <c r="H153" s="1">
        <v>0.45553718959398626</v>
      </c>
      <c r="I153" s="1">
        <v>0.45553718959398626</v>
      </c>
    </row>
    <row r="154" spans="1:9">
      <c r="A154">
        <v>4</v>
      </c>
      <c r="B154" t="s">
        <v>15</v>
      </c>
      <c r="C154" t="s">
        <v>75</v>
      </c>
      <c r="D154" s="37">
        <v>0.03</v>
      </c>
      <c r="E154" s="1">
        <v>268.06654231654608</v>
      </c>
      <c r="F154" s="1">
        <v>43.967238625898815</v>
      </c>
      <c r="G154" s="1">
        <v>312.03378094244488</v>
      </c>
      <c r="H154" s="1">
        <v>7.6941450535077699E-2</v>
      </c>
      <c r="I154" s="1">
        <v>7.6941450535077699E-2</v>
      </c>
    </row>
    <row r="155" spans="1:9">
      <c r="A155">
        <v>4</v>
      </c>
      <c r="B155" t="s">
        <v>9</v>
      </c>
      <c r="C155" t="s">
        <v>75</v>
      </c>
      <c r="D155" s="37">
        <v>7.0000000000000007E-2</v>
      </c>
      <c r="E155" s="1">
        <v>128.95583647819689</v>
      </c>
      <c r="F155" s="1">
        <v>54.341178876876633</v>
      </c>
      <c r="G155" s="1">
        <v>183.29701535507351</v>
      </c>
      <c r="H155" s="1">
        <v>0.1295046273055514</v>
      </c>
      <c r="I155" s="1">
        <v>0.1295046273055514</v>
      </c>
    </row>
    <row r="156" spans="1:9">
      <c r="A156">
        <v>4</v>
      </c>
      <c r="B156" t="s">
        <v>10</v>
      </c>
      <c r="C156" t="s">
        <v>75</v>
      </c>
      <c r="D156" s="37">
        <v>7.0000000000000007E-2</v>
      </c>
      <c r="E156" s="1">
        <v>10.157223794096442</v>
      </c>
      <c r="F156" s="1">
        <v>2.0481516587908475</v>
      </c>
      <c r="G156" s="1">
        <v>12.20537545288729</v>
      </c>
      <c r="H156" s="1">
        <v>8.450102504020689E-3</v>
      </c>
      <c r="I156" s="1">
        <v>8.450102504020689E-3</v>
      </c>
    </row>
    <row r="157" spans="1:9">
      <c r="A157">
        <v>4</v>
      </c>
      <c r="B157" t="s">
        <v>11</v>
      </c>
      <c r="C157" t="s">
        <v>75</v>
      </c>
      <c r="D157" s="37">
        <v>7.0000000000000007E-2</v>
      </c>
      <c r="E157" s="1">
        <v>304.29449761653154</v>
      </c>
      <c r="F157" s="1">
        <v>179.09981548572611</v>
      </c>
      <c r="G157" s="1">
        <v>483.39431310225768</v>
      </c>
      <c r="H157" s="1">
        <v>0.325831455778473</v>
      </c>
      <c r="I157" s="1">
        <v>0.325831455778473</v>
      </c>
    </row>
    <row r="158" spans="1:9">
      <c r="A158">
        <v>4</v>
      </c>
      <c r="B158" t="s">
        <v>12</v>
      </c>
      <c r="C158" t="s">
        <v>75</v>
      </c>
      <c r="D158" s="37">
        <v>7.0000000000000007E-2</v>
      </c>
      <c r="E158" s="1">
        <v>129.1253556434863</v>
      </c>
      <c r="F158" s="1">
        <v>20.648886145759242</v>
      </c>
      <c r="G158" s="1">
        <v>149.77424178924554</v>
      </c>
      <c r="H158" s="1">
        <v>0.10069620394443182</v>
      </c>
      <c r="I158" s="1">
        <v>0.10069620394443182</v>
      </c>
    </row>
    <row r="159" spans="1:9">
      <c r="A159">
        <v>4</v>
      </c>
      <c r="B159" t="s">
        <v>13</v>
      </c>
      <c r="C159" t="s">
        <v>75</v>
      </c>
      <c r="D159" s="37">
        <v>7.0000000000000007E-2</v>
      </c>
      <c r="E159" s="1">
        <v>7.2566484391408537</v>
      </c>
      <c r="F159" s="1">
        <v>34.695503265588989</v>
      </c>
      <c r="G159" s="1">
        <v>41.952151704729843</v>
      </c>
      <c r="H159" s="1">
        <v>2.8249304863467269E-2</v>
      </c>
      <c r="I159" s="1">
        <v>2.8249304863467269E-2</v>
      </c>
    </row>
    <row r="160" spans="1:9">
      <c r="A160">
        <v>4</v>
      </c>
      <c r="B160" t="s">
        <v>14</v>
      </c>
      <c r="C160" t="s">
        <v>75</v>
      </c>
      <c r="D160" s="37">
        <v>7.0000000000000007E-2</v>
      </c>
      <c r="E160" s="1">
        <v>568.25690859804604</v>
      </c>
      <c r="F160" s="1">
        <v>54.559572967634402</v>
      </c>
      <c r="G160" s="1">
        <v>622.81648156568042</v>
      </c>
      <c r="H160" s="1">
        <v>0.45553718959398626</v>
      </c>
      <c r="I160" s="1">
        <v>0.45553718959398626</v>
      </c>
    </row>
    <row r="161" spans="1:9">
      <c r="A161">
        <v>4</v>
      </c>
      <c r="B161" t="s">
        <v>15</v>
      </c>
      <c r="C161" t="s">
        <v>75</v>
      </c>
      <c r="D161" s="37">
        <v>7.0000000000000007E-2</v>
      </c>
      <c r="E161" s="1">
        <v>83.678124285438528</v>
      </c>
      <c r="F161" s="1">
        <v>23.302716465936211</v>
      </c>
      <c r="G161" s="1">
        <v>106.98084075137474</v>
      </c>
      <c r="H161" s="1">
        <v>7.6941450535077699E-2</v>
      </c>
      <c r="I161" s="1">
        <v>7.6941450535077699E-2</v>
      </c>
    </row>
    <row r="162" spans="1:9">
      <c r="A162">
        <v>4</v>
      </c>
      <c r="B162" t="s">
        <v>9</v>
      </c>
      <c r="C162" t="s">
        <v>76</v>
      </c>
      <c r="D162" s="37">
        <v>0.03</v>
      </c>
      <c r="E162" s="1">
        <v>556.25219312665297</v>
      </c>
      <c r="F162" s="1">
        <v>117.45136631061811</v>
      </c>
      <c r="G162" s="1">
        <v>673.70355943727111</v>
      </c>
      <c r="H162" s="1">
        <v>0.14902490894050244</v>
      </c>
      <c r="I162" s="1">
        <v>0.14902490894050244</v>
      </c>
    </row>
    <row r="163" spans="1:9">
      <c r="A163">
        <v>4</v>
      </c>
      <c r="B163" t="s">
        <v>10</v>
      </c>
      <c r="C163" t="s">
        <v>76</v>
      </c>
      <c r="D163" s="37">
        <v>0.03</v>
      </c>
      <c r="E163" s="1">
        <v>40.05620086717007</v>
      </c>
      <c r="F163" s="1">
        <v>4.4268125150797317</v>
      </c>
      <c r="G163" s="1">
        <v>44.483013382249801</v>
      </c>
      <c r="H163" s="1">
        <v>9.7237706242231086E-3</v>
      </c>
      <c r="I163" s="1">
        <v>9.7237706242231086E-3</v>
      </c>
    </row>
    <row r="164" spans="1:9">
      <c r="A164">
        <v>4</v>
      </c>
      <c r="B164" t="s">
        <v>11</v>
      </c>
      <c r="C164" t="s">
        <v>76</v>
      </c>
      <c r="D164" s="37">
        <v>0.03</v>
      </c>
      <c r="E164" s="1">
        <v>1352.2655011391062</v>
      </c>
      <c r="F164" s="1">
        <v>387.10087763166302</v>
      </c>
      <c r="G164" s="1">
        <v>1739.3663787707692</v>
      </c>
      <c r="H164" s="1">
        <v>0.37494188356470082</v>
      </c>
      <c r="I164" s="1">
        <v>0.37494188356470082</v>
      </c>
    </row>
    <row r="165" spans="1:9">
      <c r="A165">
        <v>4</v>
      </c>
      <c r="B165" t="s">
        <v>12</v>
      </c>
      <c r="C165" t="s">
        <v>76</v>
      </c>
      <c r="D165" s="37">
        <v>0.03</v>
      </c>
      <c r="E165" s="1">
        <v>493.57795522831037</v>
      </c>
      <c r="F165" s="1">
        <v>44.629872607416097</v>
      </c>
      <c r="G165" s="1">
        <v>538.20782783572645</v>
      </c>
      <c r="H165" s="1">
        <v>0.11587343797549887</v>
      </c>
      <c r="I165" s="1">
        <v>0.11587343797549887</v>
      </c>
    </row>
    <row r="166" spans="1:9">
      <c r="A166">
        <v>4</v>
      </c>
      <c r="B166" t="s">
        <v>13</v>
      </c>
      <c r="C166" t="s">
        <v>76</v>
      </c>
      <c r="D166" s="37">
        <v>0.03</v>
      </c>
      <c r="E166" s="1">
        <v>75.893372736853948</v>
      </c>
      <c r="F166" s="1">
        <v>74.989802348803167</v>
      </c>
      <c r="G166" s="1">
        <v>150.88317508565711</v>
      </c>
      <c r="H166" s="1">
        <v>3.2507127749496295E-2</v>
      </c>
      <c r="I166" s="1">
        <v>3.2507127749496295E-2</v>
      </c>
    </row>
    <row r="167" spans="1:9">
      <c r="A167">
        <v>4</v>
      </c>
      <c r="B167" t="s">
        <v>14</v>
      </c>
      <c r="C167" t="s">
        <v>76</v>
      </c>
      <c r="D167" s="37">
        <v>0.03</v>
      </c>
      <c r="E167" s="1">
        <v>2213.9926287788753</v>
      </c>
      <c r="F167" s="1">
        <v>117.92339663612471</v>
      </c>
      <c r="G167" s="1">
        <v>2331.9160254150001</v>
      </c>
      <c r="H167" s="1">
        <v>0.52420356682861091</v>
      </c>
      <c r="I167" s="1">
        <v>0.52420356682861091</v>
      </c>
    </row>
    <row r="168" spans="1:9">
      <c r="A168">
        <v>4</v>
      </c>
      <c r="B168" t="s">
        <v>15</v>
      </c>
      <c r="C168" t="s">
        <v>76</v>
      </c>
      <c r="D168" s="37">
        <v>0.03</v>
      </c>
      <c r="E168" s="1">
        <v>346.62825872047665</v>
      </c>
      <c r="F168" s="1">
        <v>50.365780504584748</v>
      </c>
      <c r="G168" s="1">
        <v>396.99403922506139</v>
      </c>
      <c r="H168" s="1">
        <v>8.8539153193942011E-2</v>
      </c>
      <c r="I168" s="1">
        <v>8.8539153193942011E-2</v>
      </c>
    </row>
    <row r="169" spans="1:9">
      <c r="A169">
        <v>4</v>
      </c>
      <c r="B169" t="s">
        <v>9</v>
      </c>
      <c r="C169" t="s">
        <v>76</v>
      </c>
      <c r="D169" s="37">
        <v>7.0000000000000007E-2</v>
      </c>
      <c r="E169" s="1">
        <v>164.9088031366947</v>
      </c>
      <c r="F169" s="1">
        <v>61.933081077740631</v>
      </c>
      <c r="G169" s="1">
        <v>226.84188421443534</v>
      </c>
      <c r="H169" s="1">
        <v>0.14902490894050244</v>
      </c>
      <c r="I169" s="1">
        <v>0.14902490894050244</v>
      </c>
    </row>
    <row r="170" spans="1:9">
      <c r="A170">
        <v>4</v>
      </c>
      <c r="B170" t="s">
        <v>10</v>
      </c>
      <c r="C170" t="s">
        <v>76</v>
      </c>
      <c r="D170" s="37">
        <v>7.0000000000000007E-2</v>
      </c>
      <c r="E170" s="1">
        <v>12.765835645221813</v>
      </c>
      <c r="F170" s="1">
        <v>2.3342950109862111</v>
      </c>
      <c r="G170" s="1">
        <v>15.100130656208025</v>
      </c>
      <c r="H170" s="1">
        <v>9.7237706242231086E-3</v>
      </c>
      <c r="I170" s="1">
        <v>9.7237706242231086E-3</v>
      </c>
    </row>
    <row r="171" spans="1:9">
      <c r="A171">
        <v>4</v>
      </c>
      <c r="B171" t="s">
        <v>11</v>
      </c>
      <c r="C171" t="s">
        <v>76</v>
      </c>
      <c r="D171" s="37">
        <v>7.0000000000000007E-2</v>
      </c>
      <c r="E171" s="1">
        <v>393.52893332646875</v>
      </c>
      <c r="F171" s="1">
        <v>204.12150826940987</v>
      </c>
      <c r="G171" s="1">
        <v>597.65044159587865</v>
      </c>
      <c r="H171" s="1">
        <v>0.37494188356470082</v>
      </c>
      <c r="I171" s="1">
        <v>0.37494188356470082</v>
      </c>
    </row>
    <row r="172" spans="1:9">
      <c r="A172">
        <v>4</v>
      </c>
      <c r="B172" t="s">
        <v>12</v>
      </c>
      <c r="C172" t="s">
        <v>76</v>
      </c>
      <c r="D172" s="37">
        <v>7.0000000000000007E-2</v>
      </c>
      <c r="E172" s="1">
        <v>161.62789595330395</v>
      </c>
      <c r="F172" s="1">
        <v>23.533702548630565</v>
      </c>
      <c r="G172" s="1">
        <v>185.16159850193452</v>
      </c>
      <c r="H172" s="1">
        <v>0.11587343797549887</v>
      </c>
      <c r="I172" s="1">
        <v>0.11587343797549887</v>
      </c>
    </row>
    <row r="173" spans="1:9">
      <c r="A173">
        <v>4</v>
      </c>
      <c r="B173" t="s">
        <v>13</v>
      </c>
      <c r="C173" t="s">
        <v>76</v>
      </c>
      <c r="D173" s="37">
        <v>7.0000000000000007E-2</v>
      </c>
      <c r="E173" s="1">
        <v>12.323988771264922</v>
      </c>
      <c r="F173" s="1">
        <v>39.542745689219814</v>
      </c>
      <c r="G173" s="1">
        <v>51.866734460484736</v>
      </c>
      <c r="H173" s="1">
        <v>3.2507127749496295E-2</v>
      </c>
      <c r="I173" s="1">
        <v>3.2507127749496295E-2</v>
      </c>
    </row>
    <row r="174" spans="1:9">
      <c r="A174">
        <v>4</v>
      </c>
      <c r="B174" t="s">
        <v>14</v>
      </c>
      <c r="C174" t="s">
        <v>76</v>
      </c>
      <c r="D174" s="37">
        <v>7.0000000000000007E-2</v>
      </c>
      <c r="E174" s="1">
        <v>709.43646055527677</v>
      </c>
      <c r="F174" s="1">
        <v>62.181986589349883</v>
      </c>
      <c r="G174" s="1">
        <v>771.61844714462666</v>
      </c>
      <c r="H174" s="1">
        <v>0.52420356682861091</v>
      </c>
      <c r="I174" s="1">
        <v>0.52420356682861091</v>
      </c>
    </row>
    <row r="175" spans="1:9">
      <c r="A175">
        <v>4</v>
      </c>
      <c r="B175" t="s">
        <v>15</v>
      </c>
      <c r="C175" t="s">
        <v>76</v>
      </c>
      <c r="D175" s="37">
        <v>7.0000000000000007E-2</v>
      </c>
      <c r="E175" s="1">
        <v>105.91367836657155</v>
      </c>
      <c r="F175" s="1">
        <v>26.558294428731006</v>
      </c>
      <c r="G175" s="1">
        <v>132.47197279530255</v>
      </c>
      <c r="H175" s="1">
        <v>8.8539153193942011E-2</v>
      </c>
      <c r="I175" s="1">
        <v>8.8539153193942011E-2</v>
      </c>
    </row>
    <row r="176" spans="1:9">
      <c r="A176">
        <v>5</v>
      </c>
      <c r="B176" t="s">
        <v>9</v>
      </c>
      <c r="C176" t="s">
        <v>24</v>
      </c>
      <c r="D176" s="37">
        <v>0.03</v>
      </c>
      <c r="E176" s="1">
        <v>2267.9336873505531</v>
      </c>
      <c r="F176" s="1">
        <v>314.9000152734888</v>
      </c>
      <c r="G176" s="1">
        <v>2582.833702624042</v>
      </c>
      <c r="H176" s="1">
        <v>0.60037065263776568</v>
      </c>
      <c r="I176" s="1">
        <v>0.60037065263776568</v>
      </c>
    </row>
    <row r="177" spans="1:9">
      <c r="A177">
        <v>5</v>
      </c>
      <c r="B177" t="s">
        <v>10</v>
      </c>
      <c r="C177" t="s">
        <v>24</v>
      </c>
      <c r="D177" s="37">
        <v>0.03</v>
      </c>
      <c r="E177" s="1">
        <v>966.69593350080856</v>
      </c>
      <c r="F177" s="1">
        <v>10.341323854700276</v>
      </c>
      <c r="G177" s="1">
        <v>977.03725735550881</v>
      </c>
      <c r="H177" s="1">
        <v>0.22426181456588853</v>
      </c>
      <c r="I177" s="1">
        <v>0.22426181456588853</v>
      </c>
    </row>
    <row r="178" spans="1:9">
      <c r="A178">
        <v>5</v>
      </c>
      <c r="B178" t="s">
        <v>11</v>
      </c>
      <c r="C178" t="s">
        <v>24</v>
      </c>
      <c r="D178" s="37">
        <v>0.03</v>
      </c>
      <c r="E178" s="1">
        <v>5765.7707568029309</v>
      </c>
      <c r="F178" s="1">
        <v>982.00955189756417</v>
      </c>
      <c r="G178" s="1">
        <v>6747.780308700495</v>
      </c>
      <c r="H178" s="1">
        <v>1.5258521493699846</v>
      </c>
      <c r="I178" s="1">
        <v>1.5258521493699846</v>
      </c>
    </row>
    <row r="179" spans="1:9">
      <c r="A179">
        <v>5</v>
      </c>
      <c r="B179" t="s">
        <v>12</v>
      </c>
      <c r="C179" t="s">
        <v>24</v>
      </c>
      <c r="D179" s="37">
        <v>0.03</v>
      </c>
      <c r="E179" s="1">
        <v>2294.9128545821686</v>
      </c>
      <c r="F179" s="1">
        <v>81.894378775958003</v>
      </c>
      <c r="G179" s="1">
        <v>2376.8072333581267</v>
      </c>
      <c r="H179" s="1">
        <v>0.53674193710195728</v>
      </c>
      <c r="I179" s="1">
        <v>0.53674193710195728</v>
      </c>
    </row>
    <row r="180" spans="1:9">
      <c r="A180">
        <v>5</v>
      </c>
      <c r="B180" t="s">
        <v>13</v>
      </c>
      <c r="C180" t="s">
        <v>24</v>
      </c>
      <c r="D180" s="37">
        <v>0.03</v>
      </c>
      <c r="E180" s="1">
        <v>378.65793337327284</v>
      </c>
      <c r="F180" s="1">
        <v>204.91328366654253</v>
      </c>
      <c r="G180" s="1">
        <v>583.57121703981534</v>
      </c>
      <c r="H180" s="1">
        <v>0.13188477688406081</v>
      </c>
      <c r="I180" s="1">
        <v>0.13188477688406081</v>
      </c>
    </row>
    <row r="181" spans="1:9">
      <c r="A181">
        <v>5</v>
      </c>
      <c r="B181" t="s">
        <v>14</v>
      </c>
      <c r="C181" t="s">
        <v>24</v>
      </c>
      <c r="D181" s="37">
        <v>0.03</v>
      </c>
      <c r="E181" s="1">
        <v>5233.2520999185517</v>
      </c>
      <c r="F181" s="1">
        <v>279.40454347567112</v>
      </c>
      <c r="G181" s="1">
        <v>5512.6566433942226</v>
      </c>
      <c r="H181" s="1">
        <v>1.3038485864482492</v>
      </c>
      <c r="I181" s="1">
        <v>1.3038485864482492</v>
      </c>
    </row>
    <row r="182" spans="1:9">
      <c r="A182">
        <v>5</v>
      </c>
      <c r="B182" t="s">
        <v>15</v>
      </c>
      <c r="C182" t="s">
        <v>24</v>
      </c>
      <c r="D182" s="37">
        <v>0.03</v>
      </c>
      <c r="E182" s="1">
        <v>1159.6546150423055</v>
      </c>
      <c r="F182" s="1">
        <v>118.47922076613249</v>
      </c>
      <c r="G182" s="1">
        <v>1278.1338358084381</v>
      </c>
      <c r="H182" s="1">
        <v>0.29973694996152994</v>
      </c>
      <c r="I182" s="1">
        <v>0.29973694996152994</v>
      </c>
    </row>
    <row r="183" spans="1:9">
      <c r="A183">
        <v>5</v>
      </c>
      <c r="B183" t="s">
        <v>9</v>
      </c>
      <c r="C183" t="s">
        <v>24</v>
      </c>
      <c r="D183" s="37">
        <v>7.0000000000000007E-2</v>
      </c>
      <c r="E183" s="1">
        <v>717.50206104784422</v>
      </c>
      <c r="F183" s="1">
        <v>166.44071415200202</v>
      </c>
      <c r="G183" s="1">
        <v>883.94277519984621</v>
      </c>
      <c r="H183" s="1">
        <v>0.60037065263776568</v>
      </c>
      <c r="I183" s="1">
        <v>0.60037065263776568</v>
      </c>
    </row>
    <row r="184" spans="1:9">
      <c r="A184">
        <v>5</v>
      </c>
      <c r="B184" t="s">
        <v>10</v>
      </c>
      <c r="C184" t="s">
        <v>24</v>
      </c>
      <c r="D184" s="37">
        <v>7.0000000000000007E-2</v>
      </c>
      <c r="E184" s="1">
        <v>331.45862205974748</v>
      </c>
      <c r="F184" s="1">
        <v>5.4659169392500075</v>
      </c>
      <c r="G184" s="1">
        <v>336.92453899899749</v>
      </c>
      <c r="H184" s="1">
        <v>0.22426181456588853</v>
      </c>
      <c r="I184" s="1">
        <v>0.22426181456588853</v>
      </c>
    </row>
    <row r="185" spans="1:9">
      <c r="A185">
        <v>5</v>
      </c>
      <c r="B185" t="s">
        <v>11</v>
      </c>
      <c r="C185" t="s">
        <v>24</v>
      </c>
      <c r="D185" s="37">
        <v>7.0000000000000007E-2</v>
      </c>
      <c r="E185" s="1">
        <v>1834.9837740468197</v>
      </c>
      <c r="F185" s="1">
        <v>519.04211874987004</v>
      </c>
      <c r="G185" s="1">
        <v>2354.0258927966897</v>
      </c>
      <c r="H185" s="1">
        <v>1.5258521493699846</v>
      </c>
      <c r="I185" s="1">
        <v>1.5258521493699846</v>
      </c>
    </row>
    <row r="186" spans="1:9">
      <c r="A186">
        <v>5</v>
      </c>
      <c r="B186" t="s">
        <v>12</v>
      </c>
      <c r="C186" t="s">
        <v>24</v>
      </c>
      <c r="D186" s="37">
        <v>7.0000000000000007E-2</v>
      </c>
      <c r="E186" s="1">
        <v>786.88804286781942</v>
      </c>
      <c r="F186" s="1">
        <v>43.285354802752074</v>
      </c>
      <c r="G186" s="1">
        <v>830.17339767057149</v>
      </c>
      <c r="H186" s="1">
        <v>0.53674193710195728</v>
      </c>
      <c r="I186" s="1">
        <v>0.53674193710195728</v>
      </c>
    </row>
    <row r="187" spans="1:9">
      <c r="A187">
        <v>5</v>
      </c>
      <c r="B187" t="s">
        <v>13</v>
      </c>
      <c r="C187" t="s">
        <v>24</v>
      </c>
      <c r="D187" s="37">
        <v>7.0000000000000007E-2</v>
      </c>
      <c r="E187" s="1">
        <v>95.363100449738255</v>
      </c>
      <c r="F187" s="1">
        <v>108.30711850893468</v>
      </c>
      <c r="G187" s="1">
        <v>203.67021895867293</v>
      </c>
      <c r="H187" s="1">
        <v>0.13188477688406081</v>
      </c>
      <c r="I187" s="1">
        <v>0.13188477688406081</v>
      </c>
    </row>
    <row r="188" spans="1:9">
      <c r="A188">
        <v>5</v>
      </c>
      <c r="B188" t="s">
        <v>14</v>
      </c>
      <c r="C188" t="s">
        <v>24</v>
      </c>
      <c r="D188" s="37">
        <v>7.0000000000000007E-2</v>
      </c>
      <c r="E188" s="1">
        <v>1707.40276292924</v>
      </c>
      <c r="F188" s="1">
        <v>147.67954746847533</v>
      </c>
      <c r="G188" s="1">
        <v>1855.0823103977154</v>
      </c>
      <c r="H188" s="1">
        <v>1.3038485864482492</v>
      </c>
      <c r="I188" s="1">
        <v>1.3038485864482492</v>
      </c>
    </row>
    <row r="189" spans="1:9">
      <c r="A189">
        <v>5</v>
      </c>
      <c r="B189" t="s">
        <v>15</v>
      </c>
      <c r="C189" t="s">
        <v>24</v>
      </c>
      <c r="D189" s="37">
        <v>7.0000000000000007E-2</v>
      </c>
      <c r="E189" s="1">
        <v>370.99608371485249</v>
      </c>
      <c r="F189" s="1">
        <v>62.622309177601352</v>
      </c>
      <c r="G189" s="1">
        <v>433.61839289245381</v>
      </c>
      <c r="H189" s="1">
        <v>0.29973694996152994</v>
      </c>
      <c r="I189" s="1">
        <v>0.29973694996152994</v>
      </c>
    </row>
    <row r="190" spans="1:9">
      <c r="A190">
        <v>5</v>
      </c>
      <c r="B190" t="s">
        <v>9</v>
      </c>
      <c r="C190" t="s">
        <v>75</v>
      </c>
      <c r="D190" s="37">
        <v>0.03</v>
      </c>
      <c r="E190" s="1">
        <v>1996.1657823945634</v>
      </c>
      <c r="F190" s="1">
        <v>294.17760511829061</v>
      </c>
      <c r="G190" s="1">
        <v>2290.343387512854</v>
      </c>
      <c r="H190" s="1">
        <v>0.55958674094569827</v>
      </c>
      <c r="I190" s="1">
        <v>0.55958674094569827</v>
      </c>
    </row>
    <row r="191" spans="1:9">
      <c r="A191">
        <v>5</v>
      </c>
      <c r="B191" t="s">
        <v>10</v>
      </c>
      <c r="C191" t="s">
        <v>75</v>
      </c>
      <c r="D191" s="37">
        <v>0.03</v>
      </c>
      <c r="E191" s="1">
        <v>857.08154384399381</v>
      </c>
      <c r="F191" s="1">
        <v>9.6607994213218973</v>
      </c>
      <c r="G191" s="1">
        <v>866.74234326531575</v>
      </c>
      <c r="H191" s="1">
        <v>0.20902769560036014</v>
      </c>
      <c r="I191" s="1">
        <v>0.20902769560036014</v>
      </c>
    </row>
    <row r="192" spans="1:9">
      <c r="A192">
        <v>5</v>
      </c>
      <c r="B192" t="s">
        <v>11</v>
      </c>
      <c r="C192" t="s">
        <v>75</v>
      </c>
      <c r="D192" s="37">
        <v>0.03</v>
      </c>
      <c r="E192" s="1">
        <v>5071.8024063520888</v>
      </c>
      <c r="F192" s="1">
        <v>917.38712025661914</v>
      </c>
      <c r="G192" s="1">
        <v>5989.1895266087076</v>
      </c>
      <c r="H192" s="1">
        <v>1.4222046130394896</v>
      </c>
      <c r="I192" s="1">
        <v>1.4222046130394896</v>
      </c>
    </row>
    <row r="193" spans="1:9">
      <c r="A193">
        <v>5</v>
      </c>
      <c r="B193" t="s">
        <v>12</v>
      </c>
      <c r="C193" t="s">
        <v>75</v>
      </c>
      <c r="D193" s="37">
        <v>0.03</v>
      </c>
      <c r="E193" s="1">
        <v>2033.2061113632105</v>
      </c>
      <c r="F193" s="1">
        <v>76.505211344744424</v>
      </c>
      <c r="G193" s="1">
        <v>2109.7113227079549</v>
      </c>
      <c r="H193" s="1">
        <v>0.50028243520336424</v>
      </c>
      <c r="I193" s="1">
        <v>0.50028243520336424</v>
      </c>
    </row>
    <row r="194" spans="1:9">
      <c r="A194">
        <v>5</v>
      </c>
      <c r="B194" t="s">
        <v>13</v>
      </c>
      <c r="C194" t="s">
        <v>75</v>
      </c>
      <c r="D194" s="37">
        <v>0.03</v>
      </c>
      <c r="E194" s="1">
        <v>326.54708598850641</v>
      </c>
      <c r="F194" s="1">
        <v>191.42869521170016</v>
      </c>
      <c r="G194" s="1">
        <v>517.9757812002066</v>
      </c>
      <c r="H194" s="1">
        <v>0.12292617575805515</v>
      </c>
      <c r="I194" s="1">
        <v>0.12292617575805515</v>
      </c>
    </row>
    <row r="195" spans="1:9">
      <c r="A195">
        <v>5</v>
      </c>
      <c r="B195" t="s">
        <v>14</v>
      </c>
      <c r="C195" t="s">
        <v>75</v>
      </c>
      <c r="D195" s="37">
        <v>0.03</v>
      </c>
      <c r="E195" s="1">
        <v>4624.0317805522445</v>
      </c>
      <c r="F195" s="1">
        <v>261.01795958141429</v>
      </c>
      <c r="G195" s="1">
        <v>4885.0497401336588</v>
      </c>
      <c r="H195" s="1">
        <v>1.2152720318617127</v>
      </c>
      <c r="I195" s="1">
        <v>1.2152720318617127</v>
      </c>
    </row>
    <row r="196" spans="1:9">
      <c r="A196">
        <v>5</v>
      </c>
      <c r="B196" t="s">
        <v>15</v>
      </c>
      <c r="C196" t="s">
        <v>75</v>
      </c>
      <c r="D196" s="37">
        <v>0.03</v>
      </c>
      <c r="E196" s="1">
        <v>1022.3140253386777</v>
      </c>
      <c r="F196" s="1">
        <v>110.68253963402221</v>
      </c>
      <c r="G196" s="1">
        <v>1132.9965649726998</v>
      </c>
      <c r="H196" s="1">
        <v>0.27937487696674151</v>
      </c>
      <c r="I196" s="1">
        <v>0.27937487696674151</v>
      </c>
    </row>
    <row r="197" spans="1:9">
      <c r="A197">
        <v>5</v>
      </c>
      <c r="B197" t="s">
        <v>9</v>
      </c>
      <c r="C197" t="s">
        <v>75</v>
      </c>
      <c r="D197" s="37">
        <v>7.0000000000000007E-2</v>
      </c>
      <c r="E197" s="1">
        <v>636.10783998560112</v>
      </c>
      <c r="F197" s="1">
        <v>155.91466594087322</v>
      </c>
      <c r="G197" s="1">
        <v>792.02250592647431</v>
      </c>
      <c r="H197" s="1">
        <v>0.55958674094569827</v>
      </c>
      <c r="I197" s="1">
        <v>0.55958674094569827</v>
      </c>
    </row>
    <row r="198" spans="1:9">
      <c r="A198">
        <v>5</v>
      </c>
      <c r="B198" t="s">
        <v>10</v>
      </c>
      <c r="C198" t="s">
        <v>75</v>
      </c>
      <c r="D198" s="37">
        <v>7.0000000000000007E-2</v>
      </c>
      <c r="E198" s="1">
        <v>296.80053467775991</v>
      </c>
      <c r="F198" s="1">
        <v>5.1202412702065097</v>
      </c>
      <c r="G198" s="1">
        <v>301.92077594796643</v>
      </c>
      <c r="H198" s="1">
        <v>0.20902769560036014</v>
      </c>
      <c r="I198" s="1">
        <v>0.20902769560036014</v>
      </c>
    </row>
    <row r="199" spans="1:9">
      <c r="A199">
        <v>5</v>
      </c>
      <c r="B199" t="s">
        <v>11</v>
      </c>
      <c r="C199" t="s">
        <v>75</v>
      </c>
      <c r="D199" s="37">
        <v>7.0000000000000007E-2</v>
      </c>
      <c r="E199" s="1">
        <v>1623.7256130542673</v>
      </c>
      <c r="F199" s="1">
        <v>486.21684283463912</v>
      </c>
      <c r="G199" s="1">
        <v>2109.9424558889064</v>
      </c>
      <c r="H199" s="1">
        <v>1.4222046130394896</v>
      </c>
      <c r="I199" s="1">
        <v>1.4222046130394896</v>
      </c>
    </row>
    <row r="200" spans="1:9">
      <c r="A200">
        <v>5</v>
      </c>
      <c r="B200" t="s">
        <v>12</v>
      </c>
      <c r="C200" t="s">
        <v>75</v>
      </c>
      <c r="D200" s="37">
        <v>7.0000000000000007E-2</v>
      </c>
      <c r="E200" s="1">
        <v>703.5657741649427</v>
      </c>
      <c r="F200" s="1">
        <v>40.547901206671703</v>
      </c>
      <c r="G200" s="1">
        <v>744.11367537161436</v>
      </c>
      <c r="H200" s="1">
        <v>0.50028243520336424</v>
      </c>
      <c r="I200" s="1">
        <v>0.50028243520336424</v>
      </c>
    </row>
    <row r="201" spans="1:9">
      <c r="A201">
        <v>5</v>
      </c>
      <c r="B201" t="s">
        <v>13</v>
      </c>
      <c r="C201" t="s">
        <v>75</v>
      </c>
      <c r="D201" s="37">
        <v>7.0000000000000007E-2</v>
      </c>
      <c r="E201" s="1">
        <v>81.096229930808491</v>
      </c>
      <c r="F201" s="1">
        <v>101.45755674850908</v>
      </c>
      <c r="G201" s="1">
        <v>182.55378667931757</v>
      </c>
      <c r="H201" s="1">
        <v>0.12292617575805515</v>
      </c>
      <c r="I201" s="1">
        <v>0.12292617575805515</v>
      </c>
    </row>
    <row r="202" spans="1:9">
      <c r="A202">
        <v>5</v>
      </c>
      <c r="B202" t="s">
        <v>14</v>
      </c>
      <c r="C202" t="s">
        <v>75</v>
      </c>
      <c r="D202" s="37">
        <v>7.0000000000000007E-2</v>
      </c>
      <c r="E202" s="1">
        <v>1523.1960310670479</v>
      </c>
      <c r="F202" s="1">
        <v>138.33999347550684</v>
      </c>
      <c r="G202" s="1">
        <v>1661.5360245425547</v>
      </c>
      <c r="H202" s="1">
        <v>1.2152720318617127</v>
      </c>
      <c r="I202" s="1">
        <v>1.2152720318617127</v>
      </c>
    </row>
    <row r="203" spans="1:9">
      <c r="A203">
        <v>5</v>
      </c>
      <c r="B203" t="s">
        <v>15</v>
      </c>
      <c r="C203" t="s">
        <v>75</v>
      </c>
      <c r="D203" s="37">
        <v>7.0000000000000007E-2</v>
      </c>
      <c r="E203" s="1">
        <v>329.78613898540902</v>
      </c>
      <c r="F203" s="1">
        <v>58.661947382387808</v>
      </c>
      <c r="G203" s="1">
        <v>388.4480863677968</v>
      </c>
      <c r="H203" s="1">
        <v>0.27937487696674151</v>
      </c>
      <c r="I203" s="1">
        <v>0.27937487696674151</v>
      </c>
    </row>
    <row r="204" spans="1:9">
      <c r="A204">
        <v>5</v>
      </c>
      <c r="B204" t="s">
        <v>9</v>
      </c>
      <c r="C204" t="s">
        <v>76</v>
      </c>
      <c r="D204" s="37">
        <v>0.03</v>
      </c>
      <c r="E204" s="1">
        <v>2574.0695527653452</v>
      </c>
      <c r="F204" s="1">
        <v>336.98920268385029</v>
      </c>
      <c r="G204" s="1">
        <v>2911.0587554491954</v>
      </c>
      <c r="H204" s="1">
        <v>0.64393346283287967</v>
      </c>
      <c r="I204" s="1">
        <v>0.64393346283287967</v>
      </c>
    </row>
    <row r="205" spans="1:9">
      <c r="A205">
        <v>5</v>
      </c>
      <c r="B205" t="s">
        <v>10</v>
      </c>
      <c r="C205" t="s">
        <v>76</v>
      </c>
      <c r="D205" s="37">
        <v>0.03</v>
      </c>
      <c r="E205" s="1">
        <v>1089.2964606793576</v>
      </c>
      <c r="F205" s="1">
        <v>11.066733285053356</v>
      </c>
      <c r="G205" s="1">
        <v>1100.3631939644108</v>
      </c>
      <c r="H205" s="1">
        <v>0.24053404857050198</v>
      </c>
      <c r="I205" s="1">
        <v>0.24053404857050198</v>
      </c>
    </row>
    <row r="206" spans="1:9">
      <c r="A206">
        <v>5</v>
      </c>
      <c r="B206" t="s">
        <v>11</v>
      </c>
      <c r="C206" t="s">
        <v>76</v>
      </c>
      <c r="D206" s="37">
        <v>0.03</v>
      </c>
      <c r="E206" s="1">
        <v>6541.1747268220633</v>
      </c>
      <c r="F206" s="1">
        <v>1050.8942517340865</v>
      </c>
      <c r="G206" s="1">
        <v>7592.0689785561499</v>
      </c>
      <c r="H206" s="1">
        <v>1.6365641406641103</v>
      </c>
      <c r="I206" s="1">
        <v>1.6365641406641103</v>
      </c>
    </row>
    <row r="207" spans="1:9">
      <c r="A207">
        <v>5</v>
      </c>
      <c r="B207" t="s">
        <v>12</v>
      </c>
      <c r="C207" t="s">
        <v>76</v>
      </c>
      <c r="D207" s="37">
        <v>0.03</v>
      </c>
      <c r="E207" s="1">
        <v>2586.3041332813664</v>
      </c>
      <c r="F207" s="1">
        <v>87.638996727361373</v>
      </c>
      <c r="G207" s="1">
        <v>2673.9431300087276</v>
      </c>
      <c r="H207" s="1">
        <v>0.57568650510160657</v>
      </c>
      <c r="I207" s="1">
        <v>0.57568650510160657</v>
      </c>
    </row>
    <row r="208" spans="1:9">
      <c r="A208">
        <v>5</v>
      </c>
      <c r="B208" t="s">
        <v>13</v>
      </c>
      <c r="C208" t="s">
        <v>76</v>
      </c>
      <c r="D208" s="37">
        <v>0.03</v>
      </c>
      <c r="E208" s="1">
        <v>437.27726644075085</v>
      </c>
      <c r="F208" s="1">
        <v>219.28726812586902</v>
      </c>
      <c r="G208" s="1">
        <v>656.56453456661984</v>
      </c>
      <c r="H208" s="1">
        <v>0.14145399040568374</v>
      </c>
      <c r="I208" s="1">
        <v>0.14145399040568374</v>
      </c>
    </row>
    <row r="209" spans="1:9">
      <c r="A209">
        <v>5</v>
      </c>
      <c r="B209" t="s">
        <v>14</v>
      </c>
      <c r="C209" t="s">
        <v>76</v>
      </c>
      <c r="D209" s="37">
        <v>0.03</v>
      </c>
      <c r="E209" s="1">
        <v>5922.03011788208</v>
      </c>
      <c r="F209" s="1">
        <v>299.003841744299</v>
      </c>
      <c r="G209" s="1">
        <v>6221.0339596263793</v>
      </c>
      <c r="H209" s="1">
        <v>1.3984586732353435</v>
      </c>
      <c r="I209" s="1">
        <v>1.3984586732353435</v>
      </c>
    </row>
    <row r="210" spans="1:9">
      <c r="A210">
        <v>5</v>
      </c>
      <c r="B210" t="s">
        <v>15</v>
      </c>
      <c r="C210" t="s">
        <v>76</v>
      </c>
      <c r="D210" s="37">
        <v>0.03</v>
      </c>
      <c r="E210" s="1">
        <v>1314.6976383111603</v>
      </c>
      <c r="F210" s="1">
        <v>126.7901435505082</v>
      </c>
      <c r="G210" s="1">
        <v>1441.4877818616685</v>
      </c>
      <c r="H210" s="1">
        <v>0.32148620617725476</v>
      </c>
      <c r="I210" s="1">
        <v>0.32148620617725476</v>
      </c>
    </row>
    <row r="211" spans="1:9">
      <c r="A211">
        <v>5</v>
      </c>
      <c r="B211" t="s">
        <v>9</v>
      </c>
      <c r="C211" t="s">
        <v>76</v>
      </c>
      <c r="D211" s="37">
        <v>7.0000000000000007E-2</v>
      </c>
      <c r="E211" s="1">
        <v>802.48175256684476</v>
      </c>
      <c r="F211" s="1">
        <v>177.69720581151935</v>
      </c>
      <c r="G211" s="1">
        <v>980.17895837836409</v>
      </c>
      <c r="H211" s="1">
        <v>0.64393346283287967</v>
      </c>
      <c r="I211" s="1">
        <v>0.64393346283287967</v>
      </c>
    </row>
    <row r="212" spans="1:9">
      <c r="A212">
        <v>5</v>
      </c>
      <c r="B212" t="s">
        <v>10</v>
      </c>
      <c r="C212" t="s">
        <v>76</v>
      </c>
      <c r="D212" s="37">
        <v>7.0000000000000007E-2</v>
      </c>
      <c r="E212" s="1">
        <v>367.69190200968103</v>
      </c>
      <c r="F212" s="1">
        <v>5.8355803881949164</v>
      </c>
      <c r="G212" s="1">
        <v>373.52748239787593</v>
      </c>
      <c r="H212" s="1">
        <v>0.24053404857050198</v>
      </c>
      <c r="I212" s="1">
        <v>0.24053404857050198</v>
      </c>
    </row>
    <row r="213" spans="1:9">
      <c r="A213">
        <v>5</v>
      </c>
      <c r="B213" t="s">
        <v>11</v>
      </c>
      <c r="C213" t="s">
        <v>76</v>
      </c>
      <c r="D213" s="37">
        <v>7.0000000000000007E-2</v>
      </c>
      <c r="E213" s="1">
        <v>2054.5077636515548</v>
      </c>
      <c r="F213" s="1">
        <v>554.14526830323246</v>
      </c>
      <c r="G213" s="1">
        <v>2608.6530319547874</v>
      </c>
      <c r="H213" s="1">
        <v>1.6365641406641103</v>
      </c>
      <c r="I213" s="1">
        <v>1.6365641406641103</v>
      </c>
    </row>
    <row r="214" spans="1:9">
      <c r="A214">
        <v>5</v>
      </c>
      <c r="B214" t="s">
        <v>12</v>
      </c>
      <c r="C214" t="s">
        <v>76</v>
      </c>
      <c r="D214" s="37">
        <v>7.0000000000000007E-2</v>
      </c>
      <c r="E214" s="1">
        <v>873.71361927539078</v>
      </c>
      <c r="F214" s="1">
        <v>46.212770956899668</v>
      </c>
      <c r="G214" s="1">
        <v>919.92639023229049</v>
      </c>
      <c r="H214" s="1">
        <v>0.57568650510160657</v>
      </c>
      <c r="I214" s="1">
        <v>0.57568650510160657</v>
      </c>
    </row>
    <row r="215" spans="1:9">
      <c r="A215">
        <v>5</v>
      </c>
      <c r="B215" t="s">
        <v>13</v>
      </c>
      <c r="C215" t="s">
        <v>76</v>
      </c>
      <c r="D215" s="37">
        <v>7.0000000000000007E-2</v>
      </c>
      <c r="E215" s="1">
        <v>110.06485884873115</v>
      </c>
      <c r="F215" s="1">
        <v>115.63199801557269</v>
      </c>
      <c r="G215" s="1">
        <v>225.69685686430384</v>
      </c>
      <c r="H215" s="1">
        <v>0.14145399040568374</v>
      </c>
      <c r="I215" s="1">
        <v>0.14145399040568374</v>
      </c>
    </row>
    <row r="216" spans="1:9">
      <c r="A216">
        <v>5</v>
      </c>
      <c r="B216" t="s">
        <v>14</v>
      </c>
      <c r="C216" t="s">
        <v>76</v>
      </c>
      <c r="D216" s="37">
        <v>7.0000000000000007E-2</v>
      </c>
      <c r="E216" s="1">
        <v>1900.8394053781819</v>
      </c>
      <c r="F216" s="1">
        <v>157.66720945869045</v>
      </c>
      <c r="G216" s="1">
        <v>2058.5066148368724</v>
      </c>
      <c r="H216" s="1">
        <v>1.3984586732353435</v>
      </c>
      <c r="I216" s="1">
        <v>1.3984586732353435</v>
      </c>
    </row>
    <row r="217" spans="1:9">
      <c r="A217">
        <v>5</v>
      </c>
      <c r="B217" t="s">
        <v>15</v>
      </c>
      <c r="C217" t="s">
        <v>76</v>
      </c>
      <c r="D217" s="37">
        <v>7.0000000000000007E-2</v>
      </c>
      <c r="E217" s="1">
        <v>414.14904666751409</v>
      </c>
      <c r="F217" s="1">
        <v>66.857495889871998</v>
      </c>
      <c r="G217" s="1">
        <v>481.00654255738607</v>
      </c>
      <c r="H217" s="1">
        <v>0.32148620617725476</v>
      </c>
      <c r="I217" s="1">
        <v>0.32148620617725476</v>
      </c>
    </row>
    <row r="218" spans="1:9">
      <c r="A218">
        <v>6</v>
      </c>
      <c r="B218" t="s">
        <v>9</v>
      </c>
      <c r="C218" t="s">
        <v>24</v>
      </c>
      <c r="D218" s="37">
        <v>0.03</v>
      </c>
      <c r="E218" s="1">
        <v>4241.678612134695</v>
      </c>
      <c r="F218" s="1">
        <v>470.84492853879362</v>
      </c>
      <c r="G218" s="1">
        <v>4712.5235406734882</v>
      </c>
      <c r="H218" s="1">
        <v>1.0954096002427773</v>
      </c>
      <c r="I218" s="1">
        <v>1.0954096002427773</v>
      </c>
    </row>
    <row r="219" spans="1:9">
      <c r="A219">
        <v>6</v>
      </c>
      <c r="B219" t="s">
        <v>10</v>
      </c>
      <c r="C219" t="s">
        <v>24</v>
      </c>
      <c r="D219" s="37">
        <v>0.03</v>
      </c>
      <c r="E219" s="1">
        <v>3326.9808858091419</v>
      </c>
      <c r="F219" s="1">
        <v>14.852592134952104</v>
      </c>
      <c r="G219" s="1">
        <v>3341.8334779440938</v>
      </c>
      <c r="H219" s="1">
        <v>0.76705942797849103</v>
      </c>
      <c r="I219" s="1">
        <v>0.76705942797849103</v>
      </c>
    </row>
    <row r="220" spans="1:9">
      <c r="A220">
        <v>6</v>
      </c>
      <c r="B220" t="s">
        <v>11</v>
      </c>
      <c r="C220" t="s">
        <v>24</v>
      </c>
      <c r="D220" s="37">
        <v>0.03</v>
      </c>
      <c r="E220" s="1">
        <v>9598.0858806551842</v>
      </c>
      <c r="F220" s="1">
        <v>1388.054507574471</v>
      </c>
      <c r="G220" s="1">
        <v>10986.140388229654</v>
      </c>
      <c r="H220" s="1">
        <v>2.484257808904383</v>
      </c>
      <c r="I220" s="1">
        <v>2.484257808904383</v>
      </c>
    </row>
    <row r="221" spans="1:9">
      <c r="A221">
        <v>6</v>
      </c>
      <c r="B221" t="s">
        <v>12</v>
      </c>
      <c r="C221" t="s">
        <v>24</v>
      </c>
      <c r="D221" s="37">
        <v>0.03</v>
      </c>
      <c r="E221" s="1">
        <v>3362.0282773133595</v>
      </c>
      <c r="F221" s="1">
        <v>114.50220516408369</v>
      </c>
      <c r="G221" s="1">
        <v>3476.530482477443</v>
      </c>
      <c r="H221" s="1">
        <v>0.78508668240735535</v>
      </c>
      <c r="I221" s="1">
        <v>0.78508668240735535</v>
      </c>
    </row>
    <row r="222" spans="1:9">
      <c r="A222">
        <v>6</v>
      </c>
      <c r="B222" t="s">
        <v>13</v>
      </c>
      <c r="C222" t="s">
        <v>24</v>
      </c>
      <c r="D222" s="37">
        <v>0.03</v>
      </c>
      <c r="E222" s="1">
        <v>744.21716401501192</v>
      </c>
      <c r="F222" s="1">
        <v>306.79010419999815</v>
      </c>
      <c r="G222" s="1">
        <v>1051.0072682150101</v>
      </c>
      <c r="H222" s="1">
        <v>0.23752346761578391</v>
      </c>
      <c r="I222" s="1">
        <v>0.23752346761578391</v>
      </c>
    </row>
    <row r="223" spans="1:9">
      <c r="A223">
        <v>6</v>
      </c>
      <c r="B223" t="s">
        <v>14</v>
      </c>
      <c r="C223" t="s">
        <v>24</v>
      </c>
      <c r="D223" s="37">
        <v>0.03</v>
      </c>
      <c r="E223" s="1">
        <v>9612.8904637029809</v>
      </c>
      <c r="F223" s="1">
        <v>410.82970178161708</v>
      </c>
      <c r="G223" s="1">
        <v>10023.720165484598</v>
      </c>
      <c r="H223" s="1">
        <v>2.3708012695441161</v>
      </c>
      <c r="I223" s="1">
        <v>2.3708012695441161</v>
      </c>
    </row>
    <row r="224" spans="1:9">
      <c r="A224">
        <v>6</v>
      </c>
      <c r="B224" t="s">
        <v>15</v>
      </c>
      <c r="C224" t="s">
        <v>24</v>
      </c>
      <c r="D224" s="37">
        <v>0.03</v>
      </c>
      <c r="E224" s="1">
        <v>2679.1724725631907</v>
      </c>
      <c r="F224" s="1">
        <v>164.53206064155327</v>
      </c>
      <c r="G224" s="1">
        <v>2843.7045332047442</v>
      </c>
      <c r="H224" s="1">
        <v>0.66688111956244345</v>
      </c>
      <c r="I224" s="1">
        <v>0.66688111956244345</v>
      </c>
    </row>
    <row r="225" spans="1:9">
      <c r="A225">
        <v>6</v>
      </c>
      <c r="B225" t="s">
        <v>9</v>
      </c>
      <c r="C225" t="s">
        <v>24</v>
      </c>
      <c r="D225" s="37">
        <v>7.0000000000000007E-2</v>
      </c>
      <c r="E225" s="1">
        <v>1363.9371353036402</v>
      </c>
      <c r="F225" s="1">
        <v>248.86555211114623</v>
      </c>
      <c r="G225" s="1">
        <v>1612.8026874147863</v>
      </c>
      <c r="H225" s="1">
        <v>1.0954096002427773</v>
      </c>
      <c r="I225" s="1">
        <v>1.0954096002427773</v>
      </c>
    </row>
    <row r="226" spans="1:9">
      <c r="A226">
        <v>6</v>
      </c>
      <c r="B226" t="s">
        <v>10</v>
      </c>
      <c r="C226" t="s">
        <v>24</v>
      </c>
      <c r="D226" s="37">
        <v>7.0000000000000007E-2</v>
      </c>
      <c r="E226" s="1">
        <v>1144.5578036271422</v>
      </c>
      <c r="F226" s="1">
        <v>7.8503522453082573</v>
      </c>
      <c r="G226" s="1">
        <v>1152.4081558724504</v>
      </c>
      <c r="H226" s="1">
        <v>0.76705942797849103</v>
      </c>
      <c r="I226" s="1">
        <v>0.76705942797849103</v>
      </c>
    </row>
    <row r="227" spans="1:9">
      <c r="A227">
        <v>6</v>
      </c>
      <c r="B227" t="s">
        <v>11</v>
      </c>
      <c r="C227" t="s">
        <v>24</v>
      </c>
      <c r="D227" s="37">
        <v>7.0000000000000007E-2</v>
      </c>
      <c r="E227" s="1">
        <v>3098.9596281223517</v>
      </c>
      <c r="F227" s="1">
        <v>733.657581191139</v>
      </c>
      <c r="G227" s="1">
        <v>3832.6172093134905</v>
      </c>
      <c r="H227" s="1">
        <v>2.484257808904383</v>
      </c>
      <c r="I227" s="1">
        <v>2.484257808904383</v>
      </c>
    </row>
    <row r="228" spans="1:9">
      <c r="A228">
        <v>6</v>
      </c>
      <c r="B228" t="s">
        <v>12</v>
      </c>
      <c r="C228" t="s">
        <v>24</v>
      </c>
      <c r="D228" s="37">
        <v>7.0000000000000007E-2</v>
      </c>
      <c r="E228" s="1">
        <v>1153.7654832123155</v>
      </c>
      <c r="F228" s="1">
        <v>60.520253652377669</v>
      </c>
      <c r="G228" s="1">
        <v>1214.2857368646933</v>
      </c>
      <c r="H228" s="1">
        <v>0.78508668240735535</v>
      </c>
      <c r="I228" s="1">
        <v>0.78508668240735535</v>
      </c>
    </row>
    <row r="229" spans="1:9">
      <c r="A229">
        <v>6</v>
      </c>
      <c r="B229" t="s">
        <v>13</v>
      </c>
      <c r="C229" t="s">
        <v>24</v>
      </c>
      <c r="D229" s="37">
        <v>7.0000000000000007E-2</v>
      </c>
      <c r="E229" s="1">
        <v>204.65428338009716</v>
      </c>
      <c r="F229" s="1">
        <v>162.15421264259848</v>
      </c>
      <c r="G229" s="1">
        <v>366.80849602269564</v>
      </c>
      <c r="H229" s="1">
        <v>0.23752346761578391</v>
      </c>
      <c r="I229" s="1">
        <v>0.23752346761578391</v>
      </c>
    </row>
    <row r="230" spans="1:9">
      <c r="A230">
        <v>6</v>
      </c>
      <c r="B230" t="s">
        <v>14</v>
      </c>
      <c r="C230" t="s">
        <v>24</v>
      </c>
      <c r="D230" s="37">
        <v>7.0000000000000007E-2</v>
      </c>
      <c r="E230" s="1">
        <v>3155.9707638320501</v>
      </c>
      <c r="F230" s="1">
        <v>217.144444721604</v>
      </c>
      <c r="G230" s="1">
        <v>3373.1152085536542</v>
      </c>
      <c r="H230" s="1">
        <v>2.3708012695441161</v>
      </c>
      <c r="I230" s="1">
        <v>2.3708012695441161</v>
      </c>
    </row>
    <row r="231" spans="1:9">
      <c r="A231">
        <v>6</v>
      </c>
      <c r="B231" t="s">
        <v>15</v>
      </c>
      <c r="C231" t="s">
        <v>24</v>
      </c>
      <c r="D231" s="37">
        <v>7.0000000000000007E-2</v>
      </c>
      <c r="E231" s="1">
        <v>877.78874164934598</v>
      </c>
      <c r="F231" s="1">
        <v>86.963583187816226</v>
      </c>
      <c r="G231" s="1">
        <v>964.75232483716218</v>
      </c>
      <c r="H231" s="1">
        <v>0.66688111956244345</v>
      </c>
      <c r="I231" s="1">
        <v>0.66688111956244345</v>
      </c>
    </row>
    <row r="232" spans="1:9">
      <c r="A232">
        <v>6</v>
      </c>
      <c r="B232" t="s">
        <v>9</v>
      </c>
      <c r="C232" t="s">
        <v>75</v>
      </c>
      <c r="D232" s="37">
        <v>0.03</v>
      </c>
      <c r="E232" s="1">
        <v>3738.9983578574611</v>
      </c>
      <c r="F232" s="1">
        <v>439.86035802296846</v>
      </c>
      <c r="G232" s="1">
        <v>4178.8587158804294</v>
      </c>
      <c r="H232" s="1">
        <v>1.0209970882276389</v>
      </c>
      <c r="I232" s="1">
        <v>1.0209970882276389</v>
      </c>
    </row>
    <row r="233" spans="1:9">
      <c r="A233">
        <v>6</v>
      </c>
      <c r="B233" t="s">
        <v>10</v>
      </c>
      <c r="C233" t="s">
        <v>75</v>
      </c>
      <c r="D233" s="37">
        <v>0.03</v>
      </c>
      <c r="E233" s="1">
        <v>2950.7083507970697</v>
      </c>
      <c r="F233" s="1">
        <v>13.875197752100018</v>
      </c>
      <c r="G233" s="1">
        <v>2964.5835485491698</v>
      </c>
      <c r="H233" s="1">
        <v>0.71495303348563233</v>
      </c>
      <c r="I233" s="1">
        <v>0.71495303348563233</v>
      </c>
    </row>
    <row r="234" spans="1:9">
      <c r="A234">
        <v>6</v>
      </c>
      <c r="B234" t="s">
        <v>11</v>
      </c>
      <c r="C234" t="s">
        <v>75</v>
      </c>
      <c r="D234" s="37">
        <v>0.03</v>
      </c>
      <c r="E234" s="1">
        <v>8454.3580716177039</v>
      </c>
      <c r="F234" s="1">
        <v>1296.7117529583804</v>
      </c>
      <c r="G234" s="1">
        <v>9751.069824576085</v>
      </c>
      <c r="H234" s="1">
        <v>2.3155080374346841</v>
      </c>
      <c r="I234" s="1">
        <v>2.3155080374346841</v>
      </c>
    </row>
    <row r="235" spans="1:9">
      <c r="A235">
        <v>6</v>
      </c>
      <c r="B235" t="s">
        <v>12</v>
      </c>
      <c r="C235" t="s">
        <v>75</v>
      </c>
      <c r="D235" s="37">
        <v>0.03</v>
      </c>
      <c r="E235" s="1">
        <v>2978.8849180277766</v>
      </c>
      <c r="F235" s="1">
        <v>106.96723678047138</v>
      </c>
      <c r="G235" s="1">
        <v>3085.8521548082481</v>
      </c>
      <c r="H235" s="1">
        <v>0.73175775949452937</v>
      </c>
      <c r="I235" s="1">
        <v>0.73175775949452937</v>
      </c>
    </row>
    <row r="236" spans="1:9">
      <c r="A236">
        <v>6</v>
      </c>
      <c r="B236" t="s">
        <v>13</v>
      </c>
      <c r="C236" t="s">
        <v>75</v>
      </c>
      <c r="D236" s="37">
        <v>0.03</v>
      </c>
      <c r="E236" s="1">
        <v>646.26901595058257</v>
      </c>
      <c r="F236" s="1">
        <v>286.6013774218589</v>
      </c>
      <c r="G236" s="1">
        <v>932.87039337244153</v>
      </c>
      <c r="H236" s="1">
        <v>0.22138909597176809</v>
      </c>
      <c r="I236" s="1">
        <v>0.22138909597176809</v>
      </c>
    </row>
    <row r="237" spans="1:9">
      <c r="A237">
        <v>6</v>
      </c>
      <c r="B237" t="s">
        <v>14</v>
      </c>
      <c r="C237" t="s">
        <v>75</v>
      </c>
      <c r="D237" s="37">
        <v>0.03</v>
      </c>
      <c r="E237" s="1">
        <v>8498.741578227542</v>
      </c>
      <c r="F237" s="1">
        <v>383.79451228865196</v>
      </c>
      <c r="G237" s="1">
        <v>8882.5360905161942</v>
      </c>
      <c r="H237" s="1">
        <v>2.2097416110467685</v>
      </c>
      <c r="I237" s="1">
        <v>2.2097416110467685</v>
      </c>
    </row>
    <row r="238" spans="1:9">
      <c r="A238">
        <v>6</v>
      </c>
      <c r="B238" t="s">
        <v>15</v>
      </c>
      <c r="C238" t="s">
        <v>75</v>
      </c>
      <c r="D238" s="37">
        <v>0.03</v>
      </c>
      <c r="E238" s="1">
        <v>2367.0855606388673</v>
      </c>
      <c r="F238" s="1">
        <v>153.70481174055516</v>
      </c>
      <c r="G238" s="1">
        <v>2520.7903723794225</v>
      </c>
      <c r="H238" s="1">
        <v>0.62157778930196184</v>
      </c>
      <c r="I238" s="1">
        <v>0.62157778930196184</v>
      </c>
    </row>
    <row r="239" spans="1:9">
      <c r="A239">
        <v>6</v>
      </c>
      <c r="B239" t="s">
        <v>9</v>
      </c>
      <c r="C239" t="s">
        <v>75</v>
      </c>
      <c r="D239" s="37">
        <v>7.0000000000000007E-2</v>
      </c>
      <c r="E239" s="1">
        <v>1211.9622608498787</v>
      </c>
      <c r="F239" s="1">
        <v>233.12679003626843</v>
      </c>
      <c r="G239" s="1">
        <v>1445.0890508861471</v>
      </c>
      <c r="H239" s="1">
        <v>1.0209970882276389</v>
      </c>
      <c r="I239" s="1">
        <v>1.0209970882276389</v>
      </c>
    </row>
    <row r="240" spans="1:9">
      <c r="A240">
        <v>6</v>
      </c>
      <c r="B240" t="s">
        <v>10</v>
      </c>
      <c r="C240" t="s">
        <v>75</v>
      </c>
      <c r="D240" s="37">
        <v>7.0000000000000007E-2</v>
      </c>
      <c r="E240" s="1">
        <v>1025.3282916386854</v>
      </c>
      <c r="F240" s="1">
        <v>7.353880053215927</v>
      </c>
      <c r="G240" s="1">
        <v>1032.6821716919014</v>
      </c>
      <c r="H240" s="1">
        <v>0.71495303348563233</v>
      </c>
      <c r="I240" s="1">
        <v>0.71495303348563233</v>
      </c>
    </row>
    <row r="241" spans="1:9">
      <c r="A241">
        <v>6</v>
      </c>
      <c r="B241" t="s">
        <v>11</v>
      </c>
      <c r="C241" t="s">
        <v>75</v>
      </c>
      <c r="D241" s="37">
        <v>7.0000000000000007E-2</v>
      </c>
      <c r="E241" s="1">
        <v>2747.9625100713201</v>
      </c>
      <c r="F241" s="1">
        <v>687.25958831167145</v>
      </c>
      <c r="G241" s="1">
        <v>3435.2220983829916</v>
      </c>
      <c r="H241" s="1">
        <v>2.3155080374346841</v>
      </c>
      <c r="I241" s="1">
        <v>2.3155080374346841</v>
      </c>
    </row>
    <row r="242" spans="1:9">
      <c r="A242">
        <v>6</v>
      </c>
      <c r="B242" t="s">
        <v>12</v>
      </c>
      <c r="C242" t="s">
        <v>75</v>
      </c>
      <c r="D242" s="37">
        <v>7.0000000000000007E-2</v>
      </c>
      <c r="E242" s="1">
        <v>1031.7142727251094</v>
      </c>
      <c r="F242" s="1">
        <v>56.692830110365634</v>
      </c>
      <c r="G242" s="1">
        <v>1088.4071028354749</v>
      </c>
      <c r="H242" s="1">
        <v>0.73175775949452937</v>
      </c>
      <c r="I242" s="1">
        <v>0.73175775949452937</v>
      </c>
    </row>
    <row r="243" spans="1:9">
      <c r="A243">
        <v>6</v>
      </c>
      <c r="B243" t="s">
        <v>13</v>
      </c>
      <c r="C243" t="s">
        <v>75</v>
      </c>
      <c r="D243" s="37">
        <v>7.0000000000000007E-2</v>
      </c>
      <c r="E243" s="1">
        <v>176.87871261290996</v>
      </c>
      <c r="F243" s="1">
        <v>151.89925147753848</v>
      </c>
      <c r="G243" s="1">
        <v>328.77796409044845</v>
      </c>
      <c r="H243" s="1">
        <v>0.22138909597176809</v>
      </c>
      <c r="I243" s="1">
        <v>0.22138909597176809</v>
      </c>
    </row>
    <row r="244" spans="1:9">
      <c r="A244">
        <v>6</v>
      </c>
      <c r="B244" t="s">
        <v>14</v>
      </c>
      <c r="C244" t="s">
        <v>75</v>
      </c>
      <c r="D244" s="37">
        <v>7.0000000000000007E-2</v>
      </c>
      <c r="E244" s="1">
        <v>2817.7762203212919</v>
      </c>
      <c r="F244" s="1">
        <v>203.41178979060561</v>
      </c>
      <c r="G244" s="1">
        <v>3021.1880101118977</v>
      </c>
      <c r="H244" s="1">
        <v>2.2097416110467685</v>
      </c>
      <c r="I244" s="1">
        <v>2.2097416110467685</v>
      </c>
    </row>
    <row r="245" spans="1:9">
      <c r="A245">
        <v>6</v>
      </c>
      <c r="B245" t="s">
        <v>15</v>
      </c>
      <c r="C245" t="s">
        <v>75</v>
      </c>
      <c r="D245" s="37">
        <v>7.0000000000000007E-2</v>
      </c>
      <c r="E245" s="1">
        <v>782.78962557137061</v>
      </c>
      <c r="F245" s="1">
        <v>81.463829873783368</v>
      </c>
      <c r="G245" s="1">
        <v>864.25345544515392</v>
      </c>
      <c r="H245" s="1">
        <v>0.62157778930196184</v>
      </c>
      <c r="I245" s="1">
        <v>0.62157778930196184</v>
      </c>
    </row>
    <row r="246" spans="1:9">
      <c r="A246">
        <v>6</v>
      </c>
      <c r="B246" t="s">
        <v>9</v>
      </c>
      <c r="C246" t="s">
        <v>76</v>
      </c>
      <c r="D246" s="37">
        <v>0.03</v>
      </c>
      <c r="E246" s="1">
        <v>4807.5152468318647</v>
      </c>
      <c r="F246" s="1">
        <v>503.87313229635424</v>
      </c>
      <c r="G246" s="1">
        <v>5311.3883791282187</v>
      </c>
      <c r="H246" s="1">
        <v>1.1748923669163729</v>
      </c>
      <c r="I246" s="1">
        <v>1.1748923669163729</v>
      </c>
    </row>
    <row r="247" spans="1:9">
      <c r="A247">
        <v>6</v>
      </c>
      <c r="B247" t="s">
        <v>10</v>
      </c>
      <c r="C247" t="s">
        <v>76</v>
      </c>
      <c r="D247" s="37">
        <v>0.03</v>
      </c>
      <c r="E247" s="1">
        <v>3747.7599345573017</v>
      </c>
      <c r="F247" s="1">
        <v>15.894452012010811</v>
      </c>
      <c r="G247" s="1">
        <v>3763.6543865693125</v>
      </c>
      <c r="H247" s="1">
        <v>0.82271656484627387</v>
      </c>
      <c r="I247" s="1">
        <v>0.82271656484627387</v>
      </c>
    </row>
    <row r="248" spans="1:9">
      <c r="A248">
        <v>6</v>
      </c>
      <c r="B248" t="s">
        <v>11</v>
      </c>
      <c r="C248" t="s">
        <v>76</v>
      </c>
      <c r="D248" s="37">
        <v>0.03</v>
      </c>
      <c r="E248" s="1">
        <v>10875.314780797984</v>
      </c>
      <c r="F248" s="1">
        <v>1485.4219088652615</v>
      </c>
      <c r="G248" s="1">
        <v>12360.736689663245</v>
      </c>
      <c r="H248" s="1">
        <v>2.6645093024880482</v>
      </c>
      <c r="I248" s="1">
        <v>2.6645093024880482</v>
      </c>
    </row>
    <row r="249" spans="1:9">
      <c r="A249">
        <v>6</v>
      </c>
      <c r="B249" t="s">
        <v>12</v>
      </c>
      <c r="C249" t="s">
        <v>76</v>
      </c>
      <c r="D249" s="37">
        <v>0.03</v>
      </c>
      <c r="E249" s="1">
        <v>3788.6138223660473</v>
      </c>
      <c r="F249" s="1">
        <v>122.53415354799368</v>
      </c>
      <c r="G249" s="1">
        <v>3911.1479759140411</v>
      </c>
      <c r="H249" s="1">
        <v>0.84205048488889001</v>
      </c>
      <c r="I249" s="1">
        <v>0.84205048488889001</v>
      </c>
    </row>
    <row r="250" spans="1:9">
      <c r="A250">
        <v>6</v>
      </c>
      <c r="B250" t="s">
        <v>13</v>
      </c>
      <c r="C250" t="s">
        <v>76</v>
      </c>
      <c r="D250" s="37">
        <v>0.03</v>
      </c>
      <c r="E250" s="1">
        <v>854.15726265461763</v>
      </c>
      <c r="F250" s="1">
        <v>328.310408355692</v>
      </c>
      <c r="G250" s="1">
        <v>1182.4676710103097</v>
      </c>
      <c r="H250" s="1">
        <v>0.25475754748240736</v>
      </c>
      <c r="I250" s="1">
        <v>0.25475754748240736</v>
      </c>
    </row>
    <row r="251" spans="1:9">
      <c r="A251">
        <v>6</v>
      </c>
      <c r="B251" t="s">
        <v>14</v>
      </c>
      <c r="C251" t="s">
        <v>76</v>
      </c>
      <c r="D251" s="37">
        <v>0.03</v>
      </c>
      <c r="E251" s="1">
        <v>10872.121874275821</v>
      </c>
      <c r="F251" s="1">
        <v>439.64803724125676</v>
      </c>
      <c r="G251" s="1">
        <v>11311.769911517078</v>
      </c>
      <c r="H251" s="1">
        <v>2.5428317615796452</v>
      </c>
      <c r="I251" s="1">
        <v>2.5428317615796452</v>
      </c>
    </row>
    <row r="252" spans="1:9">
      <c r="A252">
        <v>6</v>
      </c>
      <c r="B252" t="s">
        <v>15</v>
      </c>
      <c r="C252" t="s">
        <v>76</v>
      </c>
      <c r="D252" s="37">
        <v>0.03</v>
      </c>
      <c r="E252" s="1">
        <v>3031.0753179084991</v>
      </c>
      <c r="F252" s="1">
        <v>176.07343678079491</v>
      </c>
      <c r="G252" s="1">
        <v>3207.148754689294</v>
      </c>
      <c r="H252" s="1">
        <v>0.715270777015936</v>
      </c>
      <c r="I252" s="1">
        <v>0.715270777015936</v>
      </c>
    </row>
    <row r="253" spans="1:9">
      <c r="A253">
        <v>6</v>
      </c>
      <c r="B253" t="s">
        <v>9</v>
      </c>
      <c r="C253" t="s">
        <v>76</v>
      </c>
      <c r="D253" s="37">
        <v>7.0000000000000007E-2</v>
      </c>
      <c r="E253" s="1">
        <v>1522.6944604334988</v>
      </c>
      <c r="F253" s="1">
        <v>265.69648813514095</v>
      </c>
      <c r="G253" s="1">
        <v>1788.3909485686397</v>
      </c>
      <c r="H253" s="1">
        <v>1.1748923669163729</v>
      </c>
      <c r="I253" s="1">
        <v>1.1748923669163729</v>
      </c>
    </row>
    <row r="254" spans="1:9">
      <c r="A254">
        <v>6</v>
      </c>
      <c r="B254" t="s">
        <v>10</v>
      </c>
      <c r="C254" t="s">
        <v>76</v>
      </c>
      <c r="D254" s="37">
        <v>7.0000000000000007E-2</v>
      </c>
      <c r="E254" s="1">
        <v>1269.2226594183414</v>
      </c>
      <c r="F254" s="1">
        <v>8.3812765748739473</v>
      </c>
      <c r="G254" s="1">
        <v>1277.6039359932154</v>
      </c>
      <c r="H254" s="1">
        <v>0.82271656484627387</v>
      </c>
      <c r="I254" s="1">
        <v>0.82271656484627387</v>
      </c>
    </row>
    <row r="255" spans="1:9">
      <c r="A255">
        <v>6</v>
      </c>
      <c r="B255" t="s">
        <v>11</v>
      </c>
      <c r="C255" t="s">
        <v>76</v>
      </c>
      <c r="D255" s="37">
        <v>7.0000000000000007E-2</v>
      </c>
      <c r="E255" s="1">
        <v>3463.9033343785541</v>
      </c>
      <c r="F255" s="1">
        <v>783.27531135827655</v>
      </c>
      <c r="G255" s="1">
        <v>4247.1786457368307</v>
      </c>
      <c r="H255" s="1">
        <v>2.6645093024880482</v>
      </c>
      <c r="I255" s="1">
        <v>2.6645093024880482</v>
      </c>
    </row>
    <row r="256" spans="1:9">
      <c r="A256">
        <v>6</v>
      </c>
      <c r="B256" t="s">
        <v>12</v>
      </c>
      <c r="C256" t="s">
        <v>76</v>
      </c>
      <c r="D256" s="37">
        <v>7.0000000000000007E-2</v>
      </c>
      <c r="E256" s="1">
        <v>1280.953200740259</v>
      </c>
      <c r="F256" s="1">
        <v>64.613277008716565</v>
      </c>
      <c r="G256" s="1">
        <v>1345.5664777489756</v>
      </c>
      <c r="H256" s="1">
        <v>0.84205048488889001</v>
      </c>
      <c r="I256" s="1">
        <v>0.84205048488889001</v>
      </c>
    </row>
    <row r="257" spans="1:9">
      <c r="A257">
        <v>6</v>
      </c>
      <c r="B257" t="s">
        <v>13</v>
      </c>
      <c r="C257" t="s">
        <v>76</v>
      </c>
      <c r="D257" s="37">
        <v>7.0000000000000007E-2</v>
      </c>
      <c r="E257" s="1">
        <v>233.35749580804347</v>
      </c>
      <c r="F257" s="1">
        <v>173.12080547096187</v>
      </c>
      <c r="G257" s="1">
        <v>406.47830127900534</v>
      </c>
      <c r="H257" s="1">
        <v>0.25475754748240736</v>
      </c>
      <c r="I257" s="1">
        <v>0.25475754748240736</v>
      </c>
    </row>
    <row r="258" spans="1:9">
      <c r="A258">
        <v>6</v>
      </c>
      <c r="B258" t="s">
        <v>14</v>
      </c>
      <c r="C258" t="s">
        <v>76</v>
      </c>
      <c r="D258" s="37">
        <v>7.0000000000000007E-2</v>
      </c>
      <c r="E258" s="1">
        <v>3511.1736475705334</v>
      </c>
      <c r="F258" s="1">
        <v>231.83006202006771</v>
      </c>
      <c r="G258" s="1">
        <v>3743.0037095906009</v>
      </c>
      <c r="H258" s="1">
        <v>2.5428317615796452</v>
      </c>
      <c r="I258" s="1">
        <v>2.5428317615796452</v>
      </c>
    </row>
    <row r="259" spans="1:9">
      <c r="A259">
        <v>6</v>
      </c>
      <c r="B259" t="s">
        <v>15</v>
      </c>
      <c r="C259" t="s">
        <v>76</v>
      </c>
      <c r="D259" s="37">
        <v>7.0000000000000007E-2</v>
      </c>
      <c r="E259" s="1">
        <v>977.34066085642621</v>
      </c>
      <c r="F259" s="1">
        <v>92.844985787070996</v>
      </c>
      <c r="G259" s="1">
        <v>1070.1856466434972</v>
      </c>
      <c r="H259" s="1">
        <v>0.715270777015936</v>
      </c>
      <c r="I259" s="1">
        <v>0.715270777015936</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2:AL190"/>
  <sheetViews>
    <sheetView zoomScale="85" zoomScaleNormal="85" workbookViewId="0">
      <selection activeCell="C2" sqref="C2"/>
    </sheetView>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9.6640625" style="148" bestFit="1" customWidth="1"/>
    <col min="6" max="37" width="9.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INDEX(_doName,1,stdCSL+1)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1746.7816371884905</v>
      </c>
      <c r="F5" s="28">
        <f ca="1"/>
        <v>1797.5730604840294</v>
      </c>
      <c r="G5" s="28">
        <f ca="1"/>
        <v>1801.7182144703779</v>
      </c>
      <c r="H5" s="28">
        <f ca="1"/>
        <v>1813.9172436685362</v>
      </c>
      <c r="I5" s="28">
        <f ca="1"/>
        <v>1823.7931884022955</v>
      </c>
      <c r="J5" s="28">
        <f ca="1"/>
        <v>1831.5543316572771</v>
      </c>
      <c r="K5" s="28">
        <f ca="1"/>
        <v>1839.6463814988106</v>
      </c>
      <c r="L5" s="28">
        <f ca="1"/>
        <v>1860.5247121071634</v>
      </c>
      <c r="M5" s="28">
        <f ca="1"/>
        <v>1875.8401930977279</v>
      </c>
      <c r="N5" s="28">
        <f ca="1"/>
        <v>1889.9390777961246</v>
      </c>
      <c r="O5" s="28">
        <f ca="1"/>
        <v>1908.9433834187951</v>
      </c>
      <c r="P5" s="28">
        <f ca="1"/>
        <v>1935.6889223764279</v>
      </c>
      <c r="Q5" s="28">
        <f ca="1"/>
        <v>1967.2268350330523</v>
      </c>
      <c r="R5" s="28">
        <f ca="1"/>
        <v>2014.5093706256741</v>
      </c>
      <c r="S5" s="28">
        <f ca="1"/>
        <v>2084.0766775904344</v>
      </c>
      <c r="T5" s="28">
        <f ca="1"/>
        <v>2149.0347812111468</v>
      </c>
      <c r="U5" s="28">
        <f ca="1"/>
        <v>2212.291008368883</v>
      </c>
      <c r="V5" s="28">
        <f ca="1"/>
        <v>2284.2152608144434</v>
      </c>
      <c r="W5" s="28">
        <f ca="1"/>
        <v>2366.2164064292051</v>
      </c>
      <c r="X5" s="28">
        <f ca="1"/>
        <v>2411.330755071318</v>
      </c>
      <c r="Y5" s="28">
        <f ca="1"/>
        <v>2446.1573319814447</v>
      </c>
      <c r="Z5" s="28">
        <f ca="1"/>
        <v>2468.4666335809106</v>
      </c>
      <c r="AA5" s="28">
        <f ca="1"/>
        <v>2481.8397661406743</v>
      </c>
      <c r="AB5" s="28">
        <f ca="1"/>
        <v>2525.3115534108847</v>
      </c>
      <c r="AC5" s="28">
        <f ca="1"/>
        <v>2570.182814339018</v>
      </c>
      <c r="AD5" s="28">
        <f ca="1"/>
        <v>2621.3794644302388</v>
      </c>
      <c r="AE5" s="28">
        <f ca="1"/>
        <v>2675.4466983913039</v>
      </c>
      <c r="AF5" s="28">
        <f ca="1"/>
        <v>2728.4075739899272</v>
      </c>
      <c r="AG5" s="28">
        <f ca="1"/>
        <v>2783.8233306661141</v>
      </c>
      <c r="AH5" s="28">
        <f ca="1"/>
        <v>2838.0706060277707</v>
      </c>
      <c r="AI5" s="28">
        <f ca="1"/>
        <v>2894.8200628959003</v>
      </c>
      <c r="AJ5" s="28">
        <f ca="1"/>
        <v>2950.3458288122347</v>
      </c>
      <c r="AK5" s="29">
        <f ca="1"/>
        <v>3008.4075024278291</v>
      </c>
      <c r="AL5" s="3"/>
    </row>
    <row r="6" spans="2:38">
      <c r="B6" s="3"/>
      <c r="C6" s="23" t="s">
        <v>58</v>
      </c>
      <c r="D6" s="16" t="str">
        <f>"th " &amp; _yearDol &amp; "$"</f>
        <v>th 2013$</v>
      </c>
      <c r="E6" s="141">
        <f t="array" aca="1" ref="E6:AK6" ca="1">tiecU*tShpAxH</f>
        <v>1461.9859496921613</v>
      </c>
      <c r="F6" s="28">
        <f ca="1"/>
        <v>1492.4282855999647</v>
      </c>
      <c r="G6" s="28">
        <f ca="1"/>
        <v>1485.3211795834773</v>
      </c>
      <c r="H6" s="28">
        <f ca="1"/>
        <v>1483.9720811811303</v>
      </c>
      <c r="I6" s="28">
        <f ca="1"/>
        <v>1482.1167231721297</v>
      </c>
      <c r="J6" s="28">
        <f ca="1"/>
        <v>1477.688342437003</v>
      </c>
      <c r="K6" s="28">
        <f ca="1"/>
        <v>1474.9512025856438</v>
      </c>
      <c r="L6" s="28">
        <f ca="1"/>
        <v>1481.5882103959525</v>
      </c>
      <c r="M6" s="28">
        <f ca="1"/>
        <v>1482.8343878892542</v>
      </c>
      <c r="N6" s="28">
        <f ca="1"/>
        <v>1484.4227078639763</v>
      </c>
      <c r="O6" s="28">
        <f ca="1"/>
        <v>1488.9540095081477</v>
      </c>
      <c r="P6" s="28">
        <f ca="1"/>
        <v>1498.4894926488596</v>
      </c>
      <c r="Q6" s="28">
        <f ca="1"/>
        <v>1512.8427869913544</v>
      </c>
      <c r="R6" s="28">
        <f ca="1"/>
        <v>1538.122387569764</v>
      </c>
      <c r="S6" s="28">
        <f ca="1"/>
        <v>1581.2768465677227</v>
      </c>
      <c r="T6" s="28">
        <f ca="1"/>
        <v>1619.4966652239016</v>
      </c>
      <c r="U6" s="28">
        <f ca="1"/>
        <v>1654.9153661663413</v>
      </c>
      <c r="V6" s="28">
        <f ca="1"/>
        <v>1697.6247617738352</v>
      </c>
      <c r="W6" s="28">
        <f ca="1"/>
        <v>1746.1978675507048</v>
      </c>
      <c r="X6" s="28">
        <f ca="1"/>
        <v>1768.4927617668093</v>
      </c>
      <c r="Y6" s="28">
        <f ca="1"/>
        <v>1782.0143438983728</v>
      </c>
      <c r="Z6" s="28">
        <f ca="1"/>
        <v>1785.2188003097201</v>
      </c>
      <c r="AA6" s="28">
        <f ca="1"/>
        <v>1783.3328441926251</v>
      </c>
      <c r="AB6" s="28">
        <f ca="1"/>
        <v>1801.9058958059659</v>
      </c>
      <c r="AC6" s="28">
        <f ca="1"/>
        <v>1822.6180333397292</v>
      </c>
      <c r="AD6" s="28">
        <f ca="1"/>
        <v>1846.4956842381744</v>
      </c>
      <c r="AE6" s="28">
        <f ca="1"/>
        <v>1870.9574808366046</v>
      </c>
      <c r="AF6" s="28">
        <f ca="1"/>
        <v>1895.6696255921715</v>
      </c>
      <c r="AG6" s="28">
        <f ca="1"/>
        <v>1920.6376817972559</v>
      </c>
      <c r="AH6" s="28">
        <f ca="1"/>
        <v>1945.8672127442385</v>
      </c>
      <c r="AI6" s="28">
        <f ca="1"/>
        <v>1971.3721266640712</v>
      </c>
      <c r="AJ6" s="28">
        <f ca="1"/>
        <v>1997.1552052029444</v>
      </c>
      <c r="AK6" s="29">
        <f ca="1"/>
        <v>2023.2247932994296</v>
      </c>
      <c r="AL6" s="3"/>
    </row>
    <row r="7" spans="2:38">
      <c r="B7" s="3"/>
      <c r="C7" s="23" t="s">
        <v>59</v>
      </c>
      <c r="D7" s="16" t="str">
        <f>"th " &amp; _yearDol &amp; "$"</f>
        <v>th 2013$</v>
      </c>
      <c r="E7" s="141">
        <f t="array" aca="1" ref="E7:AK7" ca="1">tecsU*tShpAxH</f>
        <v>3208.7675868806518</v>
      </c>
      <c r="F7" s="28">
        <f ca="1"/>
        <v>3290.0013460839941</v>
      </c>
      <c r="G7" s="28">
        <f ca="1"/>
        <v>3287.0393940538552</v>
      </c>
      <c r="H7" s="28">
        <f ca="1"/>
        <v>3297.8893248496665</v>
      </c>
      <c r="I7" s="28">
        <f ca="1"/>
        <v>3305.9099115744252</v>
      </c>
      <c r="J7" s="28">
        <f ca="1"/>
        <v>3309.2426740942801</v>
      </c>
      <c r="K7" s="28">
        <f ca="1"/>
        <v>3314.5975840844544</v>
      </c>
      <c r="L7" s="28">
        <f ca="1"/>
        <v>3342.1129225031159</v>
      </c>
      <c r="M7" s="28">
        <f ca="1"/>
        <v>3358.6745809869822</v>
      </c>
      <c r="N7" s="28">
        <f ca="1"/>
        <v>3374.3617856601008</v>
      </c>
      <c r="O7" s="28">
        <f ca="1"/>
        <v>3397.8973929269428</v>
      </c>
      <c r="P7" s="28">
        <f ca="1"/>
        <v>3434.1784150252874</v>
      </c>
      <c r="Q7" s="28">
        <f ca="1"/>
        <v>3480.0696220244067</v>
      </c>
      <c r="R7" s="28">
        <f ca="1"/>
        <v>3552.6317581954381</v>
      </c>
      <c r="S7" s="28">
        <f ca="1"/>
        <v>3665.3535241581571</v>
      </c>
      <c r="T7" s="28">
        <f ca="1"/>
        <v>3768.5314464350486</v>
      </c>
      <c r="U7" s="28">
        <f ca="1"/>
        <v>3867.2063745352243</v>
      </c>
      <c r="V7" s="28">
        <f ca="1"/>
        <v>3981.8400225882783</v>
      </c>
      <c r="W7" s="28">
        <f ca="1"/>
        <v>4112.4142739799099</v>
      </c>
      <c r="X7" s="28">
        <f ca="1"/>
        <v>4179.823516838127</v>
      </c>
      <c r="Y7" s="28">
        <f ca="1"/>
        <v>4228.1716758798175</v>
      </c>
      <c r="Z7" s="28">
        <f ca="1"/>
        <v>4253.6854338906305</v>
      </c>
      <c r="AA7" s="28">
        <f ca="1"/>
        <v>4265.1726103332994</v>
      </c>
      <c r="AB7" s="28">
        <f ca="1"/>
        <v>4327.2174492168506</v>
      </c>
      <c r="AC7" s="28">
        <f ca="1"/>
        <v>4392.8008476787472</v>
      </c>
      <c r="AD7" s="28">
        <f ca="1"/>
        <v>4467.8751486684132</v>
      </c>
      <c r="AE7" s="28">
        <f ca="1"/>
        <v>4546.4041792279086</v>
      </c>
      <c r="AF7" s="28">
        <f ca="1"/>
        <v>4624.0771995820987</v>
      </c>
      <c r="AG7" s="28">
        <f ca="1"/>
        <v>4704.46101246337</v>
      </c>
      <c r="AH7" s="28">
        <f ca="1"/>
        <v>4783.9378187720095</v>
      </c>
      <c r="AI7" s="28">
        <f ca="1"/>
        <v>4866.1921895599717</v>
      </c>
      <c r="AJ7" s="28">
        <f ca="1"/>
        <v>4947.5010340151794</v>
      </c>
      <c r="AK7" s="29">
        <f ca="1"/>
        <v>5031.6322957272587</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tsavUElec*tShpAxH</f>
        <v>713.94531014575227</v>
      </c>
      <c r="F9" s="24">
        <f ca="1"/>
        <v>723.65515314579193</v>
      </c>
      <c r="G9" s="24">
        <f ca="1"/>
        <v>715.03501247562849</v>
      </c>
      <c r="H9" s="24">
        <f ca="1"/>
        <v>709.84437516241542</v>
      </c>
      <c r="I9" s="24">
        <f ca="1"/>
        <v>704.65397672236531</v>
      </c>
      <c r="J9" s="24">
        <f ca="1"/>
        <v>698.81176943064747</v>
      </c>
      <c r="K9" s="24">
        <f ca="1"/>
        <v>694.62451392244543</v>
      </c>
      <c r="L9" s="24">
        <f ca="1"/>
        <v>695.34094619481868</v>
      </c>
      <c r="M9" s="24">
        <f ca="1"/>
        <v>693.5032431128177</v>
      </c>
      <c r="N9" s="24">
        <f ca="1"/>
        <v>692.30550701818106</v>
      </c>
      <c r="O9" s="24">
        <f ca="1"/>
        <v>693.07783938412422</v>
      </c>
      <c r="P9" s="24">
        <f ca="1"/>
        <v>696.52835149682369</v>
      </c>
      <c r="Q9" s="24">
        <f ca="1"/>
        <v>702.36050812917313</v>
      </c>
      <c r="R9" s="24">
        <f ca="1"/>
        <v>713.46714975887437</v>
      </c>
      <c r="S9" s="24">
        <f ca="1"/>
        <v>732.99117196259249</v>
      </c>
      <c r="T9" s="24">
        <f ca="1"/>
        <v>750.64403449862732</v>
      </c>
      <c r="U9" s="24">
        <f ca="1"/>
        <v>767.19290580891527</v>
      </c>
      <c r="V9" s="24">
        <f ca="1"/>
        <v>787.19182619145238</v>
      </c>
      <c r="W9" s="24">
        <f ca="1"/>
        <v>810.00876122962916</v>
      </c>
      <c r="X9" s="24">
        <f ca="1"/>
        <v>820.63158268341374</v>
      </c>
      <c r="Y9" s="24">
        <f ca="1"/>
        <v>827.1404976181384</v>
      </c>
      <c r="Z9" s="24">
        <f ca="1"/>
        <v>828.78531775468559</v>
      </c>
      <c r="AA9" s="24">
        <f ca="1"/>
        <v>828.01341801732883</v>
      </c>
      <c r="AB9" s="24">
        <f ca="1"/>
        <v>836.63701063463247</v>
      </c>
      <c r="AC9" s="24">
        <f ca="1"/>
        <v>846.25379521280286</v>
      </c>
      <c r="AD9" s="24">
        <f ca="1"/>
        <v>857.3403489086146</v>
      </c>
      <c r="AE9" s="24">
        <f ca="1"/>
        <v>868.69812537657447</v>
      </c>
      <c r="AF9" s="24">
        <f ca="1"/>
        <v>880.17214017545507</v>
      </c>
      <c r="AG9" s="24">
        <f ca="1"/>
        <v>891.76497637927673</v>
      </c>
      <c r="AH9" s="24">
        <f ca="1"/>
        <v>903.47921706206012</v>
      </c>
      <c r="AI9" s="24">
        <f ca="1"/>
        <v>915.32131990885614</v>
      </c>
      <c r="AJ9" s="24">
        <f ca="1"/>
        <v>927.29257645667519</v>
      </c>
      <c r="AK9" s="26">
        <f ca="1"/>
        <v>939.39686131654787</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INDEX(_doName,1,stdCSL+1)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55.391873950403351</v>
      </c>
      <c r="F13" s="28">
        <f ca="1"/>
        <v>55.839782542289868</v>
      </c>
      <c r="G13" s="28">
        <f ca="1"/>
        <v>56.236351171671231</v>
      </c>
      <c r="H13" s="28">
        <f ca="1"/>
        <v>56.668586228234744</v>
      </c>
      <c r="I13" s="28">
        <f ca="1"/>
        <v>57.048446267103827</v>
      </c>
      <c r="J13" s="28">
        <f ca="1"/>
        <v>57.462907692405679</v>
      </c>
      <c r="K13" s="28">
        <f ca="1"/>
        <v>57.82389432974287</v>
      </c>
      <c r="L13" s="28">
        <f ca="1"/>
        <v>58.218172468291414</v>
      </c>
      <c r="M13" s="28">
        <f ca="1"/>
        <v>58.648083804425369</v>
      </c>
      <c r="N13" s="28">
        <f ca="1"/>
        <v>59.025660368398349</v>
      </c>
      <c r="O13" s="28">
        <f ca="1"/>
        <v>59.437755814697994</v>
      </c>
      <c r="P13" s="28">
        <f ca="1"/>
        <v>59.886992236223705</v>
      </c>
      <c r="Q13" s="28">
        <f ca="1"/>
        <v>60.285279677746985</v>
      </c>
      <c r="R13" s="28">
        <f ca="1"/>
        <v>60.719618950391123</v>
      </c>
      <c r="S13" s="28">
        <f ca="1"/>
        <v>61.102139950136007</v>
      </c>
      <c r="T13" s="28">
        <f ca="1"/>
        <v>61.519673988538671</v>
      </c>
      <c r="U13" s="28">
        <f ca="1"/>
        <v>61.975081236875667</v>
      </c>
      <c r="V13" s="28">
        <f ca="1"/>
        <v>62.380085609266644</v>
      </c>
      <c r="W13" s="28">
        <f ca="1"/>
        <v>62.82198383634659</v>
      </c>
      <c r="X13" s="28">
        <f ca="1"/>
        <v>63.212670450814585</v>
      </c>
      <c r="Y13" s="28">
        <f ca="1"/>
        <v>63.639070835185521</v>
      </c>
      <c r="Z13" s="28">
        <f ca="1"/>
        <v>64.104194644128256</v>
      </c>
      <c r="AA13" s="28">
        <f ca="1"/>
        <v>64.519645086303171</v>
      </c>
      <c r="AB13" s="28">
        <f ca="1"/>
        <v>64.97308653838536</v>
      </c>
      <c r="AC13" s="28">
        <f ca="1"/>
        <v>65.376097307790587</v>
      </c>
      <c r="AD13" s="28">
        <f ca="1"/>
        <v>65.816113761541601</v>
      </c>
      <c r="AE13" s="28">
        <f ca="1"/>
        <v>66.295343359760409</v>
      </c>
      <c r="AF13" s="28">
        <f ca="1"/>
        <v>66.726329240106679</v>
      </c>
      <c r="AG13" s="28">
        <f ca="1"/>
        <v>67.196532657707394</v>
      </c>
      <c r="AH13" s="28">
        <f ca="1"/>
        <v>67.617737373994714</v>
      </c>
      <c r="AI13" s="28">
        <f ca="1"/>
        <v>68.077500360889644</v>
      </c>
      <c r="AJ13" s="28">
        <f ca="1"/>
        <v>68.487568498395376</v>
      </c>
      <c r="AK13" s="29">
        <f ca="1"/>
        <v>68.935537102547642</v>
      </c>
      <c r="AL13" s="3"/>
    </row>
    <row r="14" spans="2:38">
      <c r="B14" s="3"/>
      <c r="C14" s="23" t="s">
        <v>58</v>
      </c>
      <c r="D14" s="16" t="str">
        <f>_yearDol &amp; "$"</f>
        <v>2013$</v>
      </c>
      <c r="E14" s="141">
        <f t="array" aca="1" ref="E14:AK14" ca="1">tlccQmpol-tlccQmbc</f>
        <v>46.360769840100147</v>
      </c>
      <c r="F14" s="28">
        <f ca="1"/>
        <v>46.360769840100147</v>
      </c>
      <c r="G14" s="28">
        <f ca="1"/>
        <v>46.360769840100147</v>
      </c>
      <c r="H14" s="28">
        <f ca="1"/>
        <v>46.360769840100147</v>
      </c>
      <c r="I14" s="28">
        <f ca="1"/>
        <v>46.360769840100147</v>
      </c>
      <c r="J14" s="28">
        <f ca="1"/>
        <v>46.360769840100147</v>
      </c>
      <c r="K14" s="28">
        <f ca="1"/>
        <v>46.360769840100147</v>
      </c>
      <c r="L14" s="28">
        <f ca="1"/>
        <v>46.360769840100147</v>
      </c>
      <c r="M14" s="28">
        <f ca="1"/>
        <v>46.360769840100147</v>
      </c>
      <c r="N14" s="28">
        <f ca="1"/>
        <v>46.360769840100147</v>
      </c>
      <c r="O14" s="28">
        <f ca="1"/>
        <v>46.360769840100147</v>
      </c>
      <c r="P14" s="28">
        <f ca="1"/>
        <v>46.360769840100147</v>
      </c>
      <c r="Q14" s="28">
        <f ca="1"/>
        <v>46.360769840100147</v>
      </c>
      <c r="R14" s="28">
        <f ca="1"/>
        <v>46.360769840100147</v>
      </c>
      <c r="S14" s="28">
        <f ca="1"/>
        <v>46.360769840100147</v>
      </c>
      <c r="T14" s="28">
        <f ca="1"/>
        <v>46.360769840100147</v>
      </c>
      <c r="U14" s="28">
        <f ca="1"/>
        <v>46.360769840100147</v>
      </c>
      <c r="V14" s="28">
        <f ca="1"/>
        <v>46.360769840100147</v>
      </c>
      <c r="W14" s="28">
        <f ca="1"/>
        <v>46.360769840100147</v>
      </c>
      <c r="X14" s="28">
        <f ca="1"/>
        <v>46.360769840100147</v>
      </c>
      <c r="Y14" s="28">
        <f ca="1"/>
        <v>46.360769840100147</v>
      </c>
      <c r="Z14" s="28">
        <f ca="1"/>
        <v>46.360769840100147</v>
      </c>
      <c r="AA14" s="28">
        <f ca="1"/>
        <v>46.360769840100147</v>
      </c>
      <c r="AB14" s="28">
        <f ca="1"/>
        <v>46.360769840100147</v>
      </c>
      <c r="AC14" s="28">
        <f ca="1"/>
        <v>46.360769840100147</v>
      </c>
      <c r="AD14" s="28">
        <f ca="1"/>
        <v>46.360769840100147</v>
      </c>
      <c r="AE14" s="28">
        <f ca="1"/>
        <v>46.360769840100147</v>
      </c>
      <c r="AF14" s="28">
        <f ca="1"/>
        <v>46.360769840100147</v>
      </c>
      <c r="AG14" s="28">
        <f ca="1"/>
        <v>46.360769840100147</v>
      </c>
      <c r="AH14" s="28">
        <f ca="1"/>
        <v>46.360769840100147</v>
      </c>
      <c r="AI14" s="28">
        <f ca="1"/>
        <v>46.360769840100147</v>
      </c>
      <c r="AJ14" s="28">
        <f ca="1"/>
        <v>46.360769840100147</v>
      </c>
      <c r="AK14" s="29">
        <f ca="1"/>
        <v>46.360769840100147</v>
      </c>
      <c r="AL14" s="3"/>
    </row>
    <row r="15" spans="2:38">
      <c r="B15" s="3"/>
      <c r="C15" s="23" t="s">
        <v>59</v>
      </c>
      <c r="D15" s="16" t="str">
        <f>_yearDol &amp; "$"</f>
        <v>2013$</v>
      </c>
      <c r="E15" s="141">
        <f t="array" aca="1" ref="E15:AK15" ca="1">tlccEmbc-tlccEmpol</f>
        <v>101.7526437905035</v>
      </c>
      <c r="F15" s="28">
        <f ca="1"/>
        <v>102.20055238239001</v>
      </c>
      <c r="G15" s="28">
        <f ca="1"/>
        <v>102.59712101177138</v>
      </c>
      <c r="H15" s="28">
        <f ca="1"/>
        <v>103.02935606833489</v>
      </c>
      <c r="I15" s="28">
        <f ca="1"/>
        <v>103.40921610720397</v>
      </c>
      <c r="J15" s="28">
        <f ca="1"/>
        <v>103.82367753250583</v>
      </c>
      <c r="K15" s="28">
        <f ca="1"/>
        <v>104.18466416984302</v>
      </c>
      <c r="L15" s="28">
        <f ca="1"/>
        <v>104.57894230839156</v>
      </c>
      <c r="M15" s="28">
        <f ca="1"/>
        <v>105.00885364452552</v>
      </c>
      <c r="N15" s="28">
        <f ca="1"/>
        <v>105.3864302084985</v>
      </c>
      <c r="O15" s="28">
        <f ca="1"/>
        <v>105.79852565479814</v>
      </c>
      <c r="P15" s="28">
        <f ca="1"/>
        <v>106.24776207632385</v>
      </c>
      <c r="Q15" s="28">
        <f ca="1"/>
        <v>106.64604951784713</v>
      </c>
      <c r="R15" s="28">
        <f ca="1"/>
        <v>107.08038879049127</v>
      </c>
      <c r="S15" s="28">
        <f ca="1"/>
        <v>107.46290979023615</v>
      </c>
      <c r="T15" s="28">
        <f ca="1"/>
        <v>107.88044382863882</v>
      </c>
      <c r="U15" s="28">
        <f ca="1"/>
        <v>108.33585107697581</v>
      </c>
      <c r="V15" s="28">
        <f ca="1"/>
        <v>108.74085544936679</v>
      </c>
      <c r="W15" s="28">
        <f ca="1"/>
        <v>109.18275367644674</v>
      </c>
      <c r="X15" s="28">
        <f ca="1"/>
        <v>109.57344029091473</v>
      </c>
      <c r="Y15" s="28">
        <f ca="1"/>
        <v>109.99984067528567</v>
      </c>
      <c r="Z15" s="28">
        <f ca="1"/>
        <v>110.4649644842284</v>
      </c>
      <c r="AA15" s="28">
        <f ca="1"/>
        <v>110.88041492640332</v>
      </c>
      <c r="AB15" s="28">
        <f ca="1"/>
        <v>111.33385637848551</v>
      </c>
      <c r="AC15" s="28">
        <f ca="1"/>
        <v>111.73686714789073</v>
      </c>
      <c r="AD15" s="28">
        <f ca="1"/>
        <v>112.17688360164175</v>
      </c>
      <c r="AE15" s="28">
        <f ca="1"/>
        <v>112.65611319986056</v>
      </c>
      <c r="AF15" s="28">
        <f ca="1"/>
        <v>113.08709908020683</v>
      </c>
      <c r="AG15" s="28">
        <f ca="1"/>
        <v>113.55730249780754</v>
      </c>
      <c r="AH15" s="28">
        <f ca="1"/>
        <v>113.97850721409486</v>
      </c>
      <c r="AI15" s="28">
        <f ca="1"/>
        <v>114.43827020098979</v>
      </c>
      <c r="AJ15" s="28">
        <f ca="1"/>
        <v>114.84833833849552</v>
      </c>
      <c r="AK15" s="29">
        <f ca="1"/>
        <v>115.29630694264779</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22.639789533583098</v>
      </c>
      <c r="F17" s="24">
        <f ca="1"/>
        <v>22.479612804381759</v>
      </c>
      <c r="G17" s="24">
        <f ca="1"/>
        <v>22.318118193326882</v>
      </c>
      <c r="H17" s="24">
        <f ca="1"/>
        <v>22.176247192603114</v>
      </c>
      <c r="I17" s="24">
        <f ca="1"/>
        <v>22.041651862491562</v>
      </c>
      <c r="J17" s="24">
        <f ca="1"/>
        <v>21.924414420633184</v>
      </c>
      <c r="K17" s="24">
        <f ca="1"/>
        <v>21.833486530806113</v>
      </c>
      <c r="L17" s="24">
        <f ca="1"/>
        <v>21.758098060405246</v>
      </c>
      <c r="M17" s="24">
        <f ca="1"/>
        <v>21.682356775581866</v>
      </c>
      <c r="N17" s="24">
        <f ca="1"/>
        <v>21.621749721201923</v>
      </c>
      <c r="O17" s="24">
        <f ca="1"/>
        <v>21.579996418811788</v>
      </c>
      <c r="P17" s="24">
        <f ca="1"/>
        <v>21.549427439606006</v>
      </c>
      <c r="Q17" s="24">
        <f ca="1"/>
        <v>21.523699714303802</v>
      </c>
      <c r="R17" s="24">
        <f ca="1"/>
        <v>21.504716780505987</v>
      </c>
      <c r="S17" s="24">
        <f ca="1"/>
        <v>21.490250168364582</v>
      </c>
      <c r="T17" s="24">
        <f ca="1"/>
        <v>21.488426659047036</v>
      </c>
      <c r="U17" s="24">
        <f ca="1"/>
        <v>21.49212851383345</v>
      </c>
      <c r="V17" s="24">
        <f ca="1"/>
        <v>21.497577023992562</v>
      </c>
      <c r="W17" s="24">
        <f ca="1"/>
        <v>21.505369148402679</v>
      </c>
      <c r="X17" s="24">
        <f ca="1"/>
        <v>21.512732622266412</v>
      </c>
      <c r="Y17" s="24">
        <f ca="1"/>
        <v>21.518833654061382</v>
      </c>
      <c r="Z17" s="24">
        <f ca="1"/>
        <v>21.522922207974261</v>
      </c>
      <c r="AA17" s="24">
        <f ca="1"/>
        <v>21.525616837161579</v>
      </c>
      <c r="AB17" s="24">
        <f ca="1"/>
        <v>21.525616837161579</v>
      </c>
      <c r="AC17" s="24">
        <f ca="1"/>
        <v>21.525616837161579</v>
      </c>
      <c r="AD17" s="24">
        <f ca="1"/>
        <v>21.525616837161579</v>
      </c>
      <c r="AE17" s="24">
        <f ca="1"/>
        <v>21.525616837161579</v>
      </c>
      <c r="AF17" s="24">
        <f ca="1"/>
        <v>21.525616837161579</v>
      </c>
      <c r="AG17" s="24">
        <f ca="1"/>
        <v>21.525616837161579</v>
      </c>
      <c r="AH17" s="24">
        <f ca="1"/>
        <v>21.525616837161579</v>
      </c>
      <c r="AI17" s="24">
        <f ca="1"/>
        <v>21.525616837161579</v>
      </c>
      <c r="AJ17" s="24">
        <f ca="1"/>
        <v>21.525616837161579</v>
      </c>
      <c r="AK17" s="26">
        <f ca="1"/>
        <v>21.525616837161579</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INDEX(_doName,1,1)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4766.3052440382999</v>
      </c>
      <c r="F21" s="28">
        <f ca="1">SUMPRODUCT(INDEX(bcEff,,2),INDEX(tlccQubc,,2))</f>
        <v>4766.3052440382999</v>
      </c>
      <c r="G21" s="28">
        <f ca="1">SUMPRODUCT(INDEX(bcEff,,3),INDEX(tlccQubc,,3))</f>
        <v>4766.3052440382999</v>
      </c>
      <c r="H21" s="28">
        <f ca="1">SUMPRODUCT(INDEX(bcEff,,4),INDEX(tlccQubc,,4))</f>
        <v>4766.3052440382999</v>
      </c>
      <c r="I21" s="28">
        <f ca="1">SUMPRODUCT(INDEX(bcEff,,5),INDEX(tlccQubc,,5))</f>
        <v>4766.3052440382999</v>
      </c>
      <c r="J21" s="28">
        <f ca="1">SUMPRODUCT(INDEX(bcEff,,6),INDEX(tlccQubc,,6))</f>
        <v>4766.3052440382999</v>
      </c>
      <c r="K21" s="28">
        <f ca="1">SUMPRODUCT(INDEX(bcEff,,7),INDEX(tlccQubc,,7))</f>
        <v>4766.3052440382999</v>
      </c>
      <c r="L21" s="28">
        <f ca="1">SUMPRODUCT(INDEX(bcEff,,8),INDEX(tlccQubc,,8))</f>
        <v>4766.3052440382999</v>
      </c>
      <c r="M21" s="28">
        <f ca="1">SUMPRODUCT(INDEX(bcEff,,9),INDEX(tlccQubc,,9))</f>
        <v>4766.3052440382999</v>
      </c>
      <c r="N21" s="28">
        <f ca="1">SUMPRODUCT(INDEX(bcEff,,10),INDEX(tlccQubc,,10))</f>
        <v>4766.3052440382999</v>
      </c>
      <c r="O21" s="28">
        <f ca="1">SUMPRODUCT(INDEX(bcEff,,11),INDEX(tlccQubc,,11))</f>
        <v>4766.3052440382999</v>
      </c>
      <c r="P21" s="28">
        <f ca="1">SUMPRODUCT(INDEX(bcEff,,12),INDEX(tlccQubc,,12))</f>
        <v>4766.3052440382999</v>
      </c>
      <c r="Q21" s="28">
        <f ca="1">SUMPRODUCT(INDEX(bcEff,,13),INDEX(tlccQubc,,13))</f>
        <v>4766.3052440382999</v>
      </c>
      <c r="R21" s="28">
        <f ca="1">SUMPRODUCT(INDEX(bcEff,,14),INDEX(tlccQubc,,14))</f>
        <v>4766.3052440382999</v>
      </c>
      <c r="S21" s="28">
        <f ca="1">SUMPRODUCT(INDEX(bcEff,,15),INDEX(tlccQubc,,15))</f>
        <v>4766.3052440382999</v>
      </c>
      <c r="T21" s="28">
        <f ca="1">SUMPRODUCT(INDEX(bcEff,,16),INDEX(tlccQubc,,16))</f>
        <v>4766.3052440382999</v>
      </c>
      <c r="U21" s="28">
        <f ca="1">SUMPRODUCT(INDEX(bcEff,,17),INDEX(tlccQubc,,17))</f>
        <v>4766.3052440382999</v>
      </c>
      <c r="V21" s="28">
        <f ca="1">SUMPRODUCT(INDEX(bcEff,,18),INDEX(tlccQubc,,18))</f>
        <v>4766.3052440382999</v>
      </c>
      <c r="W21" s="28">
        <f ca="1">SUMPRODUCT(INDEX(bcEff,,19),INDEX(tlccQubc,,19))</f>
        <v>4766.3052440382999</v>
      </c>
      <c r="X21" s="28">
        <f ca="1">SUMPRODUCT(INDEX(bcEff,,20),INDEX(tlccQubc,,20))</f>
        <v>4766.3052440382999</v>
      </c>
      <c r="Y21" s="28">
        <f ca="1">SUMPRODUCT(INDEX(bcEff,,21),INDEX(tlccQubc,,21))</f>
        <v>4766.3052440382999</v>
      </c>
      <c r="Z21" s="28">
        <f ca="1">SUMPRODUCT(INDEX(bcEff,,22),INDEX(tlccQubc,,22))</f>
        <v>4766.3052440382999</v>
      </c>
      <c r="AA21" s="28">
        <f ca="1">SUMPRODUCT(INDEX(bcEff,,23),INDEX(tlccQubc,,23))</f>
        <v>4766.3052440382999</v>
      </c>
      <c r="AB21" s="28">
        <f ca="1">SUMPRODUCT(INDEX(bcEff,,24),INDEX(tlccQubc,,24))</f>
        <v>4766.3052440382999</v>
      </c>
      <c r="AC21" s="28">
        <f ca="1">SUMPRODUCT(INDEX(bcEff,,25),INDEX(tlccQubc,,25))</f>
        <v>4766.3052440382999</v>
      </c>
      <c r="AD21" s="28">
        <f ca="1">SUMPRODUCT(INDEX(bcEff,,26),INDEX(tlccQubc,,26))</f>
        <v>4766.3052440382999</v>
      </c>
      <c r="AE21" s="28">
        <f ca="1">SUMPRODUCT(INDEX(bcEff,,27),INDEX(tlccQubc,,27))</f>
        <v>4766.3052440382999</v>
      </c>
      <c r="AF21" s="28">
        <f ca="1">SUMPRODUCT(INDEX(bcEff,,28),INDEX(tlccQubc,,28))</f>
        <v>4766.3052440382999</v>
      </c>
      <c r="AG21" s="28">
        <f ca="1">SUMPRODUCT(INDEX(bcEff,,29),INDEX(tlccQubc,,29))</f>
        <v>4766.3052440382999</v>
      </c>
      <c r="AH21" s="28">
        <f ca="1">SUMPRODUCT(INDEX(bcEff,,30),INDEX(tlccQubc,,30))</f>
        <v>4766.3052440382999</v>
      </c>
      <c r="AI21" s="28">
        <f ca="1">SUMPRODUCT(INDEX(bcEff,,31),INDEX(tlccQubc,,31))</f>
        <v>4766.3052440382999</v>
      </c>
      <c r="AJ21" s="28">
        <f ca="1">SUMPRODUCT(INDEX(bcEff,,32),INDEX(tlccQubc,,32))</f>
        <v>4766.3052440382999</v>
      </c>
      <c r="AK21" s="29">
        <f ca="1">SUMPRODUCT(INDEX(bcEff,,33),INDEX(tlccQubc,,33))</f>
        <v>4766.3052440382999</v>
      </c>
      <c r="AL21" s="3"/>
    </row>
    <row r="22" spans="2:38">
      <c r="B22" s="3"/>
      <c r="C22" s="23" t="s">
        <v>47</v>
      </c>
      <c r="D22" s="16" t="str">
        <f>_yearDol &amp; "$"</f>
        <v>2013$</v>
      </c>
      <c r="E22" s="141">
        <f ca="1">SUMPRODUCT(INDEX(bcEff,,1),INDEX(tlccEubc,,1))</f>
        <v>54240.807817306588</v>
      </c>
      <c r="F22" s="28">
        <f ca="1">SUMPRODUCT(INDEX(bcEff,,2),INDEX(tlccEubc,,2))</f>
        <v>54479.572363827916</v>
      </c>
      <c r="G22" s="28">
        <f ca="1">SUMPRODUCT(INDEX(bcEff,,3),INDEX(tlccEubc,,3))</f>
        <v>54690.969355704387</v>
      </c>
      <c r="H22" s="28">
        <f ca="1">SUMPRODUCT(INDEX(bcEff,,4),INDEX(tlccEubc,,4))</f>
        <v>54921.378883771416</v>
      </c>
      <c r="I22" s="28">
        <f ca="1">SUMPRODUCT(INDEX(bcEff,,5),INDEX(tlccEubc,,5))</f>
        <v>55123.869105140882</v>
      </c>
      <c r="J22" s="28">
        <f ca="1">SUMPRODUCT(INDEX(bcEff,,6),INDEX(tlccEubc,,6))</f>
        <v>55344.80412637972</v>
      </c>
      <c r="K22" s="28">
        <f ca="1">SUMPRODUCT(INDEX(bcEff,,7),INDEX(tlccEubc,,7))</f>
        <v>55537.23359150975</v>
      </c>
      <c r="L22" s="28">
        <f ca="1">SUMPRODUCT(INDEX(bcEff,,8),INDEX(tlccEubc,,8))</f>
        <v>55747.409602106098</v>
      </c>
      <c r="M22" s="28">
        <f ca="1">SUMPRODUCT(INDEX(bcEff,,9),INDEX(tlccEubc,,9))</f>
        <v>55976.580435347481</v>
      </c>
      <c r="N22" s="28">
        <f ca="1">SUMPRODUCT(INDEX(bcEff,,10),INDEX(tlccEubc,,10))</f>
        <v>56177.853415392994</v>
      </c>
      <c r="O22" s="28">
        <f ca="1">SUMPRODUCT(INDEX(bcEff,,11),INDEX(tlccEubc,,11))</f>
        <v>56397.527215228052</v>
      </c>
      <c r="P22" s="28">
        <f ca="1">SUMPRODUCT(INDEX(bcEff,,12),INDEX(tlccEubc,,12))</f>
        <v>56636.999581709475</v>
      </c>
      <c r="Q22" s="28">
        <f ca="1">SUMPRODUCT(INDEX(bcEff,,13),INDEX(tlccEubc,,13))</f>
        <v>56849.312812763819</v>
      </c>
      <c r="R22" s="28">
        <f ca="1">SUMPRODUCT(INDEX(bcEff,,14),INDEX(tlccEubc,,14))</f>
        <v>57080.844025495491</v>
      </c>
      <c r="S22" s="28">
        <f ca="1">SUMPRODUCT(INDEX(bcEff,,15),INDEX(tlccEubc,,15))</f>
        <v>57284.752712880712</v>
      </c>
      <c r="T22" s="28">
        <f ca="1">SUMPRODUCT(INDEX(bcEff,,16),INDEX(tlccEubc,,16))</f>
        <v>57507.32563768042</v>
      </c>
      <c r="U22" s="28">
        <f ca="1">SUMPRODUCT(INDEX(bcEff,,17),INDEX(tlccEubc,,17))</f>
        <v>57750.087458067734</v>
      </c>
      <c r="V22" s="28">
        <f ca="1">SUMPRODUCT(INDEX(bcEff,,18),INDEX(tlccEubc,,18))</f>
        <v>57965.981252166137</v>
      </c>
      <c r="W22" s="28">
        <f ca="1">SUMPRODUCT(INDEX(bcEff,,19),INDEX(tlccEubc,,19))</f>
        <v>58201.541881526864</v>
      </c>
      <c r="X22" s="28">
        <f ca="1">SUMPRODUCT(INDEX(bcEff,,20),INDEX(tlccEubc,,20))</f>
        <v>58409.803375111376</v>
      </c>
      <c r="Y22" s="28">
        <f ca="1">SUMPRODUCT(INDEX(bcEff,,21),INDEX(tlccEubc,,21))</f>
        <v>58637.102641641017</v>
      </c>
      <c r="Z22" s="28">
        <f ca="1">SUMPRODUCT(INDEX(bcEff,,22),INDEX(tlccEubc,,22))</f>
        <v>58885.044023726135</v>
      </c>
      <c r="AA22" s="28">
        <f ca="1">SUMPRODUCT(INDEX(bcEff,,23),INDEX(tlccEubc,,23))</f>
        <v>59106.506255590117</v>
      </c>
      <c r="AB22" s="28">
        <f ca="1">SUMPRODUCT(INDEX(bcEff,,24),INDEX(tlccEubc,,24))</f>
        <v>59348.220178124022</v>
      </c>
      <c r="AC22" s="28">
        <f ca="1">SUMPRODUCT(INDEX(bcEff,,25),INDEX(tlccEubc,,25))</f>
        <v>59563.051251573605</v>
      </c>
      <c r="AD22" s="28">
        <f ca="1">SUMPRODUCT(INDEX(bcEff,,26),INDEX(tlccEubc,,26))</f>
        <v>59797.608772783053</v>
      </c>
      <c r="AE22" s="28">
        <f ca="1">SUMPRODUCT(INDEX(bcEff,,27),INDEX(tlccEubc,,27))</f>
        <v>60053.069462253348</v>
      </c>
      <c r="AF22" s="28">
        <f ca="1">SUMPRODUCT(INDEX(bcEff,,28),INDEX(tlccEubc,,28))</f>
        <v>60282.813097765509</v>
      </c>
      <c r="AG22" s="28">
        <f ca="1">SUMPRODUCT(INDEX(bcEff,,29),INDEX(tlccEubc,,29))</f>
        <v>60533.462243176662</v>
      </c>
      <c r="AH22" s="28">
        <f ca="1">SUMPRODUCT(INDEX(bcEff,,30),INDEX(tlccEubc,,30))</f>
        <v>60757.991879127236</v>
      </c>
      <c r="AI22" s="28">
        <f ca="1">SUMPRODUCT(INDEX(bcEff,,31),INDEX(tlccEubc,,31))</f>
        <v>61003.075592770496</v>
      </c>
      <c r="AJ22" s="28">
        <f ca="1">SUMPRODUCT(INDEX(bcEff,,32),INDEX(tlccEubc,,32))</f>
        <v>61221.668704557836</v>
      </c>
      <c r="AK22" s="29">
        <f ca="1">SUMPRODUCT(INDEX(bcEff,,33),INDEX(tlccEubc,,33))</f>
        <v>61460.465241544305</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12068.487140675723</v>
      </c>
      <c r="F24" s="22">
        <f ca="1">SUMPRODUCT(INDEX(bcEff,,2),INDEX(tlccFubcElec,,2))</f>
        <v>11983.102477812123</v>
      </c>
      <c r="G24" s="22">
        <f ca="1">SUMPRODUCT(INDEX(bcEff,,3),INDEX(tlccFubcElec,,3))</f>
        <v>11897.015297810551</v>
      </c>
      <c r="H24" s="22">
        <f ca="1">SUMPRODUCT(INDEX(bcEff,,4),INDEX(tlccFubcElec,,4))</f>
        <v>11821.388784351155</v>
      </c>
      <c r="I24" s="22">
        <f ca="1">SUMPRODUCT(INDEX(bcEff,,5),INDEX(tlccFubcElec,,5))</f>
        <v>11749.640678731588</v>
      </c>
      <c r="J24" s="22">
        <f ca="1">SUMPRODUCT(INDEX(bcEff,,6),INDEX(tlccFubcElec,,6))</f>
        <v>11687.145461743177</v>
      </c>
      <c r="K24" s="22">
        <f ca="1">SUMPRODUCT(INDEX(bcEff,,7),INDEX(tlccFubcElec,,7))</f>
        <v>11638.674955094482</v>
      </c>
      <c r="L24" s="22">
        <f ca="1">SUMPRODUCT(INDEX(bcEff,,8),INDEX(tlccFubcElec,,8))</f>
        <v>11598.487974370002</v>
      </c>
      <c r="M24" s="22">
        <f ca="1">SUMPRODUCT(INDEX(bcEff,,9),INDEX(tlccFubcElec,,9))</f>
        <v>11558.112920507076</v>
      </c>
      <c r="N24" s="22">
        <f ca="1">SUMPRODUCT(INDEX(bcEff,,10),INDEX(tlccFubcElec,,10))</f>
        <v>11525.805400361227</v>
      </c>
      <c r="O24" s="22">
        <f ca="1">SUMPRODUCT(INDEX(bcEff,,11),INDEX(tlccFubcElec,,11))</f>
        <v>11503.548161961182</v>
      </c>
      <c r="P24" s="22">
        <f ca="1">SUMPRODUCT(INDEX(bcEff,,12),INDEX(tlccFubcElec,,12))</f>
        <v>11487.252898619847</v>
      </c>
      <c r="Q24" s="22">
        <f ca="1">SUMPRODUCT(INDEX(bcEff,,13),INDEX(tlccFubcElec,,13))</f>
        <v>11473.538339943927</v>
      </c>
      <c r="R24" s="22">
        <f ca="1">SUMPRODUCT(INDEX(bcEff,,14),INDEX(tlccFubcElec,,14))</f>
        <v>11463.419195854607</v>
      </c>
      <c r="S24" s="22">
        <f ca="1">SUMPRODUCT(INDEX(bcEff,,15),INDEX(tlccFubcElec,,15))</f>
        <v>11455.707546311942</v>
      </c>
      <c r="T24" s="22">
        <f ca="1">SUMPRODUCT(INDEX(bcEff,,16),INDEX(tlccFubcElec,,16))</f>
        <v>11454.735496694786</v>
      </c>
      <c r="U24" s="22">
        <f ca="1">SUMPRODUCT(INDEX(bcEff,,17),INDEX(tlccFubcElec,,17))</f>
        <v>11456.708827181239</v>
      </c>
      <c r="V24" s="22">
        <f ca="1">SUMPRODUCT(INDEX(bcEff,,18),INDEX(tlccFubcElec,,18))</f>
        <v>11459.613239110378</v>
      </c>
      <c r="W24" s="22">
        <f ca="1">SUMPRODUCT(INDEX(bcEff,,19),INDEX(tlccFubcElec,,19))</f>
        <v>11463.766950570496</v>
      </c>
      <c r="X24" s="22">
        <f ca="1">SUMPRODUCT(INDEX(bcEff,,20),INDEX(tlccFubcElec,,20))</f>
        <v>11467.692163281041</v>
      </c>
      <c r="Y24" s="22">
        <f ca="1">SUMPRODUCT(INDEX(bcEff,,21),INDEX(tlccFubcElec,,21))</f>
        <v>11470.9444118788</v>
      </c>
      <c r="Z24" s="22">
        <f ca="1">SUMPRODUCT(INDEX(bcEff,,22),INDEX(tlccFubcElec,,22))</f>
        <v>11473.123878266397</v>
      </c>
      <c r="AA24" s="22">
        <f ca="1">SUMPRODUCT(INDEX(bcEff,,23),INDEX(tlccFubcElec,,23))</f>
        <v>11474.560291695507</v>
      </c>
      <c r="AB24" s="22">
        <f ca="1">SUMPRODUCT(INDEX(bcEff,,24),INDEX(tlccFubcElec,,24))</f>
        <v>11474.560291695507</v>
      </c>
      <c r="AC24" s="22">
        <f ca="1">SUMPRODUCT(INDEX(bcEff,,25),INDEX(tlccFubcElec,,25))</f>
        <v>11474.560291695507</v>
      </c>
      <c r="AD24" s="22">
        <f ca="1">SUMPRODUCT(INDEX(bcEff,,26),INDEX(tlccFubcElec,,26))</f>
        <v>11474.560291695507</v>
      </c>
      <c r="AE24" s="22">
        <f ca="1">SUMPRODUCT(INDEX(bcEff,,27),INDEX(tlccFubcElec,,27))</f>
        <v>11474.560291695507</v>
      </c>
      <c r="AF24" s="22">
        <f ca="1">SUMPRODUCT(INDEX(bcEff,,28),INDEX(tlccFubcElec,,28))</f>
        <v>11474.560291695507</v>
      </c>
      <c r="AG24" s="22">
        <f ca="1">SUMPRODUCT(INDEX(bcEff,,29),INDEX(tlccFubcElec,,29))</f>
        <v>11474.560291695507</v>
      </c>
      <c r="AH24" s="22">
        <f ca="1">SUMPRODUCT(INDEX(bcEff,,30),INDEX(tlccFubcElec,,30))</f>
        <v>11474.560291695507</v>
      </c>
      <c r="AI24" s="22">
        <f ca="1">SUMPRODUCT(INDEX(bcEff,,31),INDEX(tlccFubcElec,,31))</f>
        <v>11474.560291695507</v>
      </c>
      <c r="AJ24" s="22">
        <f ca="1">SUMPRODUCT(INDEX(bcEff,,32),INDEX(tlccFubcElec,,32))</f>
        <v>11474.560291695507</v>
      </c>
      <c r="AK24" s="25">
        <f ca="1">SUMPRODUCT(INDEX(bcEff,,33),INDEX(tlccFubcElec,,33))</f>
        <v>11474.560291695507</v>
      </c>
      <c r="AL24" s="3"/>
    </row>
    <row r="25" spans="2:38">
      <c r="B25" s="3"/>
      <c r="C25" s="30" t="str">
        <f>"Std (CSL " &amp; stdCSL &amp; "): " &amp; INDEX(_doName,1,stdCSL+1)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4812.6660138784</v>
      </c>
      <c r="F26" s="28">
        <f ca="1">SUMPRODUCT(INDEX(polEff,,2),INDEX(tlccQupol,,2))</f>
        <v>4812.6660138784</v>
      </c>
      <c r="G26" s="28">
        <f ca="1">SUMPRODUCT(INDEX(polEff,,3),INDEX(tlccQupol,,3))</f>
        <v>4812.6660138784</v>
      </c>
      <c r="H26" s="28">
        <f ca="1">SUMPRODUCT(INDEX(polEff,,4),INDEX(tlccQupol,,4))</f>
        <v>4812.6660138784</v>
      </c>
      <c r="I26" s="28">
        <f ca="1">SUMPRODUCT(INDEX(polEff,,5),INDEX(tlccQupol,,5))</f>
        <v>4812.6660138784</v>
      </c>
      <c r="J26" s="28">
        <f ca="1">SUMPRODUCT(INDEX(polEff,,6),INDEX(tlccQupol,,6))</f>
        <v>4812.6660138784</v>
      </c>
      <c r="K26" s="28">
        <f ca="1">SUMPRODUCT(INDEX(polEff,,7),INDEX(tlccQupol,,7))</f>
        <v>4812.6660138784</v>
      </c>
      <c r="L26" s="28">
        <f ca="1">SUMPRODUCT(INDEX(polEff,,8),INDEX(tlccQupol,,8))</f>
        <v>4812.6660138784</v>
      </c>
      <c r="M26" s="28">
        <f ca="1">SUMPRODUCT(INDEX(polEff,,9),INDEX(tlccQupol,,9))</f>
        <v>4812.6660138784</v>
      </c>
      <c r="N26" s="28">
        <f ca="1">SUMPRODUCT(INDEX(polEff,,10),INDEX(tlccQupol,,10))</f>
        <v>4812.6660138784</v>
      </c>
      <c r="O26" s="28">
        <f ca="1">SUMPRODUCT(INDEX(polEff,,11),INDEX(tlccQupol,,11))</f>
        <v>4812.6660138784</v>
      </c>
      <c r="P26" s="28">
        <f ca="1">SUMPRODUCT(INDEX(polEff,,12),INDEX(tlccQupol,,12))</f>
        <v>4812.6660138784</v>
      </c>
      <c r="Q26" s="28">
        <f ca="1">SUMPRODUCT(INDEX(polEff,,13),INDEX(tlccQupol,,13))</f>
        <v>4812.6660138784</v>
      </c>
      <c r="R26" s="28">
        <f ca="1">SUMPRODUCT(INDEX(polEff,,14),INDEX(tlccQupol,,14))</f>
        <v>4812.6660138784</v>
      </c>
      <c r="S26" s="28">
        <f ca="1">SUMPRODUCT(INDEX(polEff,,15),INDEX(tlccQupol,,15))</f>
        <v>4812.6660138784</v>
      </c>
      <c r="T26" s="28">
        <f ca="1">SUMPRODUCT(INDEX(polEff,,16),INDEX(tlccQupol,,16))</f>
        <v>4812.6660138784</v>
      </c>
      <c r="U26" s="28">
        <f ca="1">SUMPRODUCT(INDEX(polEff,,17),INDEX(tlccQupol,,17))</f>
        <v>4812.6660138784</v>
      </c>
      <c r="V26" s="28">
        <f ca="1">SUMPRODUCT(INDEX(polEff,,18),INDEX(tlccQupol,,18))</f>
        <v>4812.6660138784</v>
      </c>
      <c r="W26" s="28">
        <f ca="1">SUMPRODUCT(INDEX(polEff,,19),INDEX(tlccQupol,,19))</f>
        <v>4812.6660138784</v>
      </c>
      <c r="X26" s="28">
        <f ca="1">SUMPRODUCT(INDEX(polEff,,20),INDEX(tlccQupol,,20))</f>
        <v>4812.6660138784</v>
      </c>
      <c r="Y26" s="28">
        <f ca="1">SUMPRODUCT(INDEX(polEff,,21),INDEX(tlccQupol,,21))</f>
        <v>4812.6660138784</v>
      </c>
      <c r="Z26" s="28">
        <f ca="1">SUMPRODUCT(INDEX(polEff,,22),INDEX(tlccQupol,,22))</f>
        <v>4812.6660138784</v>
      </c>
      <c r="AA26" s="28">
        <f ca="1">SUMPRODUCT(INDEX(polEff,,23),INDEX(tlccQupol,,23))</f>
        <v>4812.6660138784</v>
      </c>
      <c r="AB26" s="28">
        <f ca="1">SUMPRODUCT(INDEX(polEff,,24),INDEX(tlccQupol,,24))</f>
        <v>4812.6660138784</v>
      </c>
      <c r="AC26" s="28">
        <f ca="1">SUMPRODUCT(INDEX(polEff,,25),INDEX(tlccQupol,,25))</f>
        <v>4812.6660138784</v>
      </c>
      <c r="AD26" s="28">
        <f ca="1">SUMPRODUCT(INDEX(polEff,,26),INDEX(tlccQupol,,26))</f>
        <v>4812.6660138784</v>
      </c>
      <c r="AE26" s="28">
        <f ca="1">SUMPRODUCT(INDEX(polEff,,27),INDEX(tlccQupol,,27))</f>
        <v>4812.6660138784</v>
      </c>
      <c r="AF26" s="28">
        <f ca="1">SUMPRODUCT(INDEX(polEff,,28),INDEX(tlccQupol,,28))</f>
        <v>4812.6660138784</v>
      </c>
      <c r="AG26" s="28">
        <f ca="1">SUMPRODUCT(INDEX(polEff,,29),INDEX(tlccQupol,,29))</f>
        <v>4812.6660138784</v>
      </c>
      <c r="AH26" s="28">
        <f ca="1">SUMPRODUCT(INDEX(polEff,,30),INDEX(tlccQupol,,30))</f>
        <v>4812.6660138784</v>
      </c>
      <c r="AI26" s="28">
        <f ca="1">SUMPRODUCT(INDEX(polEff,,31),INDEX(tlccQupol,,31))</f>
        <v>4812.6660138784</v>
      </c>
      <c r="AJ26" s="28">
        <f ca="1">SUMPRODUCT(INDEX(polEff,,32),INDEX(tlccQupol,,32))</f>
        <v>4812.6660138784</v>
      </c>
      <c r="AK26" s="29">
        <f ca="1">SUMPRODUCT(INDEX(polEff,,33),INDEX(tlccQupol,,33))</f>
        <v>4812.6660138784</v>
      </c>
      <c r="AL26" s="3"/>
    </row>
    <row r="27" spans="2:38">
      <c r="B27" s="3"/>
      <c r="C27" s="23" t="s">
        <v>47</v>
      </c>
      <c r="D27" s="16" t="str">
        <f>_yearDol &amp; "$"</f>
        <v>2013$</v>
      </c>
      <c r="E27" s="141">
        <f ca="1">SUMPRODUCT(INDEX(polEff,,1),INDEX(tlccEupol,,1))</f>
        <v>54139.055173516084</v>
      </c>
      <c r="F27" s="28">
        <f ca="1">SUMPRODUCT(INDEX(polEff,,2),INDEX(tlccEupol,,2))</f>
        <v>54377.371811445526</v>
      </c>
      <c r="G27" s="28">
        <f ca="1">SUMPRODUCT(INDEX(polEff,,3),INDEX(tlccEupol,,3))</f>
        <v>54588.372234692615</v>
      </c>
      <c r="H27" s="28">
        <f ca="1">SUMPRODUCT(INDEX(polEff,,4),INDEX(tlccEupol,,4))</f>
        <v>54818.349527703082</v>
      </c>
      <c r="I27" s="28">
        <f ca="1">SUMPRODUCT(INDEX(polEff,,5),INDEX(tlccEupol,,5))</f>
        <v>55020.459889033678</v>
      </c>
      <c r="J27" s="28">
        <f ca="1">SUMPRODUCT(INDEX(polEff,,6),INDEX(tlccEupol,,6))</f>
        <v>55240.980448847215</v>
      </c>
      <c r="K27" s="28">
        <f ca="1">SUMPRODUCT(INDEX(polEff,,7),INDEX(tlccEupol,,7))</f>
        <v>55433.048927339907</v>
      </c>
      <c r="L27" s="28">
        <f ca="1">SUMPRODUCT(INDEX(polEff,,8),INDEX(tlccEupol,,8))</f>
        <v>55642.830659797706</v>
      </c>
      <c r="M27" s="28">
        <f ca="1">SUMPRODUCT(INDEX(polEff,,9),INDEX(tlccEupol,,9))</f>
        <v>55871.571581702956</v>
      </c>
      <c r="N27" s="28">
        <f ca="1">SUMPRODUCT(INDEX(polEff,,10),INDEX(tlccEupol,,10))</f>
        <v>56072.466985184496</v>
      </c>
      <c r="O27" s="28">
        <f ca="1">SUMPRODUCT(INDEX(polEff,,11),INDEX(tlccEupol,,11))</f>
        <v>56291.728689573254</v>
      </c>
      <c r="P27" s="28">
        <f ca="1">SUMPRODUCT(INDEX(polEff,,12),INDEX(tlccEupol,,12))</f>
        <v>56530.751819633151</v>
      </c>
      <c r="Q27" s="28">
        <f ca="1">SUMPRODUCT(INDEX(polEff,,13),INDEX(tlccEupol,,13))</f>
        <v>56742.666763245972</v>
      </c>
      <c r="R27" s="28">
        <f ca="1">SUMPRODUCT(INDEX(polEff,,14),INDEX(tlccEupol,,14))</f>
        <v>56973.763636705</v>
      </c>
      <c r="S27" s="28">
        <f ca="1">SUMPRODUCT(INDEX(polEff,,15),INDEX(tlccEupol,,15))</f>
        <v>57177.289803090476</v>
      </c>
      <c r="T27" s="28">
        <f ca="1">SUMPRODUCT(INDEX(polEff,,16),INDEX(tlccEupol,,16))</f>
        <v>57399.445193851781</v>
      </c>
      <c r="U27" s="28">
        <f ca="1">SUMPRODUCT(INDEX(polEff,,17),INDEX(tlccEupol,,17))</f>
        <v>57641.751606990758</v>
      </c>
      <c r="V27" s="28">
        <f ca="1">SUMPRODUCT(INDEX(polEff,,18),INDEX(tlccEupol,,18))</f>
        <v>57857.24039671677</v>
      </c>
      <c r="W27" s="28">
        <f ca="1">SUMPRODUCT(INDEX(polEff,,19),INDEX(tlccEupol,,19))</f>
        <v>58092.359127850417</v>
      </c>
      <c r="X27" s="28">
        <f ca="1">SUMPRODUCT(INDEX(polEff,,20),INDEX(tlccEupol,,20))</f>
        <v>58300.229934820461</v>
      </c>
      <c r="Y27" s="28">
        <f ca="1">SUMPRODUCT(INDEX(polEff,,21),INDEX(tlccEupol,,21))</f>
        <v>58527.102800965731</v>
      </c>
      <c r="Z27" s="28">
        <f ca="1">SUMPRODUCT(INDEX(polEff,,22),INDEX(tlccEupol,,22))</f>
        <v>58774.579059241907</v>
      </c>
      <c r="AA27" s="28">
        <f ca="1">SUMPRODUCT(INDEX(polEff,,23),INDEX(tlccEupol,,23))</f>
        <v>58995.625840663713</v>
      </c>
      <c r="AB27" s="28">
        <f ca="1">SUMPRODUCT(INDEX(polEff,,24),INDEX(tlccEupol,,24))</f>
        <v>59236.886321745536</v>
      </c>
      <c r="AC27" s="28">
        <f ca="1">SUMPRODUCT(INDEX(polEff,,25),INDEX(tlccEupol,,25))</f>
        <v>59451.314384425714</v>
      </c>
      <c r="AD27" s="28">
        <f ca="1">SUMPRODUCT(INDEX(polEff,,26),INDEX(tlccEupol,,26))</f>
        <v>59685.431889181411</v>
      </c>
      <c r="AE27" s="28">
        <f ca="1">SUMPRODUCT(INDEX(polEff,,27),INDEX(tlccEupol,,27))</f>
        <v>59940.413349053488</v>
      </c>
      <c r="AF27" s="28">
        <f ca="1">SUMPRODUCT(INDEX(polEff,,28),INDEX(tlccEupol,,28))</f>
        <v>60169.725998685302</v>
      </c>
      <c r="AG27" s="28">
        <f ca="1">SUMPRODUCT(INDEX(polEff,,29),INDEX(tlccEupol,,29))</f>
        <v>60419.904940678854</v>
      </c>
      <c r="AH27" s="28">
        <f ca="1">SUMPRODUCT(INDEX(polEff,,30),INDEX(tlccEupol,,30))</f>
        <v>60644.013371913141</v>
      </c>
      <c r="AI27" s="28">
        <f ca="1">SUMPRODUCT(INDEX(polEff,,31),INDEX(tlccEupol,,31))</f>
        <v>60888.637322569506</v>
      </c>
      <c r="AJ27" s="28">
        <f ca="1">SUMPRODUCT(INDEX(polEff,,32),INDEX(tlccEupol,,32))</f>
        <v>61106.820366219341</v>
      </c>
      <c r="AK27" s="29">
        <f ca="1">SUMPRODUCT(INDEX(polEff,,33),INDEX(tlccEupol,,33))</f>
        <v>61345.168934601657</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12045.84735114214</v>
      </c>
      <c r="F29" s="24">
        <f ca="1">SUMPRODUCT(INDEX(polEff,,2),INDEX(tlccFupolElec,,2))</f>
        <v>11960.622865007741</v>
      </c>
      <c r="G29" s="24">
        <f ca="1">SUMPRODUCT(INDEX(polEff,,3),INDEX(tlccFupolElec,,3))</f>
        <v>11874.697179617224</v>
      </c>
      <c r="H29" s="24">
        <f ca="1">SUMPRODUCT(INDEX(polEff,,4),INDEX(tlccFupolElec,,4))</f>
        <v>11799.212537158552</v>
      </c>
      <c r="I29" s="24">
        <f ca="1">SUMPRODUCT(INDEX(polEff,,5),INDEX(tlccFupolElec,,5))</f>
        <v>11727.599026869097</v>
      </c>
      <c r="J29" s="24">
        <f ca="1">SUMPRODUCT(INDEX(polEff,,6),INDEX(tlccFupolElec,,6))</f>
        <v>11665.221047322544</v>
      </c>
      <c r="K29" s="24">
        <f ca="1">SUMPRODUCT(INDEX(polEff,,7),INDEX(tlccFupolElec,,7))</f>
        <v>11616.841468563676</v>
      </c>
      <c r="L29" s="24">
        <f ca="1">SUMPRODUCT(INDEX(polEff,,8),INDEX(tlccFupolElec,,8))</f>
        <v>11576.729876309597</v>
      </c>
      <c r="M29" s="24">
        <f ca="1">SUMPRODUCT(INDEX(polEff,,9),INDEX(tlccFupolElec,,9))</f>
        <v>11536.430563731494</v>
      </c>
      <c r="N29" s="24">
        <f ca="1">SUMPRODUCT(INDEX(polEff,,10),INDEX(tlccFupolElec,,10))</f>
        <v>11504.183650640025</v>
      </c>
      <c r="O29" s="24">
        <f ca="1">SUMPRODUCT(INDEX(polEff,,11),INDEX(tlccFupolElec,,11))</f>
        <v>11481.96816554237</v>
      </c>
      <c r="P29" s="24">
        <f ca="1">SUMPRODUCT(INDEX(polEff,,12),INDEX(tlccFupolElec,,12))</f>
        <v>11465.703471180241</v>
      </c>
      <c r="Q29" s="24">
        <f ca="1">SUMPRODUCT(INDEX(polEff,,13),INDEX(tlccFupolElec,,13))</f>
        <v>11452.014640229623</v>
      </c>
      <c r="R29" s="24">
        <f ca="1">SUMPRODUCT(INDEX(polEff,,14),INDEX(tlccFupolElec,,14))</f>
        <v>11441.914479074101</v>
      </c>
      <c r="S29" s="24">
        <f ca="1">SUMPRODUCT(INDEX(polEff,,15),INDEX(tlccFupolElec,,15))</f>
        <v>11434.217296143577</v>
      </c>
      <c r="T29" s="24">
        <f ca="1">SUMPRODUCT(INDEX(polEff,,16),INDEX(tlccFupolElec,,16))</f>
        <v>11433.247070035739</v>
      </c>
      <c r="U29" s="24">
        <f ca="1">SUMPRODUCT(INDEX(polEff,,17),INDEX(tlccFupolElec,,17))</f>
        <v>11435.216698667406</v>
      </c>
      <c r="V29" s="24">
        <f ca="1">SUMPRODUCT(INDEX(polEff,,18),INDEX(tlccFupolElec,,18))</f>
        <v>11438.115662086386</v>
      </c>
      <c r="W29" s="24">
        <f ca="1">SUMPRODUCT(INDEX(polEff,,19),INDEX(tlccFupolElec,,19))</f>
        <v>11442.261581422094</v>
      </c>
      <c r="X29" s="24">
        <f ca="1">SUMPRODUCT(INDEX(polEff,,20),INDEX(tlccFupolElec,,20))</f>
        <v>11446.179430658774</v>
      </c>
      <c r="Y29" s="24">
        <f ca="1">SUMPRODUCT(INDEX(polEff,,21),INDEX(tlccFupolElec,,21))</f>
        <v>11449.425578224738</v>
      </c>
      <c r="Z29" s="24">
        <f ca="1">SUMPRODUCT(INDEX(polEff,,22),INDEX(tlccFupolElec,,22))</f>
        <v>11451.600956058423</v>
      </c>
      <c r="AA29" s="24">
        <f ca="1">SUMPRODUCT(INDEX(polEff,,23),INDEX(tlccFupolElec,,23))</f>
        <v>11453.034674858345</v>
      </c>
      <c r="AB29" s="24">
        <f ca="1">SUMPRODUCT(INDEX(polEff,,24),INDEX(tlccFupolElec,,24))</f>
        <v>11453.034674858345</v>
      </c>
      <c r="AC29" s="24">
        <f ca="1">SUMPRODUCT(INDEX(polEff,,25),INDEX(tlccFupolElec,,25))</f>
        <v>11453.034674858345</v>
      </c>
      <c r="AD29" s="24">
        <f ca="1">SUMPRODUCT(INDEX(polEff,,26),INDEX(tlccFupolElec,,26))</f>
        <v>11453.034674858345</v>
      </c>
      <c r="AE29" s="24">
        <f ca="1">SUMPRODUCT(INDEX(polEff,,27),INDEX(tlccFupolElec,,27))</f>
        <v>11453.034674858345</v>
      </c>
      <c r="AF29" s="24">
        <f ca="1">SUMPRODUCT(INDEX(polEff,,28),INDEX(tlccFupolElec,,28))</f>
        <v>11453.034674858345</v>
      </c>
      <c r="AG29" s="24">
        <f ca="1">SUMPRODUCT(INDEX(polEff,,29),INDEX(tlccFupolElec,,29))</f>
        <v>11453.034674858345</v>
      </c>
      <c r="AH29" s="24">
        <f ca="1">SUMPRODUCT(INDEX(polEff,,30),INDEX(tlccFupolElec,,30))</f>
        <v>11453.034674858345</v>
      </c>
      <c r="AI29" s="24">
        <f ca="1">SUMPRODUCT(INDEX(polEff,,31),INDEX(tlccFupolElec,,31))</f>
        <v>11453.034674858345</v>
      </c>
      <c r="AJ29" s="24">
        <f ca="1">SUMPRODUCT(INDEX(polEff,,32),INDEX(tlccFupolElec,,32))</f>
        <v>11453.034674858345</v>
      </c>
      <c r="AK29" s="26">
        <f ca="1">SUMPRODUCT(INDEX(polEff,,33),INDEX(tlccFupolElec,,33))</f>
        <v>11453.034674858345</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INDEX(_doName,1,1)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INDEX(_doName,1,2)</f>
        <v>EL 1: EL 1</v>
      </c>
      <c r="D33" s="16" t="s">
        <v>35</v>
      </c>
      <c r="E33" s="145">
        <v>0.105</v>
      </c>
      <c r="F33" s="17">
        <f t="array" ref="F33:AK33">$E$33</f>
        <v>0.105</v>
      </c>
      <c r="G33" s="17">
        <v>0.105</v>
      </c>
      <c r="H33" s="17">
        <v>0.105</v>
      </c>
      <c r="I33" s="17">
        <v>0.105</v>
      </c>
      <c r="J33" s="17">
        <v>0.105</v>
      </c>
      <c r="K33" s="17">
        <v>0.105</v>
      </c>
      <c r="L33" s="17">
        <v>0.105</v>
      </c>
      <c r="M33" s="17">
        <v>0.105</v>
      </c>
      <c r="N33" s="17">
        <v>0.105</v>
      </c>
      <c r="O33" s="17">
        <v>0.105</v>
      </c>
      <c r="P33" s="17">
        <v>0.105</v>
      </c>
      <c r="Q33" s="17">
        <v>0.105</v>
      </c>
      <c r="R33" s="17">
        <v>0.105</v>
      </c>
      <c r="S33" s="17">
        <v>0.105</v>
      </c>
      <c r="T33" s="17">
        <v>0.105</v>
      </c>
      <c r="U33" s="17">
        <v>0.105</v>
      </c>
      <c r="V33" s="17">
        <v>0.105</v>
      </c>
      <c r="W33" s="17">
        <v>0.105</v>
      </c>
      <c r="X33" s="17">
        <v>0.105</v>
      </c>
      <c r="Y33" s="17">
        <v>0.105</v>
      </c>
      <c r="Z33" s="17">
        <v>0.105</v>
      </c>
      <c r="AA33" s="17">
        <v>0.105</v>
      </c>
      <c r="AB33" s="17">
        <v>0.105</v>
      </c>
      <c r="AC33" s="17">
        <v>0.105</v>
      </c>
      <c r="AD33" s="17">
        <v>0.105</v>
      </c>
      <c r="AE33" s="17">
        <v>0.105</v>
      </c>
      <c r="AF33" s="17">
        <v>0.105</v>
      </c>
      <c r="AG33" s="17">
        <v>0.105</v>
      </c>
      <c r="AH33" s="17">
        <v>0.105</v>
      </c>
      <c r="AI33" s="17">
        <v>0.105</v>
      </c>
      <c r="AJ33" s="17">
        <v>0.105</v>
      </c>
      <c r="AK33" s="18">
        <v>0.105</v>
      </c>
      <c r="AL33" s="3"/>
    </row>
    <row r="34" spans="2:38">
      <c r="B34" s="3"/>
      <c r="C34" s="12" t="str">
        <f>"EL 2: " &amp; INDEX(_doName,1,3)</f>
        <v>EL 2: EL 2</v>
      </c>
      <c r="D34" s="16" t="s">
        <v>35</v>
      </c>
      <c r="E34" s="145">
        <v>2.9899999999999999E-2</v>
      </c>
      <c r="F34" s="17">
        <f t="array" ref="F34:AK34">$E$34</f>
        <v>2.9899999999999999E-2</v>
      </c>
      <c r="G34" s="17">
        <v>2.9899999999999999E-2</v>
      </c>
      <c r="H34" s="17">
        <v>2.9899999999999999E-2</v>
      </c>
      <c r="I34" s="17">
        <v>2.9899999999999999E-2</v>
      </c>
      <c r="J34" s="17">
        <v>2.9899999999999999E-2</v>
      </c>
      <c r="K34" s="17">
        <v>2.9899999999999999E-2</v>
      </c>
      <c r="L34" s="17">
        <v>2.9899999999999999E-2</v>
      </c>
      <c r="M34" s="17">
        <v>2.9899999999999999E-2</v>
      </c>
      <c r="N34" s="17">
        <v>2.9899999999999999E-2</v>
      </c>
      <c r="O34" s="17">
        <v>2.9899999999999999E-2</v>
      </c>
      <c r="P34" s="17">
        <v>2.9899999999999999E-2</v>
      </c>
      <c r="Q34" s="17">
        <v>2.9899999999999999E-2</v>
      </c>
      <c r="R34" s="17">
        <v>2.9899999999999999E-2</v>
      </c>
      <c r="S34" s="17">
        <v>2.9899999999999999E-2</v>
      </c>
      <c r="T34" s="17">
        <v>2.9899999999999999E-2</v>
      </c>
      <c r="U34" s="17">
        <v>2.9899999999999999E-2</v>
      </c>
      <c r="V34" s="17">
        <v>2.9899999999999999E-2</v>
      </c>
      <c r="W34" s="17">
        <v>2.9899999999999999E-2</v>
      </c>
      <c r="X34" s="17">
        <v>2.9899999999999999E-2</v>
      </c>
      <c r="Y34" s="17">
        <v>2.9899999999999999E-2</v>
      </c>
      <c r="Z34" s="17">
        <v>2.9899999999999999E-2</v>
      </c>
      <c r="AA34" s="17">
        <v>2.9899999999999999E-2</v>
      </c>
      <c r="AB34" s="17">
        <v>2.9899999999999999E-2</v>
      </c>
      <c r="AC34" s="17">
        <v>2.9899999999999999E-2</v>
      </c>
      <c r="AD34" s="17">
        <v>2.9899999999999999E-2</v>
      </c>
      <c r="AE34" s="17">
        <v>2.9899999999999999E-2</v>
      </c>
      <c r="AF34" s="17">
        <v>2.9899999999999999E-2</v>
      </c>
      <c r="AG34" s="17">
        <v>2.9899999999999999E-2</v>
      </c>
      <c r="AH34" s="17">
        <v>2.9899999999999999E-2</v>
      </c>
      <c r="AI34" s="17">
        <v>2.9899999999999999E-2</v>
      </c>
      <c r="AJ34" s="17">
        <v>2.9899999999999999E-2</v>
      </c>
      <c r="AK34" s="18">
        <v>2.9899999999999999E-2</v>
      </c>
      <c r="AL34" s="3"/>
    </row>
    <row r="35" spans="2:38">
      <c r="B35" s="3"/>
      <c r="C35" s="12" t="str">
        <f>"EL 3: " &amp; INDEX(_doName,1,4)</f>
        <v>EL 3: EL 3</v>
      </c>
      <c r="D35" s="16" t="s">
        <v>35</v>
      </c>
      <c r="E35" s="145">
        <v>3.09E-2</v>
      </c>
      <c r="F35" s="17">
        <f t="array" ref="F35:AK35">$E$35</f>
        <v>3.09E-2</v>
      </c>
      <c r="G35" s="17">
        <v>3.09E-2</v>
      </c>
      <c r="H35" s="17">
        <v>3.09E-2</v>
      </c>
      <c r="I35" s="17">
        <v>3.09E-2</v>
      </c>
      <c r="J35" s="17">
        <v>3.09E-2</v>
      </c>
      <c r="K35" s="17">
        <v>3.09E-2</v>
      </c>
      <c r="L35" s="17">
        <v>3.09E-2</v>
      </c>
      <c r="M35" s="17">
        <v>3.09E-2</v>
      </c>
      <c r="N35" s="17">
        <v>3.09E-2</v>
      </c>
      <c r="O35" s="17">
        <v>3.09E-2</v>
      </c>
      <c r="P35" s="17">
        <v>3.09E-2</v>
      </c>
      <c r="Q35" s="17">
        <v>3.09E-2</v>
      </c>
      <c r="R35" s="17">
        <v>3.09E-2</v>
      </c>
      <c r="S35" s="17">
        <v>3.09E-2</v>
      </c>
      <c r="T35" s="17">
        <v>3.09E-2</v>
      </c>
      <c r="U35" s="17">
        <v>3.09E-2</v>
      </c>
      <c r="V35" s="17">
        <v>3.09E-2</v>
      </c>
      <c r="W35" s="17">
        <v>3.09E-2</v>
      </c>
      <c r="X35" s="17">
        <v>3.09E-2</v>
      </c>
      <c r="Y35" s="17">
        <v>3.09E-2</v>
      </c>
      <c r="Z35" s="17">
        <v>3.09E-2</v>
      </c>
      <c r="AA35" s="17">
        <v>3.09E-2</v>
      </c>
      <c r="AB35" s="17">
        <v>3.09E-2</v>
      </c>
      <c r="AC35" s="17">
        <v>3.09E-2</v>
      </c>
      <c r="AD35" s="17">
        <v>3.09E-2</v>
      </c>
      <c r="AE35" s="17">
        <v>3.09E-2</v>
      </c>
      <c r="AF35" s="17">
        <v>3.09E-2</v>
      </c>
      <c r="AG35" s="17">
        <v>3.09E-2</v>
      </c>
      <c r="AH35" s="17">
        <v>3.09E-2</v>
      </c>
      <c r="AI35" s="17">
        <v>3.09E-2</v>
      </c>
      <c r="AJ35" s="17">
        <v>3.09E-2</v>
      </c>
      <c r="AK35" s="18">
        <v>3.09E-2</v>
      </c>
      <c r="AL35" s="3"/>
    </row>
    <row r="36" spans="2:38">
      <c r="B36" s="3"/>
      <c r="C36" s="12" t="str">
        <f>"EL 4: " &amp; INDEX(_doName,1,5)</f>
        <v>EL 4: EL 4</v>
      </c>
      <c r="D36" s="16" t="s">
        <v>35</v>
      </c>
      <c r="E36" s="145">
        <v>0.32500000000000001</v>
      </c>
      <c r="F36" s="17">
        <f t="array" ref="F36:AK36">$E$36</f>
        <v>0.32500000000000001</v>
      </c>
      <c r="G36" s="17">
        <v>0.32500000000000001</v>
      </c>
      <c r="H36" s="17">
        <v>0.32500000000000001</v>
      </c>
      <c r="I36" s="17">
        <v>0.32500000000000001</v>
      </c>
      <c r="J36" s="17">
        <v>0.32500000000000001</v>
      </c>
      <c r="K36" s="17">
        <v>0.32500000000000001</v>
      </c>
      <c r="L36" s="17">
        <v>0.32500000000000001</v>
      </c>
      <c r="M36" s="17">
        <v>0.32500000000000001</v>
      </c>
      <c r="N36" s="17">
        <v>0.32500000000000001</v>
      </c>
      <c r="O36" s="17">
        <v>0.32500000000000001</v>
      </c>
      <c r="P36" s="17">
        <v>0.32500000000000001</v>
      </c>
      <c r="Q36" s="17">
        <v>0.32500000000000001</v>
      </c>
      <c r="R36" s="17">
        <v>0.32500000000000001</v>
      </c>
      <c r="S36" s="17">
        <v>0.32500000000000001</v>
      </c>
      <c r="T36" s="17">
        <v>0.32500000000000001</v>
      </c>
      <c r="U36" s="17">
        <v>0.32500000000000001</v>
      </c>
      <c r="V36" s="17">
        <v>0.32500000000000001</v>
      </c>
      <c r="W36" s="17">
        <v>0.32500000000000001</v>
      </c>
      <c r="X36" s="17">
        <v>0.32500000000000001</v>
      </c>
      <c r="Y36" s="17">
        <v>0.32500000000000001</v>
      </c>
      <c r="Z36" s="17">
        <v>0.32500000000000001</v>
      </c>
      <c r="AA36" s="17">
        <v>0.32500000000000001</v>
      </c>
      <c r="AB36" s="17">
        <v>0.32500000000000001</v>
      </c>
      <c r="AC36" s="17">
        <v>0.32500000000000001</v>
      </c>
      <c r="AD36" s="17">
        <v>0.32500000000000001</v>
      </c>
      <c r="AE36" s="17">
        <v>0.32500000000000001</v>
      </c>
      <c r="AF36" s="17">
        <v>0.32500000000000001</v>
      </c>
      <c r="AG36" s="17">
        <v>0.32500000000000001</v>
      </c>
      <c r="AH36" s="17">
        <v>0.32500000000000001</v>
      </c>
      <c r="AI36" s="17">
        <v>0.32500000000000001</v>
      </c>
      <c r="AJ36" s="17">
        <v>0.32500000000000001</v>
      </c>
      <c r="AK36" s="18">
        <v>0.32500000000000001</v>
      </c>
      <c r="AL36" s="3"/>
    </row>
    <row r="37" spans="2:38">
      <c r="B37" s="3"/>
      <c r="C37" s="12" t="str">
        <f>"EL 5: " &amp; INDEX(_doName,1,6)</f>
        <v>EL 5: EL 5</v>
      </c>
      <c r="D37" s="16" t="s">
        <v>35</v>
      </c>
      <c r="E37" s="145">
        <v>0.18010000000000001</v>
      </c>
      <c r="F37" s="17">
        <f t="array" ref="F37:AK37">$E$37</f>
        <v>0.18010000000000001</v>
      </c>
      <c r="G37" s="17">
        <v>0.18010000000000001</v>
      </c>
      <c r="H37" s="17">
        <v>0.18010000000000001</v>
      </c>
      <c r="I37" s="17">
        <v>0.18010000000000001</v>
      </c>
      <c r="J37" s="17">
        <v>0.18010000000000001</v>
      </c>
      <c r="K37" s="17">
        <v>0.18010000000000001</v>
      </c>
      <c r="L37" s="17">
        <v>0.18010000000000001</v>
      </c>
      <c r="M37" s="17">
        <v>0.18010000000000001</v>
      </c>
      <c r="N37" s="17">
        <v>0.18010000000000001</v>
      </c>
      <c r="O37" s="17">
        <v>0.18010000000000001</v>
      </c>
      <c r="P37" s="17">
        <v>0.18010000000000001</v>
      </c>
      <c r="Q37" s="17">
        <v>0.18010000000000001</v>
      </c>
      <c r="R37" s="17">
        <v>0.18010000000000001</v>
      </c>
      <c r="S37" s="17">
        <v>0.18010000000000001</v>
      </c>
      <c r="T37" s="17">
        <v>0.18010000000000001</v>
      </c>
      <c r="U37" s="17">
        <v>0.18010000000000001</v>
      </c>
      <c r="V37" s="17">
        <v>0.18010000000000001</v>
      </c>
      <c r="W37" s="17">
        <v>0.18010000000000001</v>
      </c>
      <c r="X37" s="17">
        <v>0.18010000000000001</v>
      </c>
      <c r="Y37" s="17">
        <v>0.18010000000000001</v>
      </c>
      <c r="Z37" s="17">
        <v>0.18010000000000001</v>
      </c>
      <c r="AA37" s="17">
        <v>0.18010000000000001</v>
      </c>
      <c r="AB37" s="17">
        <v>0.18010000000000001</v>
      </c>
      <c r="AC37" s="17">
        <v>0.18010000000000001</v>
      </c>
      <c r="AD37" s="17">
        <v>0.18010000000000001</v>
      </c>
      <c r="AE37" s="17">
        <v>0.18010000000000001</v>
      </c>
      <c r="AF37" s="17">
        <v>0.18010000000000001</v>
      </c>
      <c r="AG37" s="17">
        <v>0.18010000000000001</v>
      </c>
      <c r="AH37" s="17">
        <v>0.18010000000000001</v>
      </c>
      <c r="AI37" s="17">
        <v>0.18010000000000001</v>
      </c>
      <c r="AJ37" s="17">
        <v>0.18010000000000001</v>
      </c>
      <c r="AK37" s="18">
        <v>0.18010000000000001</v>
      </c>
      <c r="AL37" s="3"/>
    </row>
    <row r="38" spans="2:38">
      <c r="B38" s="3"/>
      <c r="C38" s="4" t="str">
        <f>"EL 6: " &amp; INDEX(_doName,1,7)</f>
        <v>EL 6: EL 6</v>
      </c>
      <c r="D38" s="5" t="s">
        <v>35</v>
      </c>
      <c r="E38" s="146">
        <v>0.32909999999999995</v>
      </c>
      <c r="F38" s="19">
        <f t="array" ref="F38:AK38">$E$38</f>
        <v>0.32909999999999995</v>
      </c>
      <c r="G38" s="19">
        <v>0.32909999999999995</v>
      </c>
      <c r="H38" s="19">
        <v>0.32909999999999995</v>
      </c>
      <c r="I38" s="19">
        <v>0.32909999999999995</v>
      </c>
      <c r="J38" s="19">
        <v>0.32909999999999995</v>
      </c>
      <c r="K38" s="19">
        <v>0.32909999999999995</v>
      </c>
      <c r="L38" s="19">
        <v>0.32909999999999995</v>
      </c>
      <c r="M38" s="19">
        <v>0.32909999999999995</v>
      </c>
      <c r="N38" s="19">
        <v>0.32909999999999995</v>
      </c>
      <c r="O38" s="19">
        <v>0.32909999999999995</v>
      </c>
      <c r="P38" s="19">
        <v>0.32909999999999995</v>
      </c>
      <c r="Q38" s="19">
        <v>0.32909999999999995</v>
      </c>
      <c r="R38" s="19">
        <v>0.32909999999999995</v>
      </c>
      <c r="S38" s="19">
        <v>0.32909999999999995</v>
      </c>
      <c r="T38" s="19">
        <v>0.32909999999999995</v>
      </c>
      <c r="U38" s="19">
        <v>0.32909999999999995</v>
      </c>
      <c r="V38" s="19">
        <v>0.32909999999999995</v>
      </c>
      <c r="W38" s="19">
        <v>0.32909999999999995</v>
      </c>
      <c r="X38" s="19">
        <v>0.32909999999999995</v>
      </c>
      <c r="Y38" s="19">
        <v>0.32909999999999995</v>
      </c>
      <c r="Z38" s="19">
        <v>0.32909999999999995</v>
      </c>
      <c r="AA38" s="19">
        <v>0.32909999999999995</v>
      </c>
      <c r="AB38" s="19">
        <v>0.32909999999999995</v>
      </c>
      <c r="AC38" s="19">
        <v>0.32909999999999995</v>
      </c>
      <c r="AD38" s="19">
        <v>0.32909999999999995</v>
      </c>
      <c r="AE38" s="19">
        <v>0.32909999999999995</v>
      </c>
      <c r="AF38" s="19">
        <v>0.32909999999999995</v>
      </c>
      <c r="AG38" s="19">
        <v>0.32909999999999995</v>
      </c>
      <c r="AH38" s="19">
        <v>0.32909999999999995</v>
      </c>
      <c r="AI38" s="19">
        <v>0.32909999999999995</v>
      </c>
      <c r="AJ38" s="19">
        <v>0.32909999999999995</v>
      </c>
      <c r="AK38" s="20">
        <v>0.32909999999999995</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INDEX(_doName,1,1)</f>
        <v>EL 0: EL 0</v>
      </c>
      <c r="D41" s="16" t="s">
        <v>35</v>
      </c>
      <c r="E41" s="145">
        <f>INDEX(bcAxH,1)</f>
        <v>4.0300000000000002E-2</v>
      </c>
      <c r="F41" s="17">
        <f t="array" ref="F41:AK41">$E$41</f>
        <v>4.0300000000000002E-2</v>
      </c>
      <c r="G41" s="17">
        <v>4.0300000000000002E-2</v>
      </c>
      <c r="H41" s="17">
        <v>4.0300000000000002E-2</v>
      </c>
      <c r="I41" s="17">
        <v>4.0300000000000002E-2</v>
      </c>
      <c r="J41" s="17">
        <v>4.0300000000000002E-2</v>
      </c>
      <c r="K41" s="17">
        <v>4.0300000000000002E-2</v>
      </c>
      <c r="L41" s="17">
        <v>4.0300000000000002E-2</v>
      </c>
      <c r="M41" s="17">
        <v>4.0300000000000002E-2</v>
      </c>
      <c r="N41" s="17">
        <v>4.0300000000000002E-2</v>
      </c>
      <c r="O41" s="17">
        <v>4.0300000000000002E-2</v>
      </c>
      <c r="P41" s="17">
        <v>4.0300000000000002E-2</v>
      </c>
      <c r="Q41" s="17">
        <v>4.0300000000000002E-2</v>
      </c>
      <c r="R41" s="17">
        <v>4.0300000000000002E-2</v>
      </c>
      <c r="S41" s="17">
        <v>4.0300000000000002E-2</v>
      </c>
      <c r="T41" s="17">
        <v>4.0300000000000002E-2</v>
      </c>
      <c r="U41" s="17">
        <v>4.0300000000000002E-2</v>
      </c>
      <c r="V41" s="17">
        <v>4.0300000000000002E-2</v>
      </c>
      <c r="W41" s="17">
        <v>4.0300000000000002E-2</v>
      </c>
      <c r="X41" s="17">
        <v>4.0300000000000002E-2</v>
      </c>
      <c r="Y41" s="17">
        <v>4.0300000000000002E-2</v>
      </c>
      <c r="Z41" s="17">
        <v>4.0300000000000002E-2</v>
      </c>
      <c r="AA41" s="17">
        <v>4.0300000000000002E-2</v>
      </c>
      <c r="AB41" s="17">
        <v>4.0300000000000002E-2</v>
      </c>
      <c r="AC41" s="17">
        <v>4.0300000000000002E-2</v>
      </c>
      <c r="AD41" s="17">
        <v>4.0300000000000002E-2</v>
      </c>
      <c r="AE41" s="17">
        <v>4.0300000000000002E-2</v>
      </c>
      <c r="AF41" s="17">
        <v>4.0300000000000002E-2</v>
      </c>
      <c r="AG41" s="17">
        <v>4.0300000000000002E-2</v>
      </c>
      <c r="AH41" s="17">
        <v>4.0300000000000002E-2</v>
      </c>
      <c r="AI41" s="17">
        <v>4.0300000000000002E-2</v>
      </c>
      <c r="AJ41" s="17">
        <v>4.0300000000000002E-2</v>
      </c>
      <c r="AK41" s="18">
        <v>4.0300000000000002E-2</v>
      </c>
      <c r="AL41" s="3"/>
    </row>
    <row r="42" spans="2:38">
      <c r="B42" s="3"/>
      <c r="C42" s="12" t="str">
        <f>"EL 1: " &amp; INDEX(_doName,1,2)</f>
        <v>EL 1: EL 1</v>
      </c>
      <c r="D42" s="16" t="s">
        <v>35</v>
      </c>
      <c r="E42" s="145">
        <f>INDEX(bcAxH,2)</f>
        <v>6.4699999999999994E-2</v>
      </c>
      <c r="F42" s="17">
        <f t="array" ref="F42:AK42">$E$42</f>
        <v>6.4699999999999994E-2</v>
      </c>
      <c r="G42" s="17">
        <v>6.4699999999999994E-2</v>
      </c>
      <c r="H42" s="17">
        <v>6.4699999999999994E-2</v>
      </c>
      <c r="I42" s="17">
        <v>6.4699999999999994E-2</v>
      </c>
      <c r="J42" s="17">
        <v>6.4699999999999994E-2</v>
      </c>
      <c r="K42" s="17">
        <v>6.4699999999999994E-2</v>
      </c>
      <c r="L42" s="17">
        <v>6.4699999999999994E-2</v>
      </c>
      <c r="M42" s="17">
        <v>6.4699999999999994E-2</v>
      </c>
      <c r="N42" s="17">
        <v>6.4699999999999994E-2</v>
      </c>
      <c r="O42" s="17">
        <v>6.4699999999999994E-2</v>
      </c>
      <c r="P42" s="17">
        <v>6.4699999999999994E-2</v>
      </c>
      <c r="Q42" s="17">
        <v>6.4699999999999994E-2</v>
      </c>
      <c r="R42" s="17">
        <v>6.4699999999999994E-2</v>
      </c>
      <c r="S42" s="17">
        <v>6.4699999999999994E-2</v>
      </c>
      <c r="T42" s="17">
        <v>6.4699999999999994E-2</v>
      </c>
      <c r="U42" s="17">
        <v>6.4699999999999994E-2</v>
      </c>
      <c r="V42" s="17">
        <v>6.4699999999999994E-2</v>
      </c>
      <c r="W42" s="17">
        <v>6.4699999999999994E-2</v>
      </c>
      <c r="X42" s="17">
        <v>6.4699999999999994E-2</v>
      </c>
      <c r="Y42" s="17">
        <v>6.4699999999999994E-2</v>
      </c>
      <c r="Z42" s="17">
        <v>6.4699999999999994E-2</v>
      </c>
      <c r="AA42" s="17">
        <v>6.4699999999999994E-2</v>
      </c>
      <c r="AB42" s="17">
        <v>6.4699999999999994E-2</v>
      </c>
      <c r="AC42" s="17">
        <v>6.4699999999999994E-2</v>
      </c>
      <c r="AD42" s="17">
        <v>6.4699999999999994E-2</v>
      </c>
      <c r="AE42" s="17">
        <v>6.4699999999999994E-2</v>
      </c>
      <c r="AF42" s="17">
        <v>6.4699999999999994E-2</v>
      </c>
      <c r="AG42" s="17">
        <v>6.4699999999999994E-2</v>
      </c>
      <c r="AH42" s="17">
        <v>6.4699999999999994E-2</v>
      </c>
      <c r="AI42" s="17">
        <v>6.4699999999999994E-2</v>
      </c>
      <c r="AJ42" s="17">
        <v>6.4699999999999994E-2</v>
      </c>
      <c r="AK42" s="18">
        <v>6.4699999999999994E-2</v>
      </c>
      <c r="AL42" s="3"/>
    </row>
    <row r="43" spans="2:38">
      <c r="B43" s="3"/>
      <c r="C43" s="12" t="str">
        <f>"EL 2: " &amp; INDEX(_doName,1,3)</f>
        <v>EL 2: EL 2</v>
      </c>
      <c r="D43" s="16" t="s">
        <v>35</v>
      </c>
      <c r="E43" s="145">
        <f>INDEX(bcAxH,3)</f>
        <v>2.9899999999999999E-2</v>
      </c>
      <c r="F43" s="17">
        <f t="array" ref="F43:AK43">$E$43</f>
        <v>2.9899999999999999E-2</v>
      </c>
      <c r="G43" s="17">
        <v>2.9899999999999999E-2</v>
      </c>
      <c r="H43" s="17">
        <v>2.9899999999999999E-2</v>
      </c>
      <c r="I43" s="17">
        <v>2.9899999999999999E-2</v>
      </c>
      <c r="J43" s="17">
        <v>2.9899999999999999E-2</v>
      </c>
      <c r="K43" s="17">
        <v>2.9899999999999999E-2</v>
      </c>
      <c r="L43" s="17">
        <v>2.9899999999999999E-2</v>
      </c>
      <c r="M43" s="17">
        <v>2.9899999999999999E-2</v>
      </c>
      <c r="N43" s="17">
        <v>2.9899999999999999E-2</v>
      </c>
      <c r="O43" s="17">
        <v>2.9899999999999999E-2</v>
      </c>
      <c r="P43" s="17">
        <v>2.9899999999999999E-2</v>
      </c>
      <c r="Q43" s="17">
        <v>2.9899999999999999E-2</v>
      </c>
      <c r="R43" s="17">
        <v>2.9899999999999999E-2</v>
      </c>
      <c r="S43" s="17">
        <v>2.9899999999999999E-2</v>
      </c>
      <c r="T43" s="17">
        <v>2.9899999999999999E-2</v>
      </c>
      <c r="U43" s="17">
        <v>2.9899999999999999E-2</v>
      </c>
      <c r="V43" s="17">
        <v>2.9899999999999999E-2</v>
      </c>
      <c r="W43" s="17">
        <v>2.9899999999999999E-2</v>
      </c>
      <c r="X43" s="17">
        <v>2.9899999999999999E-2</v>
      </c>
      <c r="Y43" s="17">
        <v>2.9899999999999999E-2</v>
      </c>
      <c r="Z43" s="17">
        <v>2.9899999999999999E-2</v>
      </c>
      <c r="AA43" s="17">
        <v>2.9899999999999999E-2</v>
      </c>
      <c r="AB43" s="17">
        <v>2.9899999999999999E-2</v>
      </c>
      <c r="AC43" s="17">
        <v>2.9899999999999999E-2</v>
      </c>
      <c r="AD43" s="17">
        <v>2.9899999999999999E-2</v>
      </c>
      <c r="AE43" s="17">
        <v>2.9899999999999999E-2</v>
      </c>
      <c r="AF43" s="17">
        <v>2.9899999999999999E-2</v>
      </c>
      <c r="AG43" s="17">
        <v>2.9899999999999999E-2</v>
      </c>
      <c r="AH43" s="17">
        <v>2.9899999999999999E-2</v>
      </c>
      <c r="AI43" s="17">
        <v>2.9899999999999999E-2</v>
      </c>
      <c r="AJ43" s="17">
        <v>2.9899999999999999E-2</v>
      </c>
      <c r="AK43" s="18">
        <v>2.9899999999999999E-2</v>
      </c>
      <c r="AL43" s="3"/>
    </row>
    <row r="44" spans="2:38">
      <c r="B44" s="3"/>
      <c r="C44" s="12" t="str">
        <f>"EL 3: " &amp; INDEX(_doName,1,4)</f>
        <v>EL 3: EL 3</v>
      </c>
      <c r="D44" s="16" t="s">
        <v>35</v>
      </c>
      <c r="E44" s="145">
        <f>INDEX(bcAxH,4)</f>
        <v>3.09E-2</v>
      </c>
      <c r="F44" s="17">
        <f t="array" ref="F44:AK44">$E$44</f>
        <v>3.09E-2</v>
      </c>
      <c r="G44" s="17">
        <v>3.09E-2</v>
      </c>
      <c r="H44" s="17">
        <v>3.09E-2</v>
      </c>
      <c r="I44" s="17">
        <v>3.09E-2</v>
      </c>
      <c r="J44" s="17">
        <v>3.09E-2</v>
      </c>
      <c r="K44" s="17">
        <v>3.09E-2</v>
      </c>
      <c r="L44" s="17">
        <v>3.09E-2</v>
      </c>
      <c r="M44" s="17">
        <v>3.09E-2</v>
      </c>
      <c r="N44" s="17">
        <v>3.09E-2</v>
      </c>
      <c r="O44" s="17">
        <v>3.09E-2</v>
      </c>
      <c r="P44" s="17">
        <v>3.09E-2</v>
      </c>
      <c r="Q44" s="17">
        <v>3.09E-2</v>
      </c>
      <c r="R44" s="17">
        <v>3.09E-2</v>
      </c>
      <c r="S44" s="17">
        <v>3.09E-2</v>
      </c>
      <c r="T44" s="17">
        <v>3.09E-2</v>
      </c>
      <c r="U44" s="17">
        <v>3.09E-2</v>
      </c>
      <c r="V44" s="17">
        <v>3.09E-2</v>
      </c>
      <c r="W44" s="17">
        <v>3.09E-2</v>
      </c>
      <c r="X44" s="17">
        <v>3.09E-2</v>
      </c>
      <c r="Y44" s="17">
        <v>3.09E-2</v>
      </c>
      <c r="Z44" s="17">
        <v>3.09E-2</v>
      </c>
      <c r="AA44" s="17">
        <v>3.09E-2</v>
      </c>
      <c r="AB44" s="17">
        <v>3.09E-2</v>
      </c>
      <c r="AC44" s="17">
        <v>3.09E-2</v>
      </c>
      <c r="AD44" s="17">
        <v>3.09E-2</v>
      </c>
      <c r="AE44" s="17">
        <v>3.09E-2</v>
      </c>
      <c r="AF44" s="17">
        <v>3.09E-2</v>
      </c>
      <c r="AG44" s="17">
        <v>3.09E-2</v>
      </c>
      <c r="AH44" s="17">
        <v>3.09E-2</v>
      </c>
      <c r="AI44" s="17">
        <v>3.09E-2</v>
      </c>
      <c r="AJ44" s="17">
        <v>3.09E-2</v>
      </c>
      <c r="AK44" s="18">
        <v>3.09E-2</v>
      </c>
      <c r="AL44" s="3"/>
    </row>
    <row r="45" spans="2:38">
      <c r="B45" s="3"/>
      <c r="C45" s="12" t="str">
        <f>"EL 4: " &amp; INDEX(_doName,1,5)</f>
        <v>EL 4: EL 4</v>
      </c>
      <c r="D45" s="16" t="s">
        <v>35</v>
      </c>
      <c r="E45" s="145">
        <f>INDEX(bcAxH,5)</f>
        <v>0.32500000000000001</v>
      </c>
      <c r="F45" s="17">
        <f t="array" ref="F45:AK45">$E$45</f>
        <v>0.32500000000000001</v>
      </c>
      <c r="G45" s="17">
        <v>0.32500000000000001</v>
      </c>
      <c r="H45" s="17">
        <v>0.32500000000000001</v>
      </c>
      <c r="I45" s="17">
        <v>0.32500000000000001</v>
      </c>
      <c r="J45" s="17">
        <v>0.32500000000000001</v>
      </c>
      <c r="K45" s="17">
        <v>0.32500000000000001</v>
      </c>
      <c r="L45" s="17">
        <v>0.32500000000000001</v>
      </c>
      <c r="M45" s="17">
        <v>0.32500000000000001</v>
      </c>
      <c r="N45" s="17">
        <v>0.32500000000000001</v>
      </c>
      <c r="O45" s="17">
        <v>0.32500000000000001</v>
      </c>
      <c r="P45" s="17">
        <v>0.32500000000000001</v>
      </c>
      <c r="Q45" s="17">
        <v>0.32500000000000001</v>
      </c>
      <c r="R45" s="17">
        <v>0.32500000000000001</v>
      </c>
      <c r="S45" s="17">
        <v>0.32500000000000001</v>
      </c>
      <c r="T45" s="17">
        <v>0.32500000000000001</v>
      </c>
      <c r="U45" s="17">
        <v>0.32500000000000001</v>
      </c>
      <c r="V45" s="17">
        <v>0.32500000000000001</v>
      </c>
      <c r="W45" s="17">
        <v>0.32500000000000001</v>
      </c>
      <c r="X45" s="17">
        <v>0.32500000000000001</v>
      </c>
      <c r="Y45" s="17">
        <v>0.32500000000000001</v>
      </c>
      <c r="Z45" s="17">
        <v>0.32500000000000001</v>
      </c>
      <c r="AA45" s="17">
        <v>0.32500000000000001</v>
      </c>
      <c r="AB45" s="17">
        <v>0.32500000000000001</v>
      </c>
      <c r="AC45" s="17">
        <v>0.32500000000000001</v>
      </c>
      <c r="AD45" s="17">
        <v>0.32500000000000001</v>
      </c>
      <c r="AE45" s="17">
        <v>0.32500000000000001</v>
      </c>
      <c r="AF45" s="17">
        <v>0.32500000000000001</v>
      </c>
      <c r="AG45" s="17">
        <v>0.32500000000000001</v>
      </c>
      <c r="AH45" s="17">
        <v>0.32500000000000001</v>
      </c>
      <c r="AI45" s="17">
        <v>0.32500000000000001</v>
      </c>
      <c r="AJ45" s="17">
        <v>0.32500000000000001</v>
      </c>
      <c r="AK45" s="18">
        <v>0.32500000000000001</v>
      </c>
      <c r="AL45" s="3"/>
    </row>
    <row r="46" spans="2:38">
      <c r="B46" s="3"/>
      <c r="C46" s="12" t="str">
        <f>"EL 5: " &amp; INDEX(_doName,1,6)</f>
        <v>EL 5: EL 5</v>
      </c>
      <c r="D46" s="16" t="s">
        <v>35</v>
      </c>
      <c r="E46" s="145">
        <f>INDEX(bcAxH,6)</f>
        <v>0.18010000000000001</v>
      </c>
      <c r="F46" s="17">
        <f t="array" ref="F46:AK46">$E$46</f>
        <v>0.18010000000000001</v>
      </c>
      <c r="G46" s="17">
        <v>0.18010000000000001</v>
      </c>
      <c r="H46" s="17">
        <v>0.18010000000000001</v>
      </c>
      <c r="I46" s="17">
        <v>0.18010000000000001</v>
      </c>
      <c r="J46" s="17">
        <v>0.18010000000000001</v>
      </c>
      <c r="K46" s="17">
        <v>0.18010000000000001</v>
      </c>
      <c r="L46" s="17">
        <v>0.18010000000000001</v>
      </c>
      <c r="M46" s="17">
        <v>0.18010000000000001</v>
      </c>
      <c r="N46" s="17">
        <v>0.18010000000000001</v>
      </c>
      <c r="O46" s="17">
        <v>0.18010000000000001</v>
      </c>
      <c r="P46" s="17">
        <v>0.18010000000000001</v>
      </c>
      <c r="Q46" s="17">
        <v>0.18010000000000001</v>
      </c>
      <c r="R46" s="17">
        <v>0.18010000000000001</v>
      </c>
      <c r="S46" s="17">
        <v>0.18010000000000001</v>
      </c>
      <c r="T46" s="17">
        <v>0.18010000000000001</v>
      </c>
      <c r="U46" s="17">
        <v>0.18010000000000001</v>
      </c>
      <c r="V46" s="17">
        <v>0.18010000000000001</v>
      </c>
      <c r="W46" s="17">
        <v>0.18010000000000001</v>
      </c>
      <c r="X46" s="17">
        <v>0.18010000000000001</v>
      </c>
      <c r="Y46" s="17">
        <v>0.18010000000000001</v>
      </c>
      <c r="Z46" s="17">
        <v>0.18010000000000001</v>
      </c>
      <c r="AA46" s="17">
        <v>0.18010000000000001</v>
      </c>
      <c r="AB46" s="17">
        <v>0.18010000000000001</v>
      </c>
      <c r="AC46" s="17">
        <v>0.18010000000000001</v>
      </c>
      <c r="AD46" s="17">
        <v>0.18010000000000001</v>
      </c>
      <c r="AE46" s="17">
        <v>0.18010000000000001</v>
      </c>
      <c r="AF46" s="17">
        <v>0.18010000000000001</v>
      </c>
      <c r="AG46" s="17">
        <v>0.18010000000000001</v>
      </c>
      <c r="AH46" s="17">
        <v>0.18010000000000001</v>
      </c>
      <c r="AI46" s="17">
        <v>0.18010000000000001</v>
      </c>
      <c r="AJ46" s="17">
        <v>0.18010000000000001</v>
      </c>
      <c r="AK46" s="18">
        <v>0.18010000000000001</v>
      </c>
      <c r="AL46" s="3"/>
    </row>
    <row r="47" spans="2:38">
      <c r="B47" s="3"/>
      <c r="C47" s="4" t="str">
        <f>"EL 6: " &amp; INDEX(_doName,1,7)</f>
        <v>EL 6: EL 6</v>
      </c>
      <c r="D47" s="5" t="s">
        <v>35</v>
      </c>
      <c r="E47" s="146">
        <f>INDEX(bcAxH,7)</f>
        <v>0.32909999999999995</v>
      </c>
      <c r="F47" s="19">
        <f t="array" ref="F47:AK47">$E$47</f>
        <v>0.32909999999999995</v>
      </c>
      <c r="G47" s="19">
        <v>0.32909999999999995</v>
      </c>
      <c r="H47" s="19">
        <v>0.32909999999999995</v>
      </c>
      <c r="I47" s="19">
        <v>0.32909999999999995</v>
      </c>
      <c r="J47" s="19">
        <v>0.32909999999999995</v>
      </c>
      <c r="K47" s="19">
        <v>0.32909999999999995</v>
      </c>
      <c r="L47" s="19">
        <v>0.32909999999999995</v>
      </c>
      <c r="M47" s="19">
        <v>0.32909999999999995</v>
      </c>
      <c r="N47" s="19">
        <v>0.32909999999999995</v>
      </c>
      <c r="O47" s="19">
        <v>0.32909999999999995</v>
      </c>
      <c r="P47" s="19">
        <v>0.32909999999999995</v>
      </c>
      <c r="Q47" s="19">
        <v>0.32909999999999995</v>
      </c>
      <c r="R47" s="19">
        <v>0.32909999999999995</v>
      </c>
      <c r="S47" s="19">
        <v>0.32909999999999995</v>
      </c>
      <c r="T47" s="19">
        <v>0.32909999999999995</v>
      </c>
      <c r="U47" s="19">
        <v>0.32909999999999995</v>
      </c>
      <c r="V47" s="19">
        <v>0.32909999999999995</v>
      </c>
      <c r="W47" s="19">
        <v>0.32909999999999995</v>
      </c>
      <c r="X47" s="19">
        <v>0.32909999999999995</v>
      </c>
      <c r="Y47" s="19">
        <v>0.32909999999999995</v>
      </c>
      <c r="Z47" s="19">
        <v>0.32909999999999995</v>
      </c>
      <c r="AA47" s="19">
        <v>0.32909999999999995</v>
      </c>
      <c r="AB47" s="19">
        <v>0.32909999999999995</v>
      </c>
      <c r="AC47" s="19">
        <v>0.32909999999999995</v>
      </c>
      <c r="AD47" s="19">
        <v>0.32909999999999995</v>
      </c>
      <c r="AE47" s="19">
        <v>0.32909999999999995</v>
      </c>
      <c r="AF47" s="19">
        <v>0.32909999999999995</v>
      </c>
      <c r="AG47" s="19">
        <v>0.32909999999999995</v>
      </c>
      <c r="AH47" s="19">
        <v>0.32909999999999995</v>
      </c>
      <c r="AI47" s="19">
        <v>0.32909999999999995</v>
      </c>
      <c r="AJ47" s="19">
        <v>0.32909999999999995</v>
      </c>
      <c r="AK47" s="20">
        <v>0.32909999999999995</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3115.8439259999996</v>
      </c>
      <c r="F50" s="28">
        <f ca="1"/>
        <v>3115.8439259999996</v>
      </c>
      <c r="G50" s="28">
        <f ca="1"/>
        <v>3115.8439259999996</v>
      </c>
      <c r="H50" s="28">
        <f ca="1"/>
        <v>3115.8439259999996</v>
      </c>
      <c r="I50" s="28">
        <f ca="1"/>
        <v>3115.8439259999996</v>
      </c>
      <c r="J50" s="28">
        <f ca="1"/>
        <v>3115.8439259999996</v>
      </c>
      <c r="K50" s="28">
        <f ca="1"/>
        <v>3115.8439259999996</v>
      </c>
      <c r="L50" s="28">
        <f ca="1"/>
        <v>3115.8439259999996</v>
      </c>
      <c r="M50" s="28">
        <f ca="1"/>
        <v>3115.8439259999996</v>
      </c>
      <c r="N50" s="28">
        <f ca="1"/>
        <v>3115.8439259999996</v>
      </c>
      <c r="O50" s="28">
        <f ca="1"/>
        <v>3115.8439259999996</v>
      </c>
      <c r="P50" s="28">
        <f ca="1"/>
        <v>3115.8439259999996</v>
      </c>
      <c r="Q50" s="28">
        <f ca="1"/>
        <v>3115.8439259999996</v>
      </c>
      <c r="R50" s="28">
        <f ca="1"/>
        <v>3115.8439259999996</v>
      </c>
      <c r="S50" s="28">
        <f ca="1"/>
        <v>3115.8439259999996</v>
      </c>
      <c r="T50" s="28">
        <f ca="1"/>
        <v>3115.8439259999996</v>
      </c>
      <c r="U50" s="28">
        <f ca="1"/>
        <v>3115.8439259999996</v>
      </c>
      <c r="V50" s="28">
        <f ca="1"/>
        <v>3115.8439259999996</v>
      </c>
      <c r="W50" s="28">
        <f ca="1"/>
        <v>3115.8439259999996</v>
      </c>
      <c r="X50" s="28">
        <f ca="1"/>
        <v>3115.8439259999996</v>
      </c>
      <c r="Y50" s="28">
        <f ca="1"/>
        <v>3115.8439259999996</v>
      </c>
      <c r="Z50" s="28">
        <f ca="1"/>
        <v>3115.8439259999996</v>
      </c>
      <c r="AA50" s="28">
        <f ca="1"/>
        <v>3115.8439259999996</v>
      </c>
      <c r="AB50" s="28">
        <f ca="1"/>
        <v>3115.8439259999996</v>
      </c>
      <c r="AC50" s="28">
        <f ca="1"/>
        <v>3115.8439259999996</v>
      </c>
      <c r="AD50" s="28">
        <f ca="1"/>
        <v>3115.8439259999996</v>
      </c>
      <c r="AE50" s="28">
        <f ca="1"/>
        <v>3115.8439259999996</v>
      </c>
      <c r="AF50" s="28">
        <f ca="1"/>
        <v>3115.8439259999996</v>
      </c>
      <c r="AG50" s="28">
        <f ca="1"/>
        <v>3115.8439259999996</v>
      </c>
      <c r="AH50" s="28">
        <f ca="1"/>
        <v>3115.8439259999996</v>
      </c>
      <c r="AI50" s="28">
        <f ca="1"/>
        <v>3115.8439259999996</v>
      </c>
      <c r="AJ50" s="28">
        <f ca="1"/>
        <v>3115.8439259999996</v>
      </c>
      <c r="AK50" s="29">
        <f ca="1"/>
        <v>3115.8439259999996</v>
      </c>
      <c r="AL50" s="3"/>
    </row>
    <row r="51" spans="2:38" hidden="1">
      <c r="B51" s="3"/>
      <c r="C51" s="12"/>
      <c r="D51" s="16"/>
      <c r="E51" s="141">
        <f t="array" aca="1" ref="E51:AK51" ca="1">tlccQubc1</f>
        <v>2844.7076429999997</v>
      </c>
      <c r="F51" s="28">
        <f ca="1"/>
        <v>2844.7076429999997</v>
      </c>
      <c r="G51" s="28">
        <f ca="1"/>
        <v>2844.7076429999997</v>
      </c>
      <c r="H51" s="28">
        <f ca="1"/>
        <v>2844.7076429999997</v>
      </c>
      <c r="I51" s="28">
        <f ca="1"/>
        <v>2844.7076429999997</v>
      </c>
      <c r="J51" s="28">
        <f ca="1"/>
        <v>2844.7076429999997</v>
      </c>
      <c r="K51" s="28">
        <f ca="1"/>
        <v>2844.7076429999997</v>
      </c>
      <c r="L51" s="28">
        <f ca="1"/>
        <v>2844.7076429999997</v>
      </c>
      <c r="M51" s="28">
        <f ca="1"/>
        <v>2844.7076429999997</v>
      </c>
      <c r="N51" s="28">
        <f ca="1"/>
        <v>2844.7076429999997</v>
      </c>
      <c r="O51" s="28">
        <f ca="1"/>
        <v>2844.7076429999997</v>
      </c>
      <c r="P51" s="28">
        <f ca="1"/>
        <v>2844.7076429999997</v>
      </c>
      <c r="Q51" s="28">
        <f ca="1"/>
        <v>2844.7076429999997</v>
      </c>
      <c r="R51" s="28">
        <f ca="1"/>
        <v>2844.7076429999997</v>
      </c>
      <c r="S51" s="28">
        <f ca="1"/>
        <v>2844.7076429999997</v>
      </c>
      <c r="T51" s="28">
        <f ca="1"/>
        <v>2844.7076429999997</v>
      </c>
      <c r="U51" s="28">
        <f ca="1"/>
        <v>2844.7076429999997</v>
      </c>
      <c r="V51" s="28">
        <f ca="1"/>
        <v>2844.7076429999997</v>
      </c>
      <c r="W51" s="28">
        <f ca="1"/>
        <v>2844.7076429999997</v>
      </c>
      <c r="X51" s="28">
        <f ca="1"/>
        <v>2844.7076429999997</v>
      </c>
      <c r="Y51" s="28">
        <f ca="1"/>
        <v>2844.7076429999997</v>
      </c>
      <c r="Z51" s="28">
        <f ca="1"/>
        <v>2844.7076429999997</v>
      </c>
      <c r="AA51" s="28">
        <f ca="1"/>
        <v>2844.7076429999997</v>
      </c>
      <c r="AB51" s="28">
        <f ca="1"/>
        <v>2844.7076429999997</v>
      </c>
      <c r="AC51" s="28">
        <f ca="1"/>
        <v>2844.7076429999997</v>
      </c>
      <c r="AD51" s="28">
        <f ca="1"/>
        <v>2844.7076429999997</v>
      </c>
      <c r="AE51" s="28">
        <f ca="1"/>
        <v>2844.7076429999997</v>
      </c>
      <c r="AF51" s="28">
        <f ca="1"/>
        <v>2844.7076429999997</v>
      </c>
      <c r="AG51" s="28">
        <f ca="1"/>
        <v>2844.7076429999997</v>
      </c>
      <c r="AH51" s="28">
        <f ca="1"/>
        <v>2844.7076429999997</v>
      </c>
      <c r="AI51" s="28">
        <f ca="1"/>
        <v>2844.7076429999997</v>
      </c>
      <c r="AJ51" s="28">
        <f ca="1"/>
        <v>2844.7076429999997</v>
      </c>
      <c r="AK51" s="29">
        <f ca="1"/>
        <v>2844.7076429999997</v>
      </c>
      <c r="AL51" s="3"/>
    </row>
    <row r="52" spans="2:38" hidden="1">
      <c r="B52" s="3"/>
      <c r="C52" s="12"/>
      <c r="D52" s="16"/>
      <c r="E52" s="141">
        <f t="array" aca="1" ref="E52:AK52" ca="1">tlccQubc2</f>
        <v>4118.9585079999997</v>
      </c>
      <c r="F52" s="28">
        <f ca="1"/>
        <v>4118.9585079999997</v>
      </c>
      <c r="G52" s="28">
        <f ca="1"/>
        <v>4118.9585079999997</v>
      </c>
      <c r="H52" s="28">
        <f ca="1"/>
        <v>4118.9585079999997</v>
      </c>
      <c r="I52" s="28">
        <f ca="1"/>
        <v>4118.9585079999997</v>
      </c>
      <c r="J52" s="28">
        <f ca="1"/>
        <v>4118.9585079999997</v>
      </c>
      <c r="K52" s="28">
        <f ca="1"/>
        <v>4118.9585079999997</v>
      </c>
      <c r="L52" s="28">
        <f ca="1"/>
        <v>4118.9585079999997</v>
      </c>
      <c r="M52" s="28">
        <f ca="1"/>
        <v>4118.9585079999997</v>
      </c>
      <c r="N52" s="28">
        <f ca="1"/>
        <v>4118.9585079999997</v>
      </c>
      <c r="O52" s="28">
        <f ca="1"/>
        <v>4118.9585079999997</v>
      </c>
      <c r="P52" s="28">
        <f ca="1"/>
        <v>4118.9585079999997</v>
      </c>
      <c r="Q52" s="28">
        <f ca="1"/>
        <v>4118.9585079999997</v>
      </c>
      <c r="R52" s="28">
        <f ca="1"/>
        <v>4118.9585079999997</v>
      </c>
      <c r="S52" s="28">
        <f ca="1"/>
        <v>4118.9585079999997</v>
      </c>
      <c r="T52" s="28">
        <f ca="1"/>
        <v>4118.9585079999997</v>
      </c>
      <c r="U52" s="28">
        <f ca="1"/>
        <v>4118.9585079999997</v>
      </c>
      <c r="V52" s="28">
        <f ca="1"/>
        <v>4118.9585079999997</v>
      </c>
      <c r="W52" s="28">
        <f ca="1"/>
        <v>4118.9585079999997</v>
      </c>
      <c r="X52" s="28">
        <f ca="1"/>
        <v>4118.9585079999997</v>
      </c>
      <c r="Y52" s="28">
        <f ca="1"/>
        <v>4118.9585079999997</v>
      </c>
      <c r="Z52" s="28">
        <f ca="1"/>
        <v>4118.9585079999997</v>
      </c>
      <c r="AA52" s="28">
        <f ca="1"/>
        <v>4118.9585079999997</v>
      </c>
      <c r="AB52" s="28">
        <f ca="1"/>
        <v>4118.9585079999997</v>
      </c>
      <c r="AC52" s="28">
        <f ca="1"/>
        <v>4118.9585079999997</v>
      </c>
      <c r="AD52" s="28">
        <f ca="1"/>
        <v>4118.9585079999997</v>
      </c>
      <c r="AE52" s="28">
        <f ca="1"/>
        <v>4118.9585079999997</v>
      </c>
      <c r="AF52" s="28">
        <f ca="1"/>
        <v>4118.9585079999997</v>
      </c>
      <c r="AG52" s="28">
        <f ca="1"/>
        <v>4118.9585079999997</v>
      </c>
      <c r="AH52" s="28">
        <f ca="1"/>
        <v>4118.9585079999997</v>
      </c>
      <c r="AI52" s="28">
        <f ca="1"/>
        <v>4118.9585079999997</v>
      </c>
      <c r="AJ52" s="28">
        <f ca="1"/>
        <v>4118.9585079999997</v>
      </c>
      <c r="AK52" s="29">
        <f ca="1"/>
        <v>4118.9585079999997</v>
      </c>
      <c r="AL52" s="3"/>
    </row>
    <row r="53" spans="2:38" hidden="1">
      <c r="B53" s="3"/>
      <c r="C53" s="12"/>
      <c r="D53" s="16"/>
      <c r="E53" s="141">
        <f t="array" aca="1" ref="E53:AK53" ca="1">tlccQubc3</f>
        <v>5736.9743870000002</v>
      </c>
      <c r="F53" s="28">
        <f ca="1"/>
        <v>5736.9743870000002</v>
      </c>
      <c r="G53" s="28">
        <f ca="1"/>
        <v>5736.9743870000002</v>
      </c>
      <c r="H53" s="28">
        <f ca="1"/>
        <v>5736.9743870000002</v>
      </c>
      <c r="I53" s="28">
        <f ca="1"/>
        <v>5736.9743870000002</v>
      </c>
      <c r="J53" s="28">
        <f ca="1"/>
        <v>5736.9743870000002</v>
      </c>
      <c r="K53" s="28">
        <f ca="1"/>
        <v>5736.9743870000002</v>
      </c>
      <c r="L53" s="28">
        <f ca="1"/>
        <v>5736.9743870000002</v>
      </c>
      <c r="M53" s="28">
        <f ca="1"/>
        <v>5736.9743870000002</v>
      </c>
      <c r="N53" s="28">
        <f ca="1"/>
        <v>5736.9743870000002</v>
      </c>
      <c r="O53" s="28">
        <f ca="1"/>
        <v>5736.9743870000002</v>
      </c>
      <c r="P53" s="28">
        <f ca="1"/>
        <v>5736.9743870000002</v>
      </c>
      <c r="Q53" s="28">
        <f ca="1"/>
        <v>5736.9743870000002</v>
      </c>
      <c r="R53" s="28">
        <f ca="1"/>
        <v>5736.9743870000002</v>
      </c>
      <c r="S53" s="28">
        <f ca="1"/>
        <v>5736.9743870000002</v>
      </c>
      <c r="T53" s="28">
        <f ca="1"/>
        <v>5736.9743870000002</v>
      </c>
      <c r="U53" s="28">
        <f ca="1"/>
        <v>5736.9743870000002</v>
      </c>
      <c r="V53" s="28">
        <f ca="1"/>
        <v>5736.9743870000002</v>
      </c>
      <c r="W53" s="28">
        <f ca="1"/>
        <v>5736.9743870000002</v>
      </c>
      <c r="X53" s="28">
        <f ca="1"/>
        <v>5736.9743870000002</v>
      </c>
      <c r="Y53" s="28">
        <f ca="1"/>
        <v>5736.9743870000002</v>
      </c>
      <c r="Z53" s="28">
        <f ca="1"/>
        <v>5736.9743870000002</v>
      </c>
      <c r="AA53" s="28">
        <f ca="1"/>
        <v>5736.9743870000002</v>
      </c>
      <c r="AB53" s="28">
        <f ca="1"/>
        <v>5736.9743870000002</v>
      </c>
      <c r="AC53" s="28">
        <f ca="1"/>
        <v>5736.9743870000002</v>
      </c>
      <c r="AD53" s="28">
        <f ca="1"/>
        <v>5736.9743870000002</v>
      </c>
      <c r="AE53" s="28">
        <f ca="1"/>
        <v>5736.9743870000002</v>
      </c>
      <c r="AF53" s="28">
        <f ca="1"/>
        <v>5736.9743870000002</v>
      </c>
      <c r="AG53" s="28">
        <f ca="1"/>
        <v>5736.9743870000002</v>
      </c>
      <c r="AH53" s="28">
        <f ca="1"/>
        <v>5736.9743870000002</v>
      </c>
      <c r="AI53" s="28">
        <f ca="1"/>
        <v>5736.9743870000002</v>
      </c>
      <c r="AJ53" s="28">
        <f ca="1"/>
        <v>5736.9743870000002</v>
      </c>
      <c r="AK53" s="29">
        <f ca="1"/>
        <v>5736.9743870000002</v>
      </c>
      <c r="AL53" s="3"/>
    </row>
    <row r="54" spans="2:38" hidden="1">
      <c r="B54" s="3"/>
      <c r="C54" s="12"/>
      <c r="D54" s="16"/>
      <c r="E54" s="141">
        <f t="array" aca="1" ref="E54:AK54" ca="1">tlccQubc4</f>
        <v>4467.2616740000003</v>
      </c>
      <c r="F54" s="28">
        <f ca="1"/>
        <v>4467.2616740000003</v>
      </c>
      <c r="G54" s="28">
        <f ca="1"/>
        <v>4467.2616740000003</v>
      </c>
      <c r="H54" s="28">
        <f ca="1"/>
        <v>4467.2616740000003</v>
      </c>
      <c r="I54" s="28">
        <f ca="1"/>
        <v>4467.2616740000003</v>
      </c>
      <c r="J54" s="28">
        <f ca="1"/>
        <v>4467.2616740000003</v>
      </c>
      <c r="K54" s="28">
        <f ca="1"/>
        <v>4467.2616740000003</v>
      </c>
      <c r="L54" s="28">
        <f ca="1"/>
        <v>4467.2616740000003</v>
      </c>
      <c r="M54" s="28">
        <f ca="1"/>
        <v>4467.2616740000003</v>
      </c>
      <c r="N54" s="28">
        <f ca="1"/>
        <v>4467.2616740000003</v>
      </c>
      <c r="O54" s="28">
        <f ca="1"/>
        <v>4467.2616740000003</v>
      </c>
      <c r="P54" s="28">
        <f ca="1"/>
        <v>4467.2616740000003</v>
      </c>
      <c r="Q54" s="28">
        <f ca="1"/>
        <v>4467.2616740000003</v>
      </c>
      <c r="R54" s="28">
        <f ca="1"/>
        <v>4467.2616740000003</v>
      </c>
      <c r="S54" s="28">
        <f ca="1"/>
        <v>4467.2616740000003</v>
      </c>
      <c r="T54" s="28">
        <f ca="1"/>
        <v>4467.2616740000003</v>
      </c>
      <c r="U54" s="28">
        <f ca="1"/>
        <v>4467.2616740000003</v>
      </c>
      <c r="V54" s="28">
        <f ca="1"/>
        <v>4467.2616740000003</v>
      </c>
      <c r="W54" s="28">
        <f ca="1"/>
        <v>4467.2616740000003</v>
      </c>
      <c r="X54" s="28">
        <f ca="1"/>
        <v>4467.2616740000003</v>
      </c>
      <c r="Y54" s="28">
        <f ca="1"/>
        <v>4467.2616740000003</v>
      </c>
      <c r="Z54" s="28">
        <f ca="1"/>
        <v>4467.2616740000003</v>
      </c>
      <c r="AA54" s="28">
        <f ca="1"/>
        <v>4467.2616740000003</v>
      </c>
      <c r="AB54" s="28">
        <f ca="1"/>
        <v>4467.2616740000003</v>
      </c>
      <c r="AC54" s="28">
        <f ca="1"/>
        <v>4467.2616740000003</v>
      </c>
      <c r="AD54" s="28">
        <f ca="1"/>
        <v>4467.2616740000003</v>
      </c>
      <c r="AE54" s="28">
        <f ca="1"/>
        <v>4467.2616740000003</v>
      </c>
      <c r="AF54" s="28">
        <f ca="1"/>
        <v>4467.2616740000003</v>
      </c>
      <c r="AG54" s="28">
        <f ca="1"/>
        <v>4467.2616740000003</v>
      </c>
      <c r="AH54" s="28">
        <f ca="1"/>
        <v>4467.2616740000003</v>
      </c>
      <c r="AI54" s="28">
        <f ca="1"/>
        <v>4467.2616740000003</v>
      </c>
      <c r="AJ54" s="28">
        <f ca="1"/>
        <v>4467.2616740000003</v>
      </c>
      <c r="AK54" s="29">
        <f ca="1"/>
        <v>4467.2616740000003</v>
      </c>
      <c r="AL54" s="3"/>
    </row>
    <row r="55" spans="2:38" hidden="1">
      <c r="B55" s="3"/>
      <c r="C55" s="12"/>
      <c r="D55" s="16"/>
      <c r="E55" s="141">
        <f t="array" aca="1" ref="E55:AK55" ca="1">tlccQubc5</f>
        <v>5251.4470199999996</v>
      </c>
      <c r="F55" s="28">
        <f ca="1"/>
        <v>5251.4470199999996</v>
      </c>
      <c r="G55" s="28">
        <f ca="1"/>
        <v>5251.4470199999996</v>
      </c>
      <c r="H55" s="28">
        <f ca="1"/>
        <v>5251.4470199999996</v>
      </c>
      <c r="I55" s="28">
        <f ca="1"/>
        <v>5251.4470199999996</v>
      </c>
      <c r="J55" s="28">
        <f ca="1"/>
        <v>5251.4470199999996</v>
      </c>
      <c r="K55" s="28">
        <f ca="1"/>
        <v>5251.4470199999996</v>
      </c>
      <c r="L55" s="28">
        <f ca="1"/>
        <v>5251.4470199999996</v>
      </c>
      <c r="M55" s="28">
        <f ca="1"/>
        <v>5251.4470199999996</v>
      </c>
      <c r="N55" s="28">
        <f ca="1"/>
        <v>5251.4470199999996</v>
      </c>
      <c r="O55" s="28">
        <f ca="1"/>
        <v>5251.4470199999996</v>
      </c>
      <c r="P55" s="28">
        <f ca="1"/>
        <v>5251.4470199999996</v>
      </c>
      <c r="Q55" s="28">
        <f ca="1"/>
        <v>5251.4470199999996</v>
      </c>
      <c r="R55" s="28">
        <f ca="1"/>
        <v>5251.4470199999996</v>
      </c>
      <c r="S55" s="28">
        <f ca="1"/>
        <v>5251.4470199999996</v>
      </c>
      <c r="T55" s="28">
        <f ca="1"/>
        <v>5251.4470199999996</v>
      </c>
      <c r="U55" s="28">
        <f ca="1"/>
        <v>5251.4470199999996</v>
      </c>
      <c r="V55" s="28">
        <f ca="1"/>
        <v>5251.4470199999996</v>
      </c>
      <c r="W55" s="28">
        <f ca="1"/>
        <v>5251.4470199999996</v>
      </c>
      <c r="X55" s="28">
        <f ca="1"/>
        <v>5251.4470199999996</v>
      </c>
      <c r="Y55" s="28">
        <f ca="1"/>
        <v>5251.4470199999996</v>
      </c>
      <c r="Z55" s="28">
        <f ca="1"/>
        <v>5251.4470199999996</v>
      </c>
      <c r="AA55" s="28">
        <f ca="1"/>
        <v>5251.4470199999996</v>
      </c>
      <c r="AB55" s="28">
        <f ca="1"/>
        <v>5251.4470199999996</v>
      </c>
      <c r="AC55" s="28">
        <f ca="1"/>
        <v>5251.4470199999996</v>
      </c>
      <c r="AD55" s="28">
        <f ca="1"/>
        <v>5251.4470199999996</v>
      </c>
      <c r="AE55" s="28">
        <f ca="1"/>
        <v>5251.4470199999996</v>
      </c>
      <c r="AF55" s="28">
        <f ca="1"/>
        <v>5251.4470199999996</v>
      </c>
      <c r="AG55" s="28">
        <f ca="1"/>
        <v>5251.4470199999996</v>
      </c>
      <c r="AH55" s="28">
        <f ca="1"/>
        <v>5251.4470199999996</v>
      </c>
      <c r="AI55" s="28">
        <f ca="1"/>
        <v>5251.4470199999996</v>
      </c>
      <c r="AJ55" s="28">
        <f ca="1"/>
        <v>5251.4470199999996</v>
      </c>
      <c r="AK55" s="29">
        <f ca="1"/>
        <v>5251.4470199999996</v>
      </c>
      <c r="AL55" s="3"/>
    </row>
    <row r="56" spans="2:38" hidden="1">
      <c r="B56" s="3"/>
      <c r="C56" s="4"/>
      <c r="D56" s="5"/>
      <c r="E56" s="147">
        <f t="array" aca="1" ref="E56:AK56" ca="1">tlccQubc6</f>
        <v>5343.6922789999999</v>
      </c>
      <c r="F56" s="35">
        <f ca="1"/>
        <v>5343.6922789999999</v>
      </c>
      <c r="G56" s="35">
        <f ca="1"/>
        <v>5343.6922789999999</v>
      </c>
      <c r="H56" s="35">
        <f ca="1"/>
        <v>5343.6922789999999</v>
      </c>
      <c r="I56" s="35">
        <f ca="1"/>
        <v>5343.6922789999999</v>
      </c>
      <c r="J56" s="35">
        <f ca="1"/>
        <v>5343.6922789999999</v>
      </c>
      <c r="K56" s="35">
        <f ca="1"/>
        <v>5343.6922789999999</v>
      </c>
      <c r="L56" s="35">
        <f ca="1"/>
        <v>5343.6922789999999</v>
      </c>
      <c r="M56" s="35">
        <f ca="1"/>
        <v>5343.6922789999999</v>
      </c>
      <c r="N56" s="35">
        <f ca="1"/>
        <v>5343.6922789999999</v>
      </c>
      <c r="O56" s="35">
        <f ca="1"/>
        <v>5343.6922789999999</v>
      </c>
      <c r="P56" s="35">
        <f ca="1"/>
        <v>5343.6922789999999</v>
      </c>
      <c r="Q56" s="35">
        <f ca="1"/>
        <v>5343.6922789999999</v>
      </c>
      <c r="R56" s="35">
        <f ca="1"/>
        <v>5343.6922789999999</v>
      </c>
      <c r="S56" s="35">
        <f ca="1"/>
        <v>5343.6922789999999</v>
      </c>
      <c r="T56" s="35">
        <f ca="1"/>
        <v>5343.6922789999999</v>
      </c>
      <c r="U56" s="35">
        <f ca="1"/>
        <v>5343.6922789999999</v>
      </c>
      <c r="V56" s="35">
        <f ca="1"/>
        <v>5343.6922789999999</v>
      </c>
      <c r="W56" s="35">
        <f ca="1"/>
        <v>5343.6922789999999</v>
      </c>
      <c r="X56" s="35">
        <f ca="1"/>
        <v>5343.6922789999999</v>
      </c>
      <c r="Y56" s="35">
        <f ca="1"/>
        <v>5343.6922789999999</v>
      </c>
      <c r="Z56" s="35">
        <f ca="1"/>
        <v>5343.6922789999999</v>
      </c>
      <c r="AA56" s="35">
        <f ca="1"/>
        <v>5343.6922789999999</v>
      </c>
      <c r="AB56" s="35">
        <f ca="1"/>
        <v>5343.6922789999999</v>
      </c>
      <c r="AC56" s="35">
        <f ca="1"/>
        <v>5343.6922789999999</v>
      </c>
      <c r="AD56" s="35">
        <f ca="1"/>
        <v>5343.6922789999999</v>
      </c>
      <c r="AE56" s="35">
        <f ca="1"/>
        <v>5343.6922789999999</v>
      </c>
      <c r="AF56" s="35">
        <f ca="1"/>
        <v>5343.6922789999999</v>
      </c>
      <c r="AG56" s="35">
        <f ca="1"/>
        <v>5343.6922789999999</v>
      </c>
      <c r="AH56" s="35">
        <f ca="1"/>
        <v>5343.6922789999999</v>
      </c>
      <c r="AI56" s="35">
        <f ca="1"/>
        <v>5343.6922789999999</v>
      </c>
      <c r="AJ56" s="35">
        <f ca="1"/>
        <v>5343.6922789999999</v>
      </c>
      <c r="AK56" s="36">
        <f ca="1"/>
        <v>5343.6922789999999</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44938.392401273697</v>
      </c>
      <c r="F59" s="28">
        <f ca="1"/>
        <v>45136.208313588759</v>
      </c>
      <c r="G59" s="28">
        <f ca="1"/>
        <v>45311.350265850786</v>
      </c>
      <c r="H59" s="28">
        <f ca="1"/>
        <v>45502.244063379447</v>
      </c>
      <c r="I59" s="28">
        <f ca="1"/>
        <v>45670.006775468304</v>
      </c>
      <c r="J59" s="28">
        <f ca="1"/>
        <v>45853.050964505004</v>
      </c>
      <c r="K59" s="28">
        <f ca="1"/>
        <v>46012.478361727903</v>
      </c>
      <c r="L59" s="28">
        <f ca="1"/>
        <v>46186.608733630288</v>
      </c>
      <c r="M59" s="28">
        <f ca="1"/>
        <v>46376.476275164976</v>
      </c>
      <c r="N59" s="28">
        <f ca="1"/>
        <v>46543.230505439795</v>
      </c>
      <c r="O59" s="28">
        <f ca="1"/>
        <v>46725.22977526109</v>
      </c>
      <c r="P59" s="28">
        <f ca="1"/>
        <v>46923.632114887914</v>
      </c>
      <c r="Q59" s="28">
        <f ca="1"/>
        <v>47099.533169334572</v>
      </c>
      <c r="R59" s="28">
        <f ca="1"/>
        <v>47291.356280190972</v>
      </c>
      <c r="S59" s="28">
        <f ca="1"/>
        <v>47460.294188317443</v>
      </c>
      <c r="T59" s="28">
        <f ca="1"/>
        <v>47644.695376925054</v>
      </c>
      <c r="U59" s="28">
        <f ca="1"/>
        <v>47845.82302202499</v>
      </c>
      <c r="V59" s="28">
        <f ca="1"/>
        <v>48024.690565238423</v>
      </c>
      <c r="W59" s="28">
        <f ca="1"/>
        <v>48219.852039089608</v>
      </c>
      <c r="X59" s="28">
        <f ca="1"/>
        <v>48392.396237772962</v>
      </c>
      <c r="Y59" s="28">
        <f ca="1"/>
        <v>48580.713190319715</v>
      </c>
      <c r="Z59" s="28">
        <f ca="1"/>
        <v>48786.132091125626</v>
      </c>
      <c r="AA59" s="28">
        <f ca="1"/>
        <v>48969.613073029257</v>
      </c>
      <c r="AB59" s="28">
        <f ca="1"/>
        <v>49169.872537015603</v>
      </c>
      <c r="AC59" s="28">
        <f ca="1"/>
        <v>49347.859618461385</v>
      </c>
      <c r="AD59" s="28">
        <f ca="1"/>
        <v>49542.190019370646</v>
      </c>
      <c r="AE59" s="28">
        <f ca="1"/>
        <v>49753.838650142949</v>
      </c>
      <c r="AF59" s="28">
        <f ca="1"/>
        <v>49944.180757124748</v>
      </c>
      <c r="AG59" s="28">
        <f ca="1"/>
        <v>50151.843034011719</v>
      </c>
      <c r="AH59" s="28">
        <f ca="1"/>
        <v>50337.86535359158</v>
      </c>
      <c r="AI59" s="28">
        <f ca="1"/>
        <v>50540.916682250958</v>
      </c>
      <c r="AJ59" s="28">
        <f ca="1"/>
        <v>50722.020604353369</v>
      </c>
      <c r="AK59" s="29">
        <f ca="1"/>
        <v>50919.863020699893</v>
      </c>
      <c r="AL59" s="3"/>
    </row>
    <row r="60" spans="2:38" hidden="1">
      <c r="B60" s="3"/>
      <c r="C60" s="12"/>
      <c r="D60" s="16"/>
      <c r="E60" s="141">
        <f t="array" aca="1" ref="E60:AK60" ca="1">tlccEubc1</f>
        <v>31586.193449602695</v>
      </c>
      <c r="F60" s="28">
        <f ca="1"/>
        <v>31725.233841123601</v>
      </c>
      <c r="G60" s="28">
        <f ca="1"/>
        <v>31848.33721197613</v>
      </c>
      <c r="H60" s="28">
        <f ca="1"/>
        <v>31982.512203445101</v>
      </c>
      <c r="I60" s="28">
        <f ca="1"/>
        <v>32100.428871009717</v>
      </c>
      <c r="J60" s="28">
        <f ca="1"/>
        <v>32229.086547793329</v>
      </c>
      <c r="K60" s="28">
        <f ca="1"/>
        <v>32341.144508498361</v>
      </c>
      <c r="L60" s="28">
        <f ca="1"/>
        <v>32463.536862084282</v>
      </c>
      <c r="M60" s="28">
        <f ca="1"/>
        <v>32596.990521110703</v>
      </c>
      <c r="N60" s="28">
        <f ca="1"/>
        <v>32714.198349307306</v>
      </c>
      <c r="O60" s="28">
        <f ca="1"/>
        <v>32842.121575686433</v>
      </c>
      <c r="P60" s="28">
        <f ca="1"/>
        <v>32981.57415388168</v>
      </c>
      <c r="Q60" s="28">
        <f ca="1"/>
        <v>33105.211080724293</v>
      </c>
      <c r="R60" s="28">
        <f ca="1"/>
        <v>33240.03926579847</v>
      </c>
      <c r="S60" s="28">
        <f ca="1"/>
        <v>33358.781952439436</v>
      </c>
      <c r="T60" s="28">
        <f ca="1"/>
        <v>33488.393433946978</v>
      </c>
      <c r="U60" s="28">
        <f ca="1"/>
        <v>33629.761568558104</v>
      </c>
      <c r="V60" s="28">
        <f ca="1"/>
        <v>33755.48357417294</v>
      </c>
      <c r="W60" s="28">
        <f ca="1"/>
        <v>33892.658220117708</v>
      </c>
      <c r="X60" s="28">
        <f ca="1"/>
        <v>34013.935687935278</v>
      </c>
      <c r="Y60" s="28">
        <f ca="1"/>
        <v>34146.29947255554</v>
      </c>
      <c r="Z60" s="28">
        <f ca="1"/>
        <v>34290.683835065051</v>
      </c>
      <c r="AA60" s="28">
        <f ca="1"/>
        <v>34419.648523810014</v>
      </c>
      <c r="AB60" s="28">
        <f ca="1"/>
        <v>34560.406433285381</v>
      </c>
      <c r="AC60" s="28">
        <f ca="1"/>
        <v>34685.509581966748</v>
      </c>
      <c r="AD60" s="28">
        <f ca="1"/>
        <v>34822.100085281782</v>
      </c>
      <c r="AE60" s="28">
        <f ca="1"/>
        <v>34970.863186000264</v>
      </c>
      <c r="AF60" s="28">
        <f ca="1"/>
        <v>35104.650406491986</v>
      </c>
      <c r="AG60" s="28">
        <f ca="1"/>
        <v>35250.611587999461</v>
      </c>
      <c r="AH60" s="28">
        <f ca="1"/>
        <v>35381.362526300189</v>
      </c>
      <c r="AI60" s="28">
        <f ca="1"/>
        <v>35524.082775168114</v>
      </c>
      <c r="AJ60" s="28">
        <f ca="1"/>
        <v>35651.37668161068</v>
      </c>
      <c r="AK60" s="29">
        <f ca="1"/>
        <v>35790.435702223986</v>
      </c>
      <c r="AL60" s="3"/>
    </row>
    <row r="61" spans="2:38" hidden="1">
      <c r="B61" s="3"/>
      <c r="C61" s="12"/>
      <c r="D61" s="16"/>
      <c r="E61" s="141">
        <f t="array" aca="1" ref="E61:AK61" ca="1">tlccEubc2</f>
        <v>38786.032735976762</v>
      </c>
      <c r="F61" s="28">
        <f ca="1"/>
        <v>38956.766356846849</v>
      </c>
      <c r="G61" s="28">
        <f ca="1"/>
        <v>39107.930231006401</v>
      </c>
      <c r="H61" s="28">
        <f ca="1"/>
        <v>39272.689419851602</v>
      </c>
      <c r="I61" s="28">
        <f ca="1"/>
        <v>39417.48432005303</v>
      </c>
      <c r="J61" s="28">
        <f ca="1"/>
        <v>39575.468563118782</v>
      </c>
      <c r="K61" s="28">
        <f ca="1"/>
        <v>39713.069307544283</v>
      </c>
      <c r="L61" s="28">
        <f ca="1"/>
        <v>39863.36009330774</v>
      </c>
      <c r="M61" s="28">
        <f ca="1"/>
        <v>40027.233527312797</v>
      </c>
      <c r="N61" s="28">
        <f ca="1"/>
        <v>40171.158013452572</v>
      </c>
      <c r="O61" s="28">
        <f ca="1"/>
        <v>40328.240393573775</v>
      </c>
      <c r="P61" s="28">
        <f ca="1"/>
        <v>40499.480156023375</v>
      </c>
      <c r="Q61" s="28">
        <f ca="1"/>
        <v>40651.299206316493</v>
      </c>
      <c r="R61" s="28">
        <f ca="1"/>
        <v>40816.860479420277</v>
      </c>
      <c r="S61" s="28">
        <f ca="1"/>
        <v>40962.66968363995</v>
      </c>
      <c r="T61" s="28">
        <f ca="1"/>
        <v>41121.825144165166</v>
      </c>
      <c r="U61" s="28">
        <f ca="1"/>
        <v>41295.417099954284</v>
      </c>
      <c r="V61" s="28">
        <f ca="1"/>
        <v>41449.796507311177</v>
      </c>
      <c r="W61" s="28">
        <f ca="1"/>
        <v>41618.239099694132</v>
      </c>
      <c r="X61" s="28">
        <f ca="1"/>
        <v>41767.160869720465</v>
      </c>
      <c r="Y61" s="28">
        <f ca="1"/>
        <v>41929.696000505675</v>
      </c>
      <c r="Z61" s="28">
        <f ca="1"/>
        <v>42106.991711044277</v>
      </c>
      <c r="AA61" s="28">
        <f ca="1"/>
        <v>42265.35294717834</v>
      </c>
      <c r="AB61" s="28">
        <f ca="1"/>
        <v>42438.195581523294</v>
      </c>
      <c r="AC61" s="28">
        <f ca="1"/>
        <v>42591.815068083779</v>
      </c>
      <c r="AD61" s="28">
        <f ca="1"/>
        <v>42759.540366842979</v>
      </c>
      <c r="AE61" s="28">
        <f ca="1"/>
        <v>42942.212916594122</v>
      </c>
      <c r="AF61" s="28">
        <f ca="1"/>
        <v>43106.495944934526</v>
      </c>
      <c r="AG61" s="28">
        <f ca="1"/>
        <v>43285.727898704594</v>
      </c>
      <c r="AH61" s="28">
        <f ca="1"/>
        <v>43446.282546775263</v>
      </c>
      <c r="AI61" s="28">
        <f ca="1"/>
        <v>43621.534821270165</v>
      </c>
      <c r="AJ61" s="28">
        <f ca="1"/>
        <v>43777.844432627709</v>
      </c>
      <c r="AK61" s="29">
        <f ca="1"/>
        <v>43948.600928954045</v>
      </c>
      <c r="AL61" s="3"/>
    </row>
    <row r="62" spans="2:38" hidden="1">
      <c r="B62" s="3"/>
      <c r="C62" s="12"/>
      <c r="D62" s="16"/>
      <c r="E62" s="141">
        <f t="array" aca="1" ref="E62:AK62" ca="1">tlccEubc3</f>
        <v>153760.79777953654</v>
      </c>
      <c r="F62" s="28">
        <f ca="1"/>
        <v>154437.64291942169</v>
      </c>
      <c r="G62" s="28">
        <f ca="1"/>
        <v>155036.90704226811</v>
      </c>
      <c r="H62" s="28">
        <f ca="1"/>
        <v>155690.06753668629</v>
      </c>
      <c r="I62" s="28">
        <f ca="1"/>
        <v>156264.08291796883</v>
      </c>
      <c r="J62" s="28">
        <f ca="1"/>
        <v>156890.3852628296</v>
      </c>
      <c r="K62" s="28">
        <f ca="1"/>
        <v>157435.88060600997</v>
      </c>
      <c r="L62" s="28">
        <f ca="1"/>
        <v>158031.6835146294</v>
      </c>
      <c r="M62" s="28">
        <f ca="1"/>
        <v>158681.33258080261</v>
      </c>
      <c r="N62" s="28">
        <f ca="1"/>
        <v>159251.89734981375</v>
      </c>
      <c r="O62" s="28">
        <f ca="1"/>
        <v>159874.62440851968</v>
      </c>
      <c r="P62" s="28">
        <f ca="1"/>
        <v>160553.47606280106</v>
      </c>
      <c r="Q62" s="28">
        <f ca="1"/>
        <v>161155.3375228298</v>
      </c>
      <c r="R62" s="28">
        <f ca="1"/>
        <v>161811.67774734116</v>
      </c>
      <c r="S62" s="28">
        <f ca="1"/>
        <v>162389.71416877743</v>
      </c>
      <c r="T62" s="28">
        <f ca="1"/>
        <v>163020.6596111203</v>
      </c>
      <c r="U62" s="28">
        <f ca="1"/>
        <v>163708.83614600697</v>
      </c>
      <c r="V62" s="28">
        <f ca="1"/>
        <v>164320.84771722165</v>
      </c>
      <c r="W62" s="28">
        <f ca="1"/>
        <v>164988.61045442044</v>
      </c>
      <c r="X62" s="28">
        <f ca="1"/>
        <v>165578.98612707216</v>
      </c>
      <c r="Y62" s="28">
        <f ca="1"/>
        <v>166223.32971196153</v>
      </c>
      <c r="Z62" s="28">
        <f ca="1"/>
        <v>166926.18916863433</v>
      </c>
      <c r="AA62" s="28">
        <f ca="1"/>
        <v>167553.9860400256</v>
      </c>
      <c r="AB62" s="28">
        <f ca="1"/>
        <v>168239.19201425099</v>
      </c>
      <c r="AC62" s="28">
        <f ca="1"/>
        <v>168848.19100542946</v>
      </c>
      <c r="AD62" s="28">
        <f ca="1"/>
        <v>169513.11015095242</v>
      </c>
      <c r="AE62" s="28">
        <f ca="1"/>
        <v>170237.28519544238</v>
      </c>
      <c r="AF62" s="28">
        <f ca="1"/>
        <v>170888.55803046536</v>
      </c>
      <c r="AG62" s="28">
        <f ca="1"/>
        <v>171599.09340248612</v>
      </c>
      <c r="AH62" s="28">
        <f ca="1"/>
        <v>172235.58569192982</v>
      </c>
      <c r="AI62" s="28">
        <f ca="1"/>
        <v>172930.34428511819</v>
      </c>
      <c r="AJ62" s="28">
        <f ca="1"/>
        <v>173550.0078301513</v>
      </c>
      <c r="AK62" s="29">
        <f ca="1"/>
        <v>174226.9436559912</v>
      </c>
      <c r="AL62" s="3"/>
    </row>
    <row r="63" spans="2:38" hidden="1">
      <c r="B63" s="3"/>
      <c r="C63" s="12"/>
      <c r="D63" s="16"/>
      <c r="E63" s="141">
        <f t="array" aca="1" ref="E63:AK63" ca="1">tlccEubc4</f>
        <v>46598.680856484127</v>
      </c>
      <c r="F63" s="28">
        <f ca="1"/>
        <v>46803.805251767204</v>
      </c>
      <c r="G63" s="28">
        <f ca="1"/>
        <v>46985.417977588935</v>
      </c>
      <c r="H63" s="28">
        <f ca="1"/>
        <v>47183.364514463014</v>
      </c>
      <c r="I63" s="28">
        <f ca="1"/>
        <v>47357.325367589241</v>
      </c>
      <c r="J63" s="28">
        <f ca="1"/>
        <v>47547.132285277585</v>
      </c>
      <c r="K63" s="28">
        <f ca="1"/>
        <v>47712.449867994648</v>
      </c>
      <c r="L63" s="28">
        <f ca="1"/>
        <v>47893.013639730059</v>
      </c>
      <c r="M63" s="28">
        <f ca="1"/>
        <v>48089.896004679329</v>
      </c>
      <c r="N63" s="28">
        <f ca="1"/>
        <v>48262.811116743389</v>
      </c>
      <c r="O63" s="28">
        <f ca="1"/>
        <v>48451.534509756304</v>
      </c>
      <c r="P63" s="28">
        <f ca="1"/>
        <v>48657.26699842426</v>
      </c>
      <c r="Q63" s="28">
        <f ca="1"/>
        <v>48839.666872128844</v>
      </c>
      <c r="R63" s="28">
        <f ca="1"/>
        <v>49038.577056629387</v>
      </c>
      <c r="S63" s="28">
        <f ca="1"/>
        <v>49213.75652444506</v>
      </c>
      <c r="T63" s="28">
        <f ca="1"/>
        <v>49404.970577247695</v>
      </c>
      <c r="U63" s="28">
        <f ca="1"/>
        <v>49613.529060197827</v>
      </c>
      <c r="V63" s="28">
        <f ca="1"/>
        <v>49799.005022207311</v>
      </c>
      <c r="W63" s="28">
        <f ca="1"/>
        <v>50001.37690846141</v>
      </c>
      <c r="X63" s="28">
        <f ca="1"/>
        <v>50180.295904412334</v>
      </c>
      <c r="Y63" s="28">
        <f ca="1"/>
        <v>50375.570392498914</v>
      </c>
      <c r="Z63" s="28">
        <f ca="1"/>
        <v>50588.578675373588</v>
      </c>
      <c r="AA63" s="28">
        <f ca="1"/>
        <v>50778.838523625724</v>
      </c>
      <c r="AB63" s="28">
        <f ca="1"/>
        <v>50986.496749746999</v>
      </c>
      <c r="AC63" s="28">
        <f ca="1"/>
        <v>51171.059720554011</v>
      </c>
      <c r="AD63" s="28">
        <f ca="1"/>
        <v>51372.56982914493</v>
      </c>
      <c r="AE63" s="28">
        <f ca="1"/>
        <v>51592.038004842063</v>
      </c>
      <c r="AF63" s="28">
        <f ca="1"/>
        <v>51789.412468476497</v>
      </c>
      <c r="AG63" s="28">
        <f ca="1"/>
        <v>52004.747010935855</v>
      </c>
      <c r="AH63" s="28">
        <f ca="1"/>
        <v>52197.642088821238</v>
      </c>
      <c r="AI63" s="28">
        <f ca="1"/>
        <v>52408.195327512854</v>
      </c>
      <c r="AJ63" s="28">
        <f ca="1"/>
        <v>52595.990293397437</v>
      </c>
      <c r="AK63" s="29">
        <f ca="1"/>
        <v>52801.142171926724</v>
      </c>
      <c r="AL63" s="3"/>
    </row>
    <row r="64" spans="2:38" hidden="1">
      <c r="B64" s="3"/>
      <c r="C64" s="12"/>
      <c r="D64" s="16"/>
      <c r="E64" s="141">
        <f t="array" aca="1" ref="E64:AK64" ca="1">tlccEubc5</f>
        <v>66305.480460791805</v>
      </c>
      <c r="F64" s="28">
        <f ca="1"/>
        <v>66597.352920129459</v>
      </c>
      <c r="G64" s="28">
        <f ca="1"/>
        <v>66855.770515264594</v>
      </c>
      <c r="H64" s="28">
        <f ca="1"/>
        <v>67137.429566374005</v>
      </c>
      <c r="I64" s="28">
        <f ca="1"/>
        <v>67384.959276140449</v>
      </c>
      <c r="J64" s="28">
        <f ca="1"/>
        <v>67655.036425123835</v>
      </c>
      <c r="K64" s="28">
        <f ca="1"/>
        <v>67890.267585088077</v>
      </c>
      <c r="L64" s="28">
        <f ca="1"/>
        <v>68147.192618558474</v>
      </c>
      <c r="M64" s="28">
        <f ca="1"/>
        <v>68427.337454469642</v>
      </c>
      <c r="N64" s="28">
        <f ca="1"/>
        <v>68673.379174398389</v>
      </c>
      <c r="O64" s="28">
        <f ca="1"/>
        <v>68941.914571064524</v>
      </c>
      <c r="P64" s="28">
        <f ca="1"/>
        <v>69234.652289317441</v>
      </c>
      <c r="Q64" s="28">
        <f ca="1"/>
        <v>69494.189920848614</v>
      </c>
      <c r="R64" s="28">
        <f ca="1"/>
        <v>69777.220150662833</v>
      </c>
      <c r="S64" s="28">
        <f ca="1"/>
        <v>70026.483832957994</v>
      </c>
      <c r="T64" s="28">
        <f ca="1"/>
        <v>70298.563201062469</v>
      </c>
      <c r="U64" s="28">
        <f ca="1"/>
        <v>70595.322039768085</v>
      </c>
      <c r="V64" s="28">
        <f ca="1"/>
        <v>70859.23665170405</v>
      </c>
      <c r="W64" s="28">
        <f ca="1"/>
        <v>71147.192553098736</v>
      </c>
      <c r="X64" s="28">
        <f ca="1"/>
        <v>71401.777227429455</v>
      </c>
      <c r="Y64" s="28">
        <f ca="1"/>
        <v>71679.634207848983</v>
      </c>
      <c r="Z64" s="28">
        <f ca="1"/>
        <v>71982.724687633876</v>
      </c>
      <c r="AA64" s="28">
        <f ca="1"/>
        <v>72253.446313630295</v>
      </c>
      <c r="AB64" s="28">
        <f ca="1"/>
        <v>72548.924172692685</v>
      </c>
      <c r="AC64" s="28">
        <f ca="1"/>
        <v>72811.539685185795</v>
      </c>
      <c r="AD64" s="28">
        <f ca="1"/>
        <v>73098.26935912187</v>
      </c>
      <c r="AE64" s="28">
        <f ca="1"/>
        <v>73410.551650551381</v>
      </c>
      <c r="AF64" s="28">
        <f ca="1"/>
        <v>73691.396695978241</v>
      </c>
      <c r="AG64" s="28">
        <f ca="1"/>
        <v>73997.797221382469</v>
      </c>
      <c r="AH64" s="28">
        <f ca="1"/>
        <v>74272.268527922206</v>
      </c>
      <c r="AI64" s="28">
        <f ca="1"/>
        <v>74571.865713881634</v>
      </c>
      <c r="AJ64" s="28">
        <f ca="1"/>
        <v>74839.080047254014</v>
      </c>
      <c r="AK64" s="29">
        <f ca="1"/>
        <v>75130.991612630969</v>
      </c>
      <c r="AL64" s="3"/>
    </row>
    <row r="65" spans="2:38" hidden="1">
      <c r="B65" s="3"/>
      <c r="C65" s="4"/>
      <c r="D65" s="5"/>
      <c r="E65" s="147">
        <f t="array" aca="1" ref="E65:AK65" ca="1">tlccEubc6</f>
        <v>52838.239282305185</v>
      </c>
      <c r="F65" s="35">
        <f ca="1"/>
        <v>53070.829812367316</v>
      </c>
      <c r="G65" s="35">
        <f ca="1"/>
        <v>53276.760462920116</v>
      </c>
      <c r="H65" s="35">
        <f ca="1"/>
        <v>53501.212020093357</v>
      </c>
      <c r="I65" s="35">
        <f ca="1"/>
        <v>53698.46621300812</v>
      </c>
      <c r="J65" s="35">
        <f ca="1"/>
        <v>53913.68825684968</v>
      </c>
      <c r="K65" s="35">
        <f ca="1"/>
        <v>54101.14184636392</v>
      </c>
      <c r="L65" s="35">
        <f ca="1"/>
        <v>54305.88308798951</v>
      </c>
      <c r="M65" s="35">
        <f ca="1"/>
        <v>54529.127980730023</v>
      </c>
      <c r="N65" s="35">
        <f ca="1"/>
        <v>54725.196407965253</v>
      </c>
      <c r="O65" s="35">
        <f ca="1"/>
        <v>54939.189843292261</v>
      </c>
      <c r="P65" s="35">
        <f ca="1"/>
        <v>55172.469890379027</v>
      </c>
      <c r="Q65" s="35">
        <f ca="1"/>
        <v>55379.293087832746</v>
      </c>
      <c r="R65" s="35">
        <f ca="1"/>
        <v>55604.837324947432</v>
      </c>
      <c r="S65" s="35">
        <f ca="1"/>
        <v>55803.473304929343</v>
      </c>
      <c r="T65" s="35">
        <f ca="1"/>
        <v>56020.290899127824</v>
      </c>
      <c r="U65" s="35">
        <f ca="1"/>
        <v>56256.775340831511</v>
      </c>
      <c r="V65" s="35">
        <f ca="1"/>
        <v>56467.08651448803</v>
      </c>
      <c r="W65" s="35">
        <f ca="1"/>
        <v>56696.555974854011</v>
      </c>
      <c r="X65" s="35">
        <f ca="1"/>
        <v>56899.43220539196</v>
      </c>
      <c r="Y65" s="35">
        <f ca="1"/>
        <v>57120.85392672837</v>
      </c>
      <c r="Z65" s="35">
        <f ca="1"/>
        <v>57362.383996094701</v>
      </c>
      <c r="AA65" s="35">
        <f ca="1"/>
        <v>57578.119617854551</v>
      </c>
      <c r="AB65" s="35">
        <f ca="1"/>
        <v>57813.583258435421</v>
      </c>
      <c r="AC65" s="35">
        <f ca="1"/>
        <v>58022.859191464238</v>
      </c>
      <c r="AD65" s="35">
        <f ca="1"/>
        <v>58251.351482229402</v>
      </c>
      <c r="AE65" s="35">
        <f ca="1"/>
        <v>58500.206423382173</v>
      </c>
      <c r="AF65" s="35">
        <f ca="1"/>
        <v>58724.009306769629</v>
      </c>
      <c r="AG65" s="35">
        <f ca="1"/>
        <v>58968.177121632354</v>
      </c>
      <c r="AH65" s="35">
        <f ca="1"/>
        <v>59186.900829993843</v>
      </c>
      <c r="AI65" s="35">
        <f ca="1"/>
        <v>59425.6471250213</v>
      </c>
      <c r="AJ65" s="35">
        <f ca="1"/>
        <v>59638.587816925938</v>
      </c>
      <c r="AK65" s="36">
        <f ca="1"/>
        <v>59871.209510238026</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9998.715591480679</v>
      </c>
      <c r="F68" s="28">
        <f ca="1"/>
        <v>9927.9745822807636</v>
      </c>
      <c r="G68" s="28">
        <f ca="1"/>
        <v>9856.651539145787</v>
      </c>
      <c r="H68" s="28">
        <f ca="1"/>
        <v>9793.9951357008867</v>
      </c>
      <c r="I68" s="28">
        <f ca="1"/>
        <v>9734.5519847942851</v>
      </c>
      <c r="J68" s="28">
        <f ca="1"/>
        <v>9682.7748321809377</v>
      </c>
      <c r="K68" s="28">
        <f ca="1"/>
        <v>9642.617121864303</v>
      </c>
      <c r="L68" s="28">
        <f ca="1"/>
        <v>9609.3222949269584</v>
      </c>
      <c r="M68" s="28">
        <f ca="1"/>
        <v>9575.8716497996611</v>
      </c>
      <c r="N68" s="28">
        <f ca="1"/>
        <v>9549.1049389734435</v>
      </c>
      <c r="O68" s="28">
        <f ca="1"/>
        <v>9530.6648649177841</v>
      </c>
      <c r="P68" s="28">
        <f ca="1"/>
        <v>9517.1642743517041</v>
      </c>
      <c r="Q68" s="28">
        <f ca="1"/>
        <v>9505.8017920401435</v>
      </c>
      <c r="R68" s="28">
        <f ca="1"/>
        <v>9497.4181029663632</v>
      </c>
      <c r="S68" s="28">
        <f ca="1"/>
        <v>9491.0290179369404</v>
      </c>
      <c r="T68" s="28">
        <f ca="1"/>
        <v>9490.2236769236479</v>
      </c>
      <c r="U68" s="28">
        <f ca="1"/>
        <v>9491.8585769796446</v>
      </c>
      <c r="V68" s="28">
        <f ca="1"/>
        <v>9494.2648760046541</v>
      </c>
      <c r="W68" s="28">
        <f ca="1"/>
        <v>9497.7062169991514</v>
      </c>
      <c r="X68" s="28">
        <f ca="1"/>
        <v>9500.9582472719885</v>
      </c>
      <c r="Y68" s="28">
        <f ca="1"/>
        <v>9503.652728227451</v>
      </c>
      <c r="Z68" s="28">
        <f ca="1"/>
        <v>9505.4584114333702</v>
      </c>
      <c r="AA68" s="28">
        <f ca="1"/>
        <v>9506.6484768642767</v>
      </c>
      <c r="AB68" s="28">
        <f ca="1"/>
        <v>9506.6484768642767</v>
      </c>
      <c r="AC68" s="28">
        <f ca="1"/>
        <v>9506.6484768642767</v>
      </c>
      <c r="AD68" s="28">
        <f ca="1"/>
        <v>9506.6484768642767</v>
      </c>
      <c r="AE68" s="28">
        <f ca="1"/>
        <v>9506.6484768642767</v>
      </c>
      <c r="AF68" s="28">
        <f ca="1"/>
        <v>9506.6484768642767</v>
      </c>
      <c r="AG68" s="28">
        <f ca="1"/>
        <v>9506.6484768642767</v>
      </c>
      <c r="AH68" s="28">
        <f ca="1"/>
        <v>9506.6484768642767</v>
      </c>
      <c r="AI68" s="28">
        <f ca="1"/>
        <v>9506.6484768642767</v>
      </c>
      <c r="AJ68" s="28">
        <f ca="1"/>
        <v>9506.6484768642767</v>
      </c>
      <c r="AK68" s="29">
        <f ca="1"/>
        <v>9506.6484768642767</v>
      </c>
      <c r="AL68" s="3"/>
    </row>
    <row r="69" spans="2:38" hidden="1">
      <c r="B69" s="3"/>
      <c r="C69" s="12"/>
      <c r="D69" s="16"/>
      <c r="E69" s="141">
        <f t="array" aca="1" ref="E69:AK69" ca="1">tlccFubcElec1</f>
        <v>7027.8741193046426</v>
      </c>
      <c r="F69" s="28">
        <f ca="1"/>
        <v>6978.1518421600467</v>
      </c>
      <c r="G69" s="28">
        <f ca="1"/>
        <v>6928.0204663475943</v>
      </c>
      <c r="H69" s="28">
        <f ca="1"/>
        <v>6883.9806782217765</v>
      </c>
      <c r="I69" s="28">
        <f ca="1"/>
        <v>6842.1994136179128</v>
      </c>
      <c r="J69" s="28">
        <f ca="1"/>
        <v>6805.806408187027</v>
      </c>
      <c r="K69" s="28">
        <f ca="1"/>
        <v>6777.5804495183693</v>
      </c>
      <c r="L69" s="28">
        <f ca="1"/>
        <v>6754.1782584670418</v>
      </c>
      <c r="M69" s="28">
        <f ca="1"/>
        <v>6730.666546286282</v>
      </c>
      <c r="N69" s="28">
        <f ca="1"/>
        <v>6711.8528224081092</v>
      </c>
      <c r="O69" s="28">
        <f ca="1"/>
        <v>6698.8917057498602</v>
      </c>
      <c r="P69" s="28">
        <f ca="1"/>
        <v>6689.4024418372519</v>
      </c>
      <c r="Q69" s="28">
        <f ca="1"/>
        <v>6681.4160065158485</v>
      </c>
      <c r="R69" s="28">
        <f ca="1"/>
        <v>6675.5232985048206</v>
      </c>
      <c r="S69" s="28">
        <f ca="1"/>
        <v>6671.0325531772323</v>
      </c>
      <c r="T69" s="28">
        <f ca="1"/>
        <v>6670.4664969460355</v>
      </c>
      <c r="U69" s="28">
        <f ca="1"/>
        <v>6671.6156317210025</v>
      </c>
      <c r="V69" s="28">
        <f ca="1"/>
        <v>6673.3069656214884</v>
      </c>
      <c r="W69" s="28">
        <f ca="1"/>
        <v>6675.7258074306847</v>
      </c>
      <c r="X69" s="28">
        <f ca="1"/>
        <v>6678.01158695712</v>
      </c>
      <c r="Y69" s="28">
        <f ca="1"/>
        <v>6679.90547750722</v>
      </c>
      <c r="Z69" s="28">
        <f ca="1"/>
        <v>6681.1746519481221</v>
      </c>
      <c r="AA69" s="28">
        <f ca="1"/>
        <v>6682.0111223893109</v>
      </c>
      <c r="AB69" s="28">
        <f ca="1"/>
        <v>6682.0111223893109</v>
      </c>
      <c r="AC69" s="28">
        <f ca="1"/>
        <v>6682.0111223893109</v>
      </c>
      <c r="AD69" s="28">
        <f ca="1"/>
        <v>6682.0111223893109</v>
      </c>
      <c r="AE69" s="28">
        <f ca="1"/>
        <v>6682.0111223893109</v>
      </c>
      <c r="AF69" s="28">
        <f ca="1"/>
        <v>6682.0111223893109</v>
      </c>
      <c r="AG69" s="28">
        <f ca="1"/>
        <v>6682.0111223893109</v>
      </c>
      <c r="AH69" s="28">
        <f ca="1"/>
        <v>6682.0111223893109</v>
      </c>
      <c r="AI69" s="28">
        <f ca="1"/>
        <v>6682.0111223893109</v>
      </c>
      <c r="AJ69" s="28">
        <f ca="1"/>
        <v>6682.0111223893109</v>
      </c>
      <c r="AK69" s="29">
        <f ca="1"/>
        <v>6682.0111223893109</v>
      </c>
      <c r="AL69" s="3"/>
    </row>
    <row r="70" spans="2:38" hidden="1">
      <c r="B70" s="3"/>
      <c r="C70" s="12"/>
      <c r="D70" s="16"/>
      <c r="E70" s="141">
        <f t="array" aca="1" ref="E70:AK70" ca="1">tlccFubcElec2</f>
        <v>8629.8260691207906</v>
      </c>
      <c r="F70" s="28">
        <f ca="1"/>
        <v>8568.7699664880165</v>
      </c>
      <c r="G70" s="28">
        <f ca="1"/>
        <v>8507.2115141704326</v>
      </c>
      <c r="H70" s="28">
        <f ca="1"/>
        <v>8453.1331819187508</v>
      </c>
      <c r="I70" s="28">
        <f ca="1"/>
        <v>8401.8281869290367</v>
      </c>
      <c r="J70" s="28">
        <f ca="1"/>
        <v>8357.1396649564522</v>
      </c>
      <c r="K70" s="28">
        <f ca="1"/>
        <v>8322.4798076781881</v>
      </c>
      <c r="L70" s="28">
        <f ca="1"/>
        <v>8293.7432601844703</v>
      </c>
      <c r="M70" s="28">
        <f ca="1"/>
        <v>8264.8722270295275</v>
      </c>
      <c r="N70" s="28">
        <f ca="1"/>
        <v>8241.7700538794561</v>
      </c>
      <c r="O70" s="28">
        <f ca="1"/>
        <v>8225.8545464979234</v>
      </c>
      <c r="P70" s="28">
        <f ca="1"/>
        <v>8214.2022750286815</v>
      </c>
      <c r="Q70" s="28">
        <f ca="1"/>
        <v>8204.3953908178974</v>
      </c>
      <c r="R70" s="28">
        <f ca="1"/>
        <v>8197.1594835793767</v>
      </c>
      <c r="S70" s="28">
        <f ca="1"/>
        <v>8191.6451060535546</v>
      </c>
      <c r="T70" s="28">
        <f ca="1"/>
        <v>8190.9500214891996</v>
      </c>
      <c r="U70" s="28">
        <f ca="1"/>
        <v>8192.3610930407922</v>
      </c>
      <c r="V70" s="28">
        <f ca="1"/>
        <v>8194.4379540001992</v>
      </c>
      <c r="W70" s="28">
        <f ca="1"/>
        <v>8197.4081529177838</v>
      </c>
      <c r="X70" s="28">
        <f ca="1"/>
        <v>8200.2149589889559</v>
      </c>
      <c r="Y70" s="28">
        <f ca="1"/>
        <v>8202.5405478887933</v>
      </c>
      <c r="Z70" s="28">
        <f ca="1"/>
        <v>8204.099021260743</v>
      </c>
      <c r="AA70" s="28">
        <f ca="1"/>
        <v>8205.1261589551414</v>
      </c>
      <c r="AB70" s="28">
        <f ca="1"/>
        <v>8205.1261589551414</v>
      </c>
      <c r="AC70" s="28">
        <f ca="1"/>
        <v>8205.1261589551414</v>
      </c>
      <c r="AD70" s="28">
        <f ca="1"/>
        <v>8205.1261589551414</v>
      </c>
      <c r="AE70" s="28">
        <f ca="1"/>
        <v>8205.1261589551414</v>
      </c>
      <c r="AF70" s="28">
        <f ca="1"/>
        <v>8205.1261589551414</v>
      </c>
      <c r="AG70" s="28">
        <f ca="1"/>
        <v>8205.1261589551414</v>
      </c>
      <c r="AH70" s="28">
        <f ca="1"/>
        <v>8205.1261589551414</v>
      </c>
      <c r="AI70" s="28">
        <f ca="1"/>
        <v>8205.1261589551414</v>
      </c>
      <c r="AJ70" s="28">
        <f ca="1"/>
        <v>8205.1261589551414</v>
      </c>
      <c r="AK70" s="29">
        <f ca="1"/>
        <v>8205.1261589551414</v>
      </c>
      <c r="AL70" s="3"/>
    </row>
    <row r="71" spans="2:38" hidden="1">
      <c r="B71" s="3"/>
      <c r="C71" s="12"/>
      <c r="D71" s="16"/>
      <c r="E71" s="141">
        <f t="array" aca="1" ref="E71:AK71" ca="1">tlccFubcElec3</f>
        <v>34211.51500900567</v>
      </c>
      <c r="F71" s="28">
        <f ca="1"/>
        <v>33969.468210509149</v>
      </c>
      <c r="G71" s="28">
        <f ca="1"/>
        <v>33725.42992995448</v>
      </c>
      <c r="H71" s="28">
        <f ca="1"/>
        <v>33511.045345529252</v>
      </c>
      <c r="I71" s="28">
        <f ca="1"/>
        <v>33307.655196982923</v>
      </c>
      <c r="J71" s="28">
        <f ca="1"/>
        <v>33130.494958995514</v>
      </c>
      <c r="K71" s="28">
        <f ca="1"/>
        <v>32993.091699881377</v>
      </c>
      <c r="L71" s="28">
        <f ca="1"/>
        <v>32879.170420586277</v>
      </c>
      <c r="M71" s="28">
        <f ca="1"/>
        <v>32764.715995179027</v>
      </c>
      <c r="N71" s="28">
        <f ca="1"/>
        <v>32673.131259040205</v>
      </c>
      <c r="O71" s="28">
        <f ca="1"/>
        <v>32610.036868110645</v>
      </c>
      <c r="P71" s="28">
        <f ca="1"/>
        <v>32563.843369300113</v>
      </c>
      <c r="Q71" s="28">
        <f ca="1"/>
        <v>32524.965602392469</v>
      </c>
      <c r="R71" s="28">
        <f ca="1"/>
        <v>32496.280047537515</v>
      </c>
      <c r="S71" s="28">
        <f ca="1"/>
        <v>32474.41921187536</v>
      </c>
      <c r="T71" s="28">
        <f ca="1"/>
        <v>32471.663664334137</v>
      </c>
      <c r="U71" s="28">
        <f ca="1"/>
        <v>32477.257623607416</v>
      </c>
      <c r="V71" s="28">
        <f ca="1"/>
        <v>32485.490994629636</v>
      </c>
      <c r="W71" s="28">
        <f ca="1"/>
        <v>32497.26585591129</v>
      </c>
      <c r="X71" s="28">
        <f ca="1"/>
        <v>32508.39297333662</v>
      </c>
      <c r="Y71" s="28">
        <f ca="1"/>
        <v>32517.612385050641</v>
      </c>
      <c r="Z71" s="28">
        <f ca="1"/>
        <v>32523.790694408039</v>
      </c>
      <c r="AA71" s="28">
        <f ca="1"/>
        <v>32527.86261154366</v>
      </c>
      <c r="AB71" s="28">
        <f ca="1"/>
        <v>32527.86261154366</v>
      </c>
      <c r="AC71" s="28">
        <f ca="1"/>
        <v>32527.86261154366</v>
      </c>
      <c r="AD71" s="28">
        <f ca="1"/>
        <v>32527.86261154366</v>
      </c>
      <c r="AE71" s="28">
        <f ca="1"/>
        <v>32527.86261154366</v>
      </c>
      <c r="AF71" s="28">
        <f ca="1"/>
        <v>32527.86261154366</v>
      </c>
      <c r="AG71" s="28">
        <f ca="1"/>
        <v>32527.86261154366</v>
      </c>
      <c r="AH71" s="28">
        <f ca="1"/>
        <v>32527.86261154366</v>
      </c>
      <c r="AI71" s="28">
        <f ca="1"/>
        <v>32527.86261154366</v>
      </c>
      <c r="AJ71" s="28">
        <f ca="1"/>
        <v>32527.86261154366</v>
      </c>
      <c r="AK71" s="29">
        <f ca="1"/>
        <v>32527.86261154366</v>
      </c>
      <c r="AL71" s="3"/>
    </row>
    <row r="72" spans="2:38" hidden="1">
      <c r="B72" s="3"/>
      <c r="C72" s="12"/>
      <c r="D72" s="16"/>
      <c r="E72" s="141">
        <f t="array" aca="1" ref="E72:AK72" ca="1">tlccFubcElec4</f>
        <v>10368.126938358282</v>
      </c>
      <c r="F72" s="28">
        <f ca="1"/>
        <v>10294.772340317986</v>
      </c>
      <c r="G72" s="28">
        <f ca="1"/>
        <v>10220.814204586684</v>
      </c>
      <c r="H72" s="28">
        <f ca="1"/>
        <v>10155.842905175861</v>
      </c>
      <c r="I72" s="28">
        <f ca="1"/>
        <v>10094.203574746185</v>
      </c>
      <c r="J72" s="28">
        <f ca="1"/>
        <v>10040.513469663156</v>
      </c>
      <c r="K72" s="28">
        <f ca="1"/>
        <v>9998.8720973981581</v>
      </c>
      <c r="L72" s="28">
        <f ca="1"/>
        <v>9964.3471637785624</v>
      </c>
      <c r="M72" s="28">
        <f ca="1"/>
        <v>9929.6606551288623</v>
      </c>
      <c r="N72" s="28">
        <f ca="1"/>
        <v>9901.9050246151764</v>
      </c>
      <c r="O72" s="28">
        <f ca="1"/>
        <v>9882.7836657953794</v>
      </c>
      <c r="P72" s="28">
        <f ca="1"/>
        <v>9868.7842840296653</v>
      </c>
      <c r="Q72" s="28">
        <f ca="1"/>
        <v>9857.0020048095757</v>
      </c>
      <c r="R72" s="28">
        <f ca="1"/>
        <v>9848.3085729649156</v>
      </c>
      <c r="S72" s="28">
        <f ca="1"/>
        <v>9841.6834375663784</v>
      </c>
      <c r="T72" s="28">
        <f ca="1"/>
        <v>9840.8483425206141</v>
      </c>
      <c r="U72" s="28">
        <f ca="1"/>
        <v>9842.5436453979655</v>
      </c>
      <c r="V72" s="28">
        <f ca="1"/>
        <v>9845.0388472581162</v>
      </c>
      <c r="W72" s="28">
        <f ca="1"/>
        <v>9848.6073316242018</v>
      </c>
      <c r="X72" s="28">
        <f ca="1"/>
        <v>9851.9795110174109</v>
      </c>
      <c r="Y72" s="28">
        <f ca="1"/>
        <v>9854.7735419430446</v>
      </c>
      <c r="Z72" s="28">
        <f ca="1"/>
        <v>9856.6459377040937</v>
      </c>
      <c r="AA72" s="28">
        <f ca="1"/>
        <v>9857.8799711496595</v>
      </c>
      <c r="AB72" s="28">
        <f ca="1"/>
        <v>9857.8799711496595</v>
      </c>
      <c r="AC72" s="28">
        <f ca="1"/>
        <v>9857.8799711496595</v>
      </c>
      <c r="AD72" s="28">
        <f ca="1"/>
        <v>9857.8799711496595</v>
      </c>
      <c r="AE72" s="28">
        <f ca="1"/>
        <v>9857.8799711496595</v>
      </c>
      <c r="AF72" s="28">
        <f ca="1"/>
        <v>9857.8799711496595</v>
      </c>
      <c r="AG72" s="28">
        <f ca="1"/>
        <v>9857.8799711496595</v>
      </c>
      <c r="AH72" s="28">
        <f ca="1"/>
        <v>9857.8799711496595</v>
      </c>
      <c r="AI72" s="28">
        <f ca="1"/>
        <v>9857.8799711496595</v>
      </c>
      <c r="AJ72" s="28">
        <f ca="1"/>
        <v>9857.8799711496595</v>
      </c>
      <c r="AK72" s="29">
        <f ca="1"/>
        <v>9857.8799711496595</v>
      </c>
      <c r="AL72" s="3"/>
    </row>
    <row r="73" spans="2:38" hidden="1">
      <c r="B73" s="3"/>
      <c r="C73" s="12"/>
      <c r="D73" s="16"/>
      <c r="E73" s="141">
        <f t="array" aca="1" ref="E73:AK73" ca="1">tlccFubcElec5</f>
        <v>14752.856207316107</v>
      </c>
      <c r="F73" s="28">
        <f ca="1"/>
        <v>14648.479607428013</v>
      </c>
      <c r="G73" s="28">
        <f ca="1"/>
        <v>14543.244230942755</v>
      </c>
      <c r="H73" s="28">
        <f ca="1"/>
        <v>14450.796265798333</v>
      </c>
      <c r="I73" s="28">
        <f ca="1"/>
        <v>14363.089374867053</v>
      </c>
      <c r="J73" s="28">
        <f ca="1"/>
        <v>14286.693473779533</v>
      </c>
      <c r="K73" s="28">
        <f ca="1"/>
        <v>14227.441770848696</v>
      </c>
      <c r="L73" s="28">
        <f ca="1"/>
        <v>14178.316081677909</v>
      </c>
      <c r="M73" s="28">
        <f ca="1"/>
        <v>14128.96048664274</v>
      </c>
      <c r="N73" s="28">
        <f ca="1"/>
        <v>14089.466870452829</v>
      </c>
      <c r="O73" s="28">
        <f ca="1"/>
        <v>14062.258999751197</v>
      </c>
      <c r="P73" s="28">
        <f ca="1"/>
        <v>14042.339214103435</v>
      </c>
      <c r="Q73" s="28">
        <f ca="1"/>
        <v>14025.574154014777</v>
      </c>
      <c r="R73" s="28">
        <f ca="1"/>
        <v>14013.204229271871</v>
      </c>
      <c r="S73" s="28">
        <f ca="1"/>
        <v>14003.777293194629</v>
      </c>
      <c r="T73" s="28">
        <f ca="1"/>
        <v>14002.589032556729</v>
      </c>
      <c r="U73" s="28">
        <f ca="1"/>
        <v>14005.001286932677</v>
      </c>
      <c r="V73" s="28">
        <f ca="1"/>
        <v>14008.551721304271</v>
      </c>
      <c r="W73" s="28">
        <f ca="1"/>
        <v>14013.629334362435</v>
      </c>
      <c r="X73" s="28">
        <f ca="1"/>
        <v>14018.427624158565</v>
      </c>
      <c r="Y73" s="28">
        <f ca="1"/>
        <v>14022.403263802034</v>
      </c>
      <c r="Z73" s="28">
        <f ca="1"/>
        <v>14025.067504468665</v>
      </c>
      <c r="AA73" s="28">
        <f ca="1"/>
        <v>14026.823416417437</v>
      </c>
      <c r="AB73" s="28">
        <f ca="1"/>
        <v>14026.823416417437</v>
      </c>
      <c r="AC73" s="28">
        <f ca="1"/>
        <v>14026.823416417437</v>
      </c>
      <c r="AD73" s="28">
        <f ca="1"/>
        <v>14026.823416417437</v>
      </c>
      <c r="AE73" s="28">
        <f ca="1"/>
        <v>14026.823416417437</v>
      </c>
      <c r="AF73" s="28">
        <f ca="1"/>
        <v>14026.823416417437</v>
      </c>
      <c r="AG73" s="28">
        <f ca="1"/>
        <v>14026.823416417437</v>
      </c>
      <c r="AH73" s="28">
        <f ca="1"/>
        <v>14026.823416417437</v>
      </c>
      <c r="AI73" s="28">
        <f ca="1"/>
        <v>14026.823416417437</v>
      </c>
      <c r="AJ73" s="28">
        <f ca="1"/>
        <v>14026.823416417437</v>
      </c>
      <c r="AK73" s="29">
        <f ca="1"/>
        <v>14026.823416417437</v>
      </c>
      <c r="AL73" s="3"/>
    </row>
    <row r="74" spans="2:38" hidden="1">
      <c r="B74" s="3"/>
      <c r="C74" s="4"/>
      <c r="D74" s="5"/>
      <c r="E74" s="147">
        <f t="array" aca="1" ref="E74:AK74" ca="1">tlccFubcElec6</f>
        <v>11756.418036071052</v>
      </c>
      <c r="F74" s="35">
        <f ca="1"/>
        <v>11673.241265130955</v>
      </c>
      <c r="G74" s="35">
        <f ca="1"/>
        <v>11589.380142867018</v>
      </c>
      <c r="H74" s="35">
        <f ca="1"/>
        <v>11515.709193354003</v>
      </c>
      <c r="I74" s="35">
        <f ca="1"/>
        <v>11445.816363115415</v>
      </c>
      <c r="J74" s="35">
        <f ca="1"/>
        <v>11384.937158654531</v>
      </c>
      <c r="K74" s="35">
        <f ca="1"/>
        <v>11337.720011058489</v>
      </c>
      <c r="L74" s="35">
        <f ca="1"/>
        <v>11298.572192487911</v>
      </c>
      <c r="M74" s="35">
        <f ca="1"/>
        <v>11259.241164007828</v>
      </c>
      <c r="N74" s="35">
        <f ca="1"/>
        <v>11227.769057511296</v>
      </c>
      <c r="O74" s="35">
        <f ca="1"/>
        <v>11206.087350772967</v>
      </c>
      <c r="P74" s="35">
        <f ca="1"/>
        <v>11190.21345327318</v>
      </c>
      <c r="Q74" s="35">
        <f ca="1"/>
        <v>11176.853528114798</v>
      </c>
      <c r="R74" s="35">
        <f ca="1"/>
        <v>11166.9960466679</v>
      </c>
      <c r="S74" s="35">
        <f ca="1"/>
        <v>11159.483806341963</v>
      </c>
      <c r="T74" s="35">
        <f ca="1"/>
        <v>11158.536892158116</v>
      </c>
      <c r="U74" s="35">
        <f ca="1"/>
        <v>11160.459195910993</v>
      </c>
      <c r="V74" s="35">
        <f ca="1"/>
        <v>11163.288505035649</v>
      </c>
      <c r="W74" s="35">
        <f ca="1"/>
        <v>11167.334809079988</v>
      </c>
      <c r="X74" s="35">
        <f ca="1"/>
        <v>11171.158522936395</v>
      </c>
      <c r="Y74" s="35">
        <f ca="1"/>
        <v>11174.32667430672</v>
      </c>
      <c r="Z74" s="35">
        <f ca="1"/>
        <v>11176.449783661645</v>
      </c>
      <c r="AA74" s="35">
        <f ca="1"/>
        <v>11177.849054054726</v>
      </c>
      <c r="AB74" s="35">
        <f ca="1"/>
        <v>11177.849054054726</v>
      </c>
      <c r="AC74" s="35">
        <f ca="1"/>
        <v>11177.849054054726</v>
      </c>
      <c r="AD74" s="35">
        <f ca="1"/>
        <v>11177.849054054726</v>
      </c>
      <c r="AE74" s="35">
        <f ca="1"/>
        <v>11177.849054054726</v>
      </c>
      <c r="AF74" s="35">
        <f ca="1"/>
        <v>11177.849054054726</v>
      </c>
      <c r="AG74" s="35">
        <f ca="1"/>
        <v>11177.849054054726</v>
      </c>
      <c r="AH74" s="35">
        <f ca="1"/>
        <v>11177.849054054726</v>
      </c>
      <c r="AI74" s="35">
        <f ca="1"/>
        <v>11177.849054054726</v>
      </c>
      <c r="AJ74" s="35">
        <f ca="1"/>
        <v>11177.849054054726</v>
      </c>
      <c r="AK74" s="36">
        <f ca="1"/>
        <v>11177.849054054726</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3390.3034720000001</v>
      </c>
      <c r="F78" s="28">
        <f ca="1"/>
        <v>3390.3034720000001</v>
      </c>
      <c r="G78" s="28">
        <f ca="1"/>
        <v>3390.3034720000001</v>
      </c>
      <c r="H78" s="28">
        <f ca="1"/>
        <v>3390.3034720000001</v>
      </c>
      <c r="I78" s="28">
        <f ca="1"/>
        <v>3390.3034720000001</v>
      </c>
      <c r="J78" s="28">
        <f ca="1"/>
        <v>3390.3034720000001</v>
      </c>
      <c r="K78" s="28">
        <f ca="1"/>
        <v>3390.3034720000001</v>
      </c>
      <c r="L78" s="28">
        <f ca="1"/>
        <v>3390.3034720000001</v>
      </c>
      <c r="M78" s="28">
        <f ca="1"/>
        <v>3390.3034720000001</v>
      </c>
      <c r="N78" s="28">
        <f ca="1"/>
        <v>3390.3034720000001</v>
      </c>
      <c r="O78" s="28">
        <f ca="1"/>
        <v>3390.3034720000001</v>
      </c>
      <c r="P78" s="28">
        <f ca="1"/>
        <v>3390.3034720000001</v>
      </c>
      <c r="Q78" s="28">
        <f ca="1"/>
        <v>3390.3034720000001</v>
      </c>
      <c r="R78" s="28">
        <f ca="1"/>
        <v>3390.3034720000001</v>
      </c>
      <c r="S78" s="28">
        <f ca="1"/>
        <v>3390.3034720000001</v>
      </c>
      <c r="T78" s="28">
        <f ca="1"/>
        <v>3390.3034720000001</v>
      </c>
      <c r="U78" s="28">
        <f ca="1"/>
        <v>3390.3034720000001</v>
      </c>
      <c r="V78" s="28">
        <f ca="1"/>
        <v>3390.3034720000001</v>
      </c>
      <c r="W78" s="28">
        <f ca="1"/>
        <v>3390.3034720000001</v>
      </c>
      <c r="X78" s="28">
        <f ca="1"/>
        <v>3390.3034720000001</v>
      </c>
      <c r="Y78" s="28">
        <f ca="1"/>
        <v>3390.3034720000001</v>
      </c>
      <c r="Z78" s="28">
        <f ca="1"/>
        <v>3390.3034720000001</v>
      </c>
      <c r="AA78" s="28">
        <f ca="1"/>
        <v>3390.3034720000001</v>
      </c>
      <c r="AB78" s="28">
        <f ca="1"/>
        <v>3390.3034720000001</v>
      </c>
      <c r="AC78" s="28">
        <f ca="1"/>
        <v>3390.3034720000001</v>
      </c>
      <c r="AD78" s="28">
        <f ca="1"/>
        <v>3390.3034720000001</v>
      </c>
      <c r="AE78" s="28">
        <f ca="1"/>
        <v>3390.3034720000001</v>
      </c>
      <c r="AF78" s="28">
        <f ca="1"/>
        <v>3390.3034720000001</v>
      </c>
      <c r="AG78" s="28">
        <f ca="1"/>
        <v>3390.3034720000001</v>
      </c>
      <c r="AH78" s="28">
        <f ca="1"/>
        <v>3390.3034720000001</v>
      </c>
      <c r="AI78" s="28">
        <f ca="1"/>
        <v>3390.3034720000001</v>
      </c>
      <c r="AJ78" s="28">
        <f ca="1"/>
        <v>3390.3034720000001</v>
      </c>
      <c r="AK78" s="29">
        <f ca="1"/>
        <v>3390.3034720000001</v>
      </c>
      <c r="AL78" s="3"/>
    </row>
    <row r="79" spans="2:38" hidden="1">
      <c r="B79" s="3"/>
      <c r="C79" s="12"/>
      <c r="D79" s="16"/>
      <c r="E79" s="141">
        <f t="array" aca="1" ref="E79:AK79" ca="1">tlccQupol2</f>
        <v>4118.9585079999997</v>
      </c>
      <c r="F79" s="28">
        <f ca="1"/>
        <v>4118.9585079999997</v>
      </c>
      <c r="G79" s="28">
        <f ca="1"/>
        <v>4118.9585079999997</v>
      </c>
      <c r="H79" s="28">
        <f ca="1"/>
        <v>4118.9585079999997</v>
      </c>
      <c r="I79" s="28">
        <f ca="1"/>
        <v>4118.9585079999997</v>
      </c>
      <c r="J79" s="28">
        <f ca="1"/>
        <v>4118.9585079999997</v>
      </c>
      <c r="K79" s="28">
        <f ca="1"/>
        <v>4118.9585079999997</v>
      </c>
      <c r="L79" s="28">
        <f ca="1"/>
        <v>4118.9585079999997</v>
      </c>
      <c r="M79" s="28">
        <f ca="1"/>
        <v>4118.9585079999997</v>
      </c>
      <c r="N79" s="28">
        <f ca="1"/>
        <v>4118.9585079999997</v>
      </c>
      <c r="O79" s="28">
        <f ca="1"/>
        <v>4118.9585079999997</v>
      </c>
      <c r="P79" s="28">
        <f ca="1"/>
        <v>4118.9585079999997</v>
      </c>
      <c r="Q79" s="28">
        <f ca="1"/>
        <v>4118.9585079999997</v>
      </c>
      <c r="R79" s="28">
        <f ca="1"/>
        <v>4118.9585079999997</v>
      </c>
      <c r="S79" s="28">
        <f ca="1"/>
        <v>4118.9585079999997</v>
      </c>
      <c r="T79" s="28">
        <f ca="1"/>
        <v>4118.9585079999997</v>
      </c>
      <c r="U79" s="28">
        <f ca="1"/>
        <v>4118.9585079999997</v>
      </c>
      <c r="V79" s="28">
        <f ca="1"/>
        <v>4118.9585079999997</v>
      </c>
      <c r="W79" s="28">
        <f ca="1"/>
        <v>4118.9585079999997</v>
      </c>
      <c r="X79" s="28">
        <f ca="1"/>
        <v>4118.9585079999997</v>
      </c>
      <c r="Y79" s="28">
        <f ca="1"/>
        <v>4118.9585079999997</v>
      </c>
      <c r="Z79" s="28">
        <f ca="1"/>
        <v>4118.9585079999997</v>
      </c>
      <c r="AA79" s="28">
        <f ca="1"/>
        <v>4118.9585079999997</v>
      </c>
      <c r="AB79" s="28">
        <f ca="1"/>
        <v>4118.9585079999997</v>
      </c>
      <c r="AC79" s="28">
        <f ca="1"/>
        <v>4118.9585079999997</v>
      </c>
      <c r="AD79" s="28">
        <f ca="1"/>
        <v>4118.9585079999997</v>
      </c>
      <c r="AE79" s="28">
        <f ca="1"/>
        <v>4118.9585079999997</v>
      </c>
      <c r="AF79" s="28">
        <f ca="1"/>
        <v>4118.9585079999997</v>
      </c>
      <c r="AG79" s="28">
        <f ca="1"/>
        <v>4118.9585079999997</v>
      </c>
      <c r="AH79" s="28">
        <f ca="1"/>
        <v>4118.9585079999997</v>
      </c>
      <c r="AI79" s="28">
        <f ca="1"/>
        <v>4118.9585079999997</v>
      </c>
      <c r="AJ79" s="28">
        <f ca="1"/>
        <v>4118.9585079999997</v>
      </c>
      <c r="AK79" s="29">
        <f ca="1"/>
        <v>4118.9585079999997</v>
      </c>
      <c r="AL79" s="3"/>
    </row>
    <row r="80" spans="2:38" hidden="1">
      <c r="B80" s="3"/>
      <c r="C80" s="12"/>
      <c r="D80" s="16"/>
      <c r="E80" s="141">
        <f t="array" aca="1" ref="E80:AK80" ca="1">tlccQupol3</f>
        <v>5736.9743870000002</v>
      </c>
      <c r="F80" s="28">
        <f ca="1"/>
        <v>5736.9743870000002</v>
      </c>
      <c r="G80" s="28">
        <f ca="1"/>
        <v>5736.9743870000002</v>
      </c>
      <c r="H80" s="28">
        <f ca="1"/>
        <v>5736.9743870000002</v>
      </c>
      <c r="I80" s="28">
        <f ca="1"/>
        <v>5736.9743870000002</v>
      </c>
      <c r="J80" s="28">
        <f ca="1"/>
        <v>5736.9743870000002</v>
      </c>
      <c r="K80" s="28">
        <f ca="1"/>
        <v>5736.9743870000002</v>
      </c>
      <c r="L80" s="28">
        <f ca="1"/>
        <v>5736.9743870000002</v>
      </c>
      <c r="M80" s="28">
        <f ca="1"/>
        <v>5736.9743870000002</v>
      </c>
      <c r="N80" s="28">
        <f ca="1"/>
        <v>5736.9743870000002</v>
      </c>
      <c r="O80" s="28">
        <f ca="1"/>
        <v>5736.9743870000002</v>
      </c>
      <c r="P80" s="28">
        <f ca="1"/>
        <v>5736.9743870000002</v>
      </c>
      <c r="Q80" s="28">
        <f ca="1"/>
        <v>5736.9743870000002</v>
      </c>
      <c r="R80" s="28">
        <f ca="1"/>
        <v>5736.9743870000002</v>
      </c>
      <c r="S80" s="28">
        <f ca="1"/>
        <v>5736.9743870000002</v>
      </c>
      <c r="T80" s="28">
        <f ca="1"/>
        <v>5736.9743870000002</v>
      </c>
      <c r="U80" s="28">
        <f ca="1"/>
        <v>5736.9743870000002</v>
      </c>
      <c r="V80" s="28">
        <f ca="1"/>
        <v>5736.9743870000002</v>
      </c>
      <c r="W80" s="28">
        <f ca="1"/>
        <v>5736.9743870000002</v>
      </c>
      <c r="X80" s="28">
        <f ca="1"/>
        <v>5736.9743870000002</v>
      </c>
      <c r="Y80" s="28">
        <f ca="1"/>
        <v>5736.9743870000002</v>
      </c>
      <c r="Z80" s="28">
        <f ca="1"/>
        <v>5736.9743870000002</v>
      </c>
      <c r="AA80" s="28">
        <f ca="1"/>
        <v>5736.9743870000002</v>
      </c>
      <c r="AB80" s="28">
        <f ca="1"/>
        <v>5736.9743870000002</v>
      </c>
      <c r="AC80" s="28">
        <f ca="1"/>
        <v>5736.9743870000002</v>
      </c>
      <c r="AD80" s="28">
        <f ca="1"/>
        <v>5736.9743870000002</v>
      </c>
      <c r="AE80" s="28">
        <f ca="1"/>
        <v>5736.9743870000002</v>
      </c>
      <c r="AF80" s="28">
        <f ca="1"/>
        <v>5736.9743870000002</v>
      </c>
      <c r="AG80" s="28">
        <f ca="1"/>
        <v>5736.9743870000002</v>
      </c>
      <c r="AH80" s="28">
        <f ca="1"/>
        <v>5736.9743870000002</v>
      </c>
      <c r="AI80" s="28">
        <f ca="1"/>
        <v>5736.9743870000002</v>
      </c>
      <c r="AJ80" s="28">
        <f ca="1"/>
        <v>5736.9743870000002</v>
      </c>
      <c r="AK80" s="29">
        <f ca="1"/>
        <v>5736.9743870000002</v>
      </c>
      <c r="AL80" s="3"/>
    </row>
    <row r="81" spans="2:38" hidden="1">
      <c r="B81" s="3"/>
      <c r="C81" s="12"/>
      <c r="D81" s="16"/>
      <c r="E81" s="141">
        <f t="array" aca="1" ref="E81:AK81" ca="1">tlccQupol4</f>
        <v>4467.2616740000003</v>
      </c>
      <c r="F81" s="28">
        <f ca="1"/>
        <v>4467.2616740000003</v>
      </c>
      <c r="G81" s="28">
        <f ca="1"/>
        <v>4467.2616740000003</v>
      </c>
      <c r="H81" s="28">
        <f ca="1"/>
        <v>4467.2616740000003</v>
      </c>
      <c r="I81" s="28">
        <f ca="1"/>
        <v>4467.2616740000003</v>
      </c>
      <c r="J81" s="28">
        <f ca="1"/>
        <v>4467.2616740000003</v>
      </c>
      <c r="K81" s="28">
        <f ca="1"/>
        <v>4467.2616740000003</v>
      </c>
      <c r="L81" s="28">
        <f ca="1"/>
        <v>4467.2616740000003</v>
      </c>
      <c r="M81" s="28">
        <f ca="1"/>
        <v>4467.2616740000003</v>
      </c>
      <c r="N81" s="28">
        <f ca="1"/>
        <v>4467.2616740000003</v>
      </c>
      <c r="O81" s="28">
        <f ca="1"/>
        <v>4467.2616740000003</v>
      </c>
      <c r="P81" s="28">
        <f ca="1"/>
        <v>4467.2616740000003</v>
      </c>
      <c r="Q81" s="28">
        <f ca="1"/>
        <v>4467.2616740000003</v>
      </c>
      <c r="R81" s="28">
        <f ca="1"/>
        <v>4467.2616740000003</v>
      </c>
      <c r="S81" s="28">
        <f ca="1"/>
        <v>4467.2616740000003</v>
      </c>
      <c r="T81" s="28">
        <f ca="1"/>
        <v>4467.2616740000003</v>
      </c>
      <c r="U81" s="28">
        <f ca="1"/>
        <v>4467.2616740000003</v>
      </c>
      <c r="V81" s="28">
        <f ca="1"/>
        <v>4467.2616740000003</v>
      </c>
      <c r="W81" s="28">
        <f ca="1"/>
        <v>4467.2616740000003</v>
      </c>
      <c r="X81" s="28">
        <f ca="1"/>
        <v>4467.2616740000003</v>
      </c>
      <c r="Y81" s="28">
        <f ca="1"/>
        <v>4467.2616740000003</v>
      </c>
      <c r="Z81" s="28">
        <f ca="1"/>
        <v>4467.2616740000003</v>
      </c>
      <c r="AA81" s="28">
        <f ca="1"/>
        <v>4467.2616740000003</v>
      </c>
      <c r="AB81" s="28">
        <f ca="1"/>
        <v>4467.2616740000003</v>
      </c>
      <c r="AC81" s="28">
        <f ca="1"/>
        <v>4467.2616740000003</v>
      </c>
      <c r="AD81" s="28">
        <f ca="1"/>
        <v>4467.2616740000003</v>
      </c>
      <c r="AE81" s="28">
        <f ca="1"/>
        <v>4467.2616740000003</v>
      </c>
      <c r="AF81" s="28">
        <f ca="1"/>
        <v>4467.2616740000003</v>
      </c>
      <c r="AG81" s="28">
        <f ca="1"/>
        <v>4467.2616740000003</v>
      </c>
      <c r="AH81" s="28">
        <f ca="1"/>
        <v>4467.2616740000003</v>
      </c>
      <c r="AI81" s="28">
        <f ca="1"/>
        <v>4467.2616740000003</v>
      </c>
      <c r="AJ81" s="28">
        <f ca="1"/>
        <v>4467.2616740000003</v>
      </c>
      <c r="AK81" s="29">
        <f ca="1"/>
        <v>4467.2616740000003</v>
      </c>
      <c r="AL81" s="3"/>
    </row>
    <row r="82" spans="2:38" hidden="1">
      <c r="B82" s="3"/>
      <c r="C82" s="12"/>
      <c r="D82" s="16"/>
      <c r="E82" s="141">
        <f t="array" aca="1" ref="E82:AK82" ca="1">tlccQupol5</f>
        <v>5251.4470199999996</v>
      </c>
      <c r="F82" s="28">
        <f ca="1"/>
        <v>5251.4470199999996</v>
      </c>
      <c r="G82" s="28">
        <f ca="1"/>
        <v>5251.4470199999996</v>
      </c>
      <c r="H82" s="28">
        <f ca="1"/>
        <v>5251.4470199999996</v>
      </c>
      <c r="I82" s="28">
        <f ca="1"/>
        <v>5251.4470199999996</v>
      </c>
      <c r="J82" s="28">
        <f ca="1"/>
        <v>5251.4470199999996</v>
      </c>
      <c r="K82" s="28">
        <f ca="1"/>
        <v>5251.4470199999996</v>
      </c>
      <c r="L82" s="28">
        <f ca="1"/>
        <v>5251.4470199999996</v>
      </c>
      <c r="M82" s="28">
        <f ca="1"/>
        <v>5251.4470199999996</v>
      </c>
      <c r="N82" s="28">
        <f ca="1"/>
        <v>5251.4470199999996</v>
      </c>
      <c r="O82" s="28">
        <f ca="1"/>
        <v>5251.4470199999996</v>
      </c>
      <c r="P82" s="28">
        <f ca="1"/>
        <v>5251.4470199999996</v>
      </c>
      <c r="Q82" s="28">
        <f ca="1"/>
        <v>5251.4470199999996</v>
      </c>
      <c r="R82" s="28">
        <f ca="1"/>
        <v>5251.4470199999996</v>
      </c>
      <c r="S82" s="28">
        <f ca="1"/>
        <v>5251.4470199999996</v>
      </c>
      <c r="T82" s="28">
        <f ca="1"/>
        <v>5251.4470199999996</v>
      </c>
      <c r="U82" s="28">
        <f ca="1"/>
        <v>5251.4470199999996</v>
      </c>
      <c r="V82" s="28">
        <f ca="1"/>
        <v>5251.4470199999996</v>
      </c>
      <c r="W82" s="28">
        <f ca="1"/>
        <v>5251.4470199999996</v>
      </c>
      <c r="X82" s="28">
        <f ca="1"/>
        <v>5251.4470199999996</v>
      </c>
      <c r="Y82" s="28">
        <f ca="1"/>
        <v>5251.4470199999996</v>
      </c>
      <c r="Z82" s="28">
        <f ca="1"/>
        <v>5251.4470199999996</v>
      </c>
      <c r="AA82" s="28">
        <f ca="1"/>
        <v>5251.4470199999996</v>
      </c>
      <c r="AB82" s="28">
        <f ca="1"/>
        <v>5251.4470199999996</v>
      </c>
      <c r="AC82" s="28">
        <f ca="1"/>
        <v>5251.4470199999996</v>
      </c>
      <c r="AD82" s="28">
        <f ca="1"/>
        <v>5251.4470199999996</v>
      </c>
      <c r="AE82" s="28">
        <f ca="1"/>
        <v>5251.4470199999996</v>
      </c>
      <c r="AF82" s="28">
        <f ca="1"/>
        <v>5251.4470199999996</v>
      </c>
      <c r="AG82" s="28">
        <f ca="1"/>
        <v>5251.4470199999996</v>
      </c>
      <c r="AH82" s="28">
        <f ca="1"/>
        <v>5251.4470199999996</v>
      </c>
      <c r="AI82" s="28">
        <f ca="1"/>
        <v>5251.4470199999996</v>
      </c>
      <c r="AJ82" s="28">
        <f ca="1"/>
        <v>5251.4470199999996</v>
      </c>
      <c r="AK82" s="29">
        <f ca="1"/>
        <v>5251.4470199999996</v>
      </c>
      <c r="AL82" s="3"/>
    </row>
    <row r="83" spans="2:38" hidden="1">
      <c r="B83" s="3"/>
      <c r="C83" s="4"/>
      <c r="D83" s="5"/>
      <c r="E83" s="147">
        <f t="array" aca="1" ref="E83:AK83" ca="1">tlccQupol6</f>
        <v>5343.6922789999999</v>
      </c>
      <c r="F83" s="35">
        <f ca="1"/>
        <v>5343.6922789999999</v>
      </c>
      <c r="G83" s="35">
        <f ca="1"/>
        <v>5343.6922789999999</v>
      </c>
      <c r="H83" s="35">
        <f ca="1"/>
        <v>5343.6922789999999</v>
      </c>
      <c r="I83" s="35">
        <f ca="1"/>
        <v>5343.6922789999999</v>
      </c>
      <c r="J83" s="35">
        <f ca="1"/>
        <v>5343.6922789999999</v>
      </c>
      <c r="K83" s="35">
        <f ca="1"/>
        <v>5343.6922789999999</v>
      </c>
      <c r="L83" s="35">
        <f ca="1"/>
        <v>5343.6922789999999</v>
      </c>
      <c r="M83" s="35">
        <f ca="1"/>
        <v>5343.6922789999999</v>
      </c>
      <c r="N83" s="35">
        <f ca="1"/>
        <v>5343.6922789999999</v>
      </c>
      <c r="O83" s="35">
        <f ca="1"/>
        <v>5343.6922789999999</v>
      </c>
      <c r="P83" s="35">
        <f ca="1"/>
        <v>5343.6922789999999</v>
      </c>
      <c r="Q83" s="35">
        <f ca="1"/>
        <v>5343.6922789999999</v>
      </c>
      <c r="R83" s="35">
        <f ca="1"/>
        <v>5343.6922789999999</v>
      </c>
      <c r="S83" s="35">
        <f ca="1"/>
        <v>5343.6922789999999</v>
      </c>
      <c r="T83" s="35">
        <f ca="1"/>
        <v>5343.6922789999999</v>
      </c>
      <c r="U83" s="35">
        <f ca="1"/>
        <v>5343.6922789999999</v>
      </c>
      <c r="V83" s="35">
        <f ca="1"/>
        <v>5343.6922789999999</v>
      </c>
      <c r="W83" s="35">
        <f ca="1"/>
        <v>5343.6922789999999</v>
      </c>
      <c r="X83" s="35">
        <f ca="1"/>
        <v>5343.6922789999999</v>
      </c>
      <c r="Y83" s="35">
        <f ca="1"/>
        <v>5343.6922789999999</v>
      </c>
      <c r="Z83" s="35">
        <f ca="1"/>
        <v>5343.6922789999999</v>
      </c>
      <c r="AA83" s="35">
        <f ca="1"/>
        <v>5343.6922789999999</v>
      </c>
      <c r="AB83" s="35">
        <f ca="1"/>
        <v>5343.6922789999999</v>
      </c>
      <c r="AC83" s="35">
        <f ca="1"/>
        <v>5343.6922789999999</v>
      </c>
      <c r="AD83" s="35">
        <f ca="1"/>
        <v>5343.6922789999999</v>
      </c>
      <c r="AE83" s="35">
        <f ca="1"/>
        <v>5343.6922789999999</v>
      </c>
      <c r="AF83" s="35">
        <f ca="1"/>
        <v>5343.6922789999999</v>
      </c>
      <c r="AG83" s="35">
        <f ca="1"/>
        <v>5343.6922789999999</v>
      </c>
      <c r="AH83" s="35">
        <f ca="1"/>
        <v>5343.6922789999999</v>
      </c>
      <c r="AI83" s="35">
        <f ca="1"/>
        <v>5343.6922789999999</v>
      </c>
      <c r="AJ83" s="35">
        <f ca="1"/>
        <v>5343.6922789999999</v>
      </c>
      <c r="AK83" s="36">
        <f ca="1"/>
        <v>5343.6922789999999</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35741.821773048752</v>
      </c>
      <c r="F87" s="28">
        <f ca="1"/>
        <v>35899.154973104181</v>
      </c>
      <c r="G87" s="28">
        <f ca="1"/>
        <v>36038.454403017859</v>
      </c>
      <c r="H87" s="28">
        <f ca="1"/>
        <v>36190.282088083368</v>
      </c>
      <c r="I87" s="28">
        <f ca="1"/>
        <v>36323.712427604667</v>
      </c>
      <c r="J87" s="28">
        <f ca="1"/>
        <v>36469.296914088322</v>
      </c>
      <c r="K87" s="28">
        <f ca="1"/>
        <v>36596.097747691791</v>
      </c>
      <c r="L87" s="28">
        <f ca="1"/>
        <v>36734.59261555969</v>
      </c>
      <c r="M87" s="28">
        <f ca="1"/>
        <v>36885.604066290354</v>
      </c>
      <c r="N87" s="28">
        <f ca="1"/>
        <v>37018.232308199069</v>
      </c>
      <c r="O87" s="28">
        <f ca="1"/>
        <v>37162.985716525101</v>
      </c>
      <c r="P87" s="28">
        <f ca="1"/>
        <v>37320.785332474385</v>
      </c>
      <c r="Q87" s="28">
        <f ca="1"/>
        <v>37460.688515516253</v>
      </c>
      <c r="R87" s="28">
        <f ca="1"/>
        <v>37613.255331412998</v>
      </c>
      <c r="S87" s="28">
        <f ca="1"/>
        <v>37747.620364969407</v>
      </c>
      <c r="T87" s="28">
        <f ca="1"/>
        <v>37894.284143217199</v>
      </c>
      <c r="U87" s="28">
        <f ca="1"/>
        <v>38054.251335203167</v>
      </c>
      <c r="V87" s="28">
        <f ca="1"/>
        <v>38196.513919797457</v>
      </c>
      <c r="W87" s="28">
        <f ca="1"/>
        <v>38351.735908004499</v>
      </c>
      <c r="X87" s="28">
        <f ca="1"/>
        <v>38488.969210483265</v>
      </c>
      <c r="Y87" s="28">
        <f ca="1"/>
        <v>38638.747397799518</v>
      </c>
      <c r="Z87" s="28">
        <f ca="1"/>
        <v>38802.127646827124</v>
      </c>
      <c r="AA87" s="28">
        <f ca="1"/>
        <v>38948.059537211302</v>
      </c>
      <c r="AB87" s="28">
        <f ca="1"/>
        <v>39107.336219969613</v>
      </c>
      <c r="AC87" s="28">
        <f ca="1"/>
        <v>39248.898527898556</v>
      </c>
      <c r="AD87" s="28">
        <f ca="1"/>
        <v>39403.45952092122</v>
      </c>
      <c r="AE87" s="28">
        <f ca="1"/>
        <v>39571.794595572435</v>
      </c>
      <c r="AF87" s="28">
        <f ca="1"/>
        <v>39723.183492685217</v>
      </c>
      <c r="AG87" s="28">
        <f ca="1"/>
        <v>39888.348014442105</v>
      </c>
      <c r="AH87" s="28">
        <f ca="1"/>
        <v>40036.301161783536</v>
      </c>
      <c r="AI87" s="28">
        <f ca="1"/>
        <v>40197.798358543907</v>
      </c>
      <c r="AJ87" s="28">
        <f ca="1"/>
        <v>40341.839650639609</v>
      </c>
      <c r="AK87" s="29">
        <f ca="1"/>
        <v>40499.19393071856</v>
      </c>
      <c r="AL87" s="3"/>
    </row>
    <row r="88" spans="2:38" hidden="1">
      <c r="B88" s="3"/>
      <c r="C88" s="12"/>
      <c r="D88" s="16"/>
      <c r="E88" s="141">
        <f t="array" aca="1" ref="E88:AK88" ca="1">tlccEupol2</f>
        <v>38786.032735976762</v>
      </c>
      <c r="F88" s="28">
        <f ca="1"/>
        <v>38956.766356846849</v>
      </c>
      <c r="G88" s="28">
        <f ca="1"/>
        <v>39107.930231006401</v>
      </c>
      <c r="H88" s="28">
        <f ca="1"/>
        <v>39272.689419851602</v>
      </c>
      <c r="I88" s="28">
        <f ca="1"/>
        <v>39417.48432005303</v>
      </c>
      <c r="J88" s="28">
        <f ca="1"/>
        <v>39575.468563118782</v>
      </c>
      <c r="K88" s="28">
        <f ca="1"/>
        <v>39713.069307544283</v>
      </c>
      <c r="L88" s="28">
        <f ca="1"/>
        <v>39863.36009330774</v>
      </c>
      <c r="M88" s="28">
        <f ca="1"/>
        <v>40027.233527312797</v>
      </c>
      <c r="N88" s="28">
        <f ca="1"/>
        <v>40171.158013452572</v>
      </c>
      <c r="O88" s="28">
        <f ca="1"/>
        <v>40328.240393573775</v>
      </c>
      <c r="P88" s="28">
        <f ca="1"/>
        <v>40499.480156023375</v>
      </c>
      <c r="Q88" s="28">
        <f ca="1"/>
        <v>40651.299206316493</v>
      </c>
      <c r="R88" s="28">
        <f ca="1"/>
        <v>40816.860479420277</v>
      </c>
      <c r="S88" s="28">
        <f ca="1"/>
        <v>40962.66968363995</v>
      </c>
      <c r="T88" s="28">
        <f ca="1"/>
        <v>41121.825144165166</v>
      </c>
      <c r="U88" s="28">
        <f ca="1"/>
        <v>41295.417099954284</v>
      </c>
      <c r="V88" s="28">
        <f ca="1"/>
        <v>41449.796507311177</v>
      </c>
      <c r="W88" s="28">
        <f ca="1"/>
        <v>41618.239099694132</v>
      </c>
      <c r="X88" s="28">
        <f ca="1"/>
        <v>41767.160869720465</v>
      </c>
      <c r="Y88" s="28">
        <f ca="1"/>
        <v>41929.696000505675</v>
      </c>
      <c r="Z88" s="28">
        <f ca="1"/>
        <v>42106.991711044277</v>
      </c>
      <c r="AA88" s="28">
        <f ca="1"/>
        <v>42265.35294717834</v>
      </c>
      <c r="AB88" s="28">
        <f ca="1"/>
        <v>42438.195581523294</v>
      </c>
      <c r="AC88" s="28">
        <f ca="1"/>
        <v>42591.815068083779</v>
      </c>
      <c r="AD88" s="28">
        <f ca="1"/>
        <v>42759.540366842979</v>
      </c>
      <c r="AE88" s="28">
        <f ca="1"/>
        <v>42942.212916594122</v>
      </c>
      <c r="AF88" s="28">
        <f ca="1"/>
        <v>43106.495944934526</v>
      </c>
      <c r="AG88" s="28">
        <f ca="1"/>
        <v>43285.727898704594</v>
      </c>
      <c r="AH88" s="28">
        <f ca="1"/>
        <v>43446.282546775263</v>
      </c>
      <c r="AI88" s="28">
        <f ca="1"/>
        <v>43621.534821270165</v>
      </c>
      <c r="AJ88" s="28">
        <f ca="1"/>
        <v>43777.844432627709</v>
      </c>
      <c r="AK88" s="29">
        <f ca="1"/>
        <v>43948.600928954045</v>
      </c>
      <c r="AL88" s="3"/>
    </row>
    <row r="89" spans="2:38" hidden="1">
      <c r="B89" s="3"/>
      <c r="C89" s="12"/>
      <c r="D89" s="16"/>
      <c r="E89" s="141">
        <f t="array" aca="1" ref="E89:AK89" ca="1">tlccEupol3</f>
        <v>153760.79777953654</v>
      </c>
      <c r="F89" s="28">
        <f ca="1"/>
        <v>154437.64291942169</v>
      </c>
      <c r="G89" s="28">
        <f ca="1"/>
        <v>155036.90704226811</v>
      </c>
      <c r="H89" s="28">
        <f ca="1"/>
        <v>155690.06753668629</v>
      </c>
      <c r="I89" s="28">
        <f ca="1"/>
        <v>156264.08291796883</v>
      </c>
      <c r="J89" s="28">
        <f ca="1"/>
        <v>156890.3852628296</v>
      </c>
      <c r="K89" s="28">
        <f ca="1"/>
        <v>157435.88060600997</v>
      </c>
      <c r="L89" s="28">
        <f ca="1"/>
        <v>158031.6835146294</v>
      </c>
      <c r="M89" s="28">
        <f ca="1"/>
        <v>158681.33258080261</v>
      </c>
      <c r="N89" s="28">
        <f ca="1"/>
        <v>159251.89734981375</v>
      </c>
      <c r="O89" s="28">
        <f ca="1"/>
        <v>159874.62440851968</v>
      </c>
      <c r="P89" s="28">
        <f ca="1"/>
        <v>160553.47606280106</v>
      </c>
      <c r="Q89" s="28">
        <f ca="1"/>
        <v>161155.3375228298</v>
      </c>
      <c r="R89" s="28">
        <f ca="1"/>
        <v>161811.67774734116</v>
      </c>
      <c r="S89" s="28">
        <f ca="1"/>
        <v>162389.71416877743</v>
      </c>
      <c r="T89" s="28">
        <f ca="1"/>
        <v>163020.6596111203</v>
      </c>
      <c r="U89" s="28">
        <f ca="1"/>
        <v>163708.83614600697</v>
      </c>
      <c r="V89" s="28">
        <f ca="1"/>
        <v>164320.84771722165</v>
      </c>
      <c r="W89" s="28">
        <f ca="1"/>
        <v>164988.61045442044</v>
      </c>
      <c r="X89" s="28">
        <f ca="1"/>
        <v>165578.98612707216</v>
      </c>
      <c r="Y89" s="28">
        <f ca="1"/>
        <v>166223.32971196153</v>
      </c>
      <c r="Z89" s="28">
        <f ca="1"/>
        <v>166926.18916863433</v>
      </c>
      <c r="AA89" s="28">
        <f ca="1"/>
        <v>167553.9860400256</v>
      </c>
      <c r="AB89" s="28">
        <f ca="1"/>
        <v>168239.19201425099</v>
      </c>
      <c r="AC89" s="28">
        <f ca="1"/>
        <v>168848.19100542946</v>
      </c>
      <c r="AD89" s="28">
        <f ca="1"/>
        <v>169513.11015095242</v>
      </c>
      <c r="AE89" s="28">
        <f ca="1"/>
        <v>170237.28519544238</v>
      </c>
      <c r="AF89" s="28">
        <f ca="1"/>
        <v>170888.55803046536</v>
      </c>
      <c r="AG89" s="28">
        <f ca="1"/>
        <v>171599.09340248612</v>
      </c>
      <c r="AH89" s="28">
        <f ca="1"/>
        <v>172235.58569192982</v>
      </c>
      <c r="AI89" s="28">
        <f ca="1"/>
        <v>172930.34428511819</v>
      </c>
      <c r="AJ89" s="28">
        <f ca="1"/>
        <v>173550.0078301513</v>
      </c>
      <c r="AK89" s="29">
        <f ca="1"/>
        <v>174226.9436559912</v>
      </c>
      <c r="AL89" s="3"/>
    </row>
    <row r="90" spans="2:38" hidden="1">
      <c r="B90" s="3"/>
      <c r="C90" s="12"/>
      <c r="D90" s="16"/>
      <c r="E90" s="141">
        <f t="array" aca="1" ref="E90:AK90" ca="1">tlccEupol4</f>
        <v>46598.680856484127</v>
      </c>
      <c r="F90" s="28">
        <f ca="1"/>
        <v>46803.805251767204</v>
      </c>
      <c r="G90" s="28">
        <f ca="1"/>
        <v>46985.417977588935</v>
      </c>
      <c r="H90" s="28">
        <f ca="1"/>
        <v>47183.364514463014</v>
      </c>
      <c r="I90" s="28">
        <f ca="1"/>
        <v>47357.325367589241</v>
      </c>
      <c r="J90" s="28">
        <f ca="1"/>
        <v>47547.132285277585</v>
      </c>
      <c r="K90" s="28">
        <f ca="1"/>
        <v>47712.449867994648</v>
      </c>
      <c r="L90" s="28">
        <f ca="1"/>
        <v>47893.013639730059</v>
      </c>
      <c r="M90" s="28">
        <f ca="1"/>
        <v>48089.896004679329</v>
      </c>
      <c r="N90" s="28">
        <f ca="1"/>
        <v>48262.811116743389</v>
      </c>
      <c r="O90" s="28">
        <f ca="1"/>
        <v>48451.534509756304</v>
      </c>
      <c r="P90" s="28">
        <f ca="1"/>
        <v>48657.26699842426</v>
      </c>
      <c r="Q90" s="28">
        <f ca="1"/>
        <v>48839.666872128844</v>
      </c>
      <c r="R90" s="28">
        <f ca="1"/>
        <v>49038.577056629387</v>
      </c>
      <c r="S90" s="28">
        <f ca="1"/>
        <v>49213.75652444506</v>
      </c>
      <c r="T90" s="28">
        <f ca="1"/>
        <v>49404.970577247695</v>
      </c>
      <c r="U90" s="28">
        <f ca="1"/>
        <v>49613.529060197827</v>
      </c>
      <c r="V90" s="28">
        <f ca="1"/>
        <v>49799.005022207311</v>
      </c>
      <c r="W90" s="28">
        <f ca="1"/>
        <v>50001.37690846141</v>
      </c>
      <c r="X90" s="28">
        <f ca="1"/>
        <v>50180.295904412334</v>
      </c>
      <c r="Y90" s="28">
        <f ca="1"/>
        <v>50375.570392498914</v>
      </c>
      <c r="Z90" s="28">
        <f ca="1"/>
        <v>50588.578675373588</v>
      </c>
      <c r="AA90" s="28">
        <f ca="1"/>
        <v>50778.838523625724</v>
      </c>
      <c r="AB90" s="28">
        <f ca="1"/>
        <v>50986.496749746999</v>
      </c>
      <c r="AC90" s="28">
        <f ca="1"/>
        <v>51171.059720554011</v>
      </c>
      <c r="AD90" s="28">
        <f ca="1"/>
        <v>51372.56982914493</v>
      </c>
      <c r="AE90" s="28">
        <f ca="1"/>
        <v>51592.038004842063</v>
      </c>
      <c r="AF90" s="28">
        <f ca="1"/>
        <v>51789.412468476497</v>
      </c>
      <c r="AG90" s="28">
        <f ca="1"/>
        <v>52004.747010935855</v>
      </c>
      <c r="AH90" s="28">
        <f ca="1"/>
        <v>52197.642088821238</v>
      </c>
      <c r="AI90" s="28">
        <f ca="1"/>
        <v>52408.195327512854</v>
      </c>
      <c r="AJ90" s="28">
        <f ca="1"/>
        <v>52595.990293397437</v>
      </c>
      <c r="AK90" s="29">
        <f ca="1"/>
        <v>52801.142171926724</v>
      </c>
      <c r="AL90" s="3"/>
    </row>
    <row r="91" spans="2:38" hidden="1">
      <c r="B91" s="3"/>
      <c r="C91" s="12"/>
      <c r="D91" s="16"/>
      <c r="E91" s="141">
        <f t="array" aca="1" ref="E91:AK91" ca="1">tlccEupol5</f>
        <v>66305.480460791805</v>
      </c>
      <c r="F91" s="28">
        <f ca="1"/>
        <v>66597.352920129459</v>
      </c>
      <c r="G91" s="28">
        <f ca="1"/>
        <v>66855.770515264594</v>
      </c>
      <c r="H91" s="28">
        <f ca="1"/>
        <v>67137.429566374005</v>
      </c>
      <c r="I91" s="28">
        <f ca="1"/>
        <v>67384.959276140449</v>
      </c>
      <c r="J91" s="28">
        <f ca="1"/>
        <v>67655.036425123835</v>
      </c>
      <c r="K91" s="28">
        <f ca="1"/>
        <v>67890.267585088077</v>
      </c>
      <c r="L91" s="28">
        <f ca="1"/>
        <v>68147.192618558474</v>
      </c>
      <c r="M91" s="28">
        <f ca="1"/>
        <v>68427.337454469642</v>
      </c>
      <c r="N91" s="28">
        <f ca="1"/>
        <v>68673.379174398389</v>
      </c>
      <c r="O91" s="28">
        <f ca="1"/>
        <v>68941.914571064524</v>
      </c>
      <c r="P91" s="28">
        <f ca="1"/>
        <v>69234.652289317441</v>
      </c>
      <c r="Q91" s="28">
        <f ca="1"/>
        <v>69494.189920848614</v>
      </c>
      <c r="R91" s="28">
        <f ca="1"/>
        <v>69777.220150662833</v>
      </c>
      <c r="S91" s="28">
        <f ca="1"/>
        <v>70026.483832957994</v>
      </c>
      <c r="T91" s="28">
        <f ca="1"/>
        <v>70298.563201062469</v>
      </c>
      <c r="U91" s="28">
        <f ca="1"/>
        <v>70595.322039768085</v>
      </c>
      <c r="V91" s="28">
        <f ca="1"/>
        <v>70859.23665170405</v>
      </c>
      <c r="W91" s="28">
        <f ca="1"/>
        <v>71147.192553098736</v>
      </c>
      <c r="X91" s="28">
        <f ca="1"/>
        <v>71401.777227429455</v>
      </c>
      <c r="Y91" s="28">
        <f ca="1"/>
        <v>71679.634207848983</v>
      </c>
      <c r="Z91" s="28">
        <f ca="1"/>
        <v>71982.724687633876</v>
      </c>
      <c r="AA91" s="28">
        <f ca="1"/>
        <v>72253.446313630295</v>
      </c>
      <c r="AB91" s="28">
        <f ca="1"/>
        <v>72548.924172692685</v>
      </c>
      <c r="AC91" s="28">
        <f ca="1"/>
        <v>72811.539685185795</v>
      </c>
      <c r="AD91" s="28">
        <f ca="1"/>
        <v>73098.26935912187</v>
      </c>
      <c r="AE91" s="28">
        <f ca="1"/>
        <v>73410.551650551381</v>
      </c>
      <c r="AF91" s="28">
        <f ca="1"/>
        <v>73691.396695978241</v>
      </c>
      <c r="AG91" s="28">
        <f ca="1"/>
        <v>73997.797221382469</v>
      </c>
      <c r="AH91" s="28">
        <f ca="1"/>
        <v>74272.268527922206</v>
      </c>
      <c r="AI91" s="28">
        <f ca="1"/>
        <v>74571.865713881634</v>
      </c>
      <c r="AJ91" s="28">
        <f ca="1"/>
        <v>74839.080047254014</v>
      </c>
      <c r="AK91" s="29">
        <f ca="1"/>
        <v>75130.991612630969</v>
      </c>
      <c r="AL91" s="3"/>
    </row>
    <row r="92" spans="2:38" hidden="1">
      <c r="B92" s="3"/>
      <c r="C92" s="4"/>
      <c r="D92" s="5"/>
      <c r="E92" s="147">
        <f t="array" aca="1" ref="E92:AK92" ca="1">tlccEupol6</f>
        <v>52838.239282305185</v>
      </c>
      <c r="F92" s="35">
        <f ca="1"/>
        <v>53070.829812367316</v>
      </c>
      <c r="G92" s="35">
        <f ca="1"/>
        <v>53276.760462920116</v>
      </c>
      <c r="H92" s="35">
        <f ca="1"/>
        <v>53501.212020093357</v>
      </c>
      <c r="I92" s="35">
        <f ca="1"/>
        <v>53698.46621300812</v>
      </c>
      <c r="J92" s="35">
        <f ca="1"/>
        <v>53913.68825684968</v>
      </c>
      <c r="K92" s="35">
        <f ca="1"/>
        <v>54101.14184636392</v>
      </c>
      <c r="L92" s="35">
        <f ca="1"/>
        <v>54305.88308798951</v>
      </c>
      <c r="M92" s="35">
        <f ca="1"/>
        <v>54529.127980730023</v>
      </c>
      <c r="N92" s="35">
        <f ca="1"/>
        <v>54725.196407965253</v>
      </c>
      <c r="O92" s="35">
        <f ca="1"/>
        <v>54939.189843292261</v>
      </c>
      <c r="P92" s="35">
        <f ca="1"/>
        <v>55172.469890379027</v>
      </c>
      <c r="Q92" s="35">
        <f ca="1"/>
        <v>55379.293087832746</v>
      </c>
      <c r="R92" s="35">
        <f ca="1"/>
        <v>55604.837324947432</v>
      </c>
      <c r="S92" s="35">
        <f ca="1"/>
        <v>55803.473304929343</v>
      </c>
      <c r="T92" s="35">
        <f ca="1"/>
        <v>56020.290899127824</v>
      </c>
      <c r="U92" s="35">
        <f ca="1"/>
        <v>56256.775340831511</v>
      </c>
      <c r="V92" s="35">
        <f ca="1"/>
        <v>56467.08651448803</v>
      </c>
      <c r="W92" s="35">
        <f ca="1"/>
        <v>56696.555974854011</v>
      </c>
      <c r="X92" s="35">
        <f ca="1"/>
        <v>56899.43220539196</v>
      </c>
      <c r="Y92" s="35">
        <f ca="1"/>
        <v>57120.85392672837</v>
      </c>
      <c r="Z92" s="35">
        <f ca="1"/>
        <v>57362.383996094701</v>
      </c>
      <c r="AA92" s="35">
        <f ca="1"/>
        <v>57578.119617854551</v>
      </c>
      <c r="AB92" s="35">
        <f ca="1"/>
        <v>57813.583258435421</v>
      </c>
      <c r="AC92" s="35">
        <f ca="1"/>
        <v>58022.859191464238</v>
      </c>
      <c r="AD92" s="35">
        <f ca="1"/>
        <v>58251.351482229402</v>
      </c>
      <c r="AE92" s="35">
        <f ca="1"/>
        <v>58500.206423382173</v>
      </c>
      <c r="AF92" s="35">
        <f ca="1"/>
        <v>58724.009306769629</v>
      </c>
      <c r="AG92" s="35">
        <f ca="1"/>
        <v>58968.177121632354</v>
      </c>
      <c r="AH92" s="35">
        <f ca="1"/>
        <v>59186.900829993843</v>
      </c>
      <c r="AI92" s="35">
        <f ca="1"/>
        <v>59425.6471250213</v>
      </c>
      <c r="AJ92" s="35">
        <f ca="1"/>
        <v>59638.587816925938</v>
      </c>
      <c r="AK92" s="36">
        <f ca="1"/>
        <v>59871.209510238026</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7952.4943268771167</v>
      </c>
      <c r="F96" s="28">
        <f ca="1"/>
        <v>7896.2303528503708</v>
      </c>
      <c r="G96" s="28">
        <f ca="1"/>
        <v>7839.5034572089171</v>
      </c>
      <c r="H96" s="28">
        <f ca="1"/>
        <v>7789.6695872103883</v>
      </c>
      <c r="I96" s="28">
        <f ca="1"/>
        <v>7742.3913827218803</v>
      </c>
      <c r="J96" s="28">
        <f ca="1"/>
        <v>7701.2103421519969</v>
      </c>
      <c r="K96" s="28">
        <f ca="1"/>
        <v>7669.2708434682354</v>
      </c>
      <c r="L96" s="28">
        <f ca="1"/>
        <v>7642.7897499806659</v>
      </c>
      <c r="M96" s="28">
        <f ca="1"/>
        <v>7616.1847262482315</v>
      </c>
      <c r="N96" s="28">
        <f ca="1"/>
        <v>7594.895780278408</v>
      </c>
      <c r="O96" s="28">
        <f ca="1"/>
        <v>7580.22943808944</v>
      </c>
      <c r="P96" s="28">
        <f ca="1"/>
        <v>7569.4917219394047</v>
      </c>
      <c r="Q96" s="28">
        <f ca="1"/>
        <v>7560.4545535856123</v>
      </c>
      <c r="R96" s="28">
        <f ca="1"/>
        <v>7553.7865731647726</v>
      </c>
      <c r="S96" s="28">
        <f ca="1"/>
        <v>7548.7050042386873</v>
      </c>
      <c r="T96" s="28">
        <f ca="1"/>
        <v>7548.0644749846251</v>
      </c>
      <c r="U96" s="28">
        <f ca="1"/>
        <v>7549.364795340909</v>
      </c>
      <c r="V96" s="28">
        <f ca="1"/>
        <v>7551.2786490924336</v>
      </c>
      <c r="W96" s="28">
        <f ca="1"/>
        <v>7554.01572511837</v>
      </c>
      <c r="X96" s="28">
        <f ca="1"/>
        <v>7556.6022325611448</v>
      </c>
      <c r="Y96" s="28">
        <f ca="1"/>
        <v>7558.7452922687789</v>
      </c>
      <c r="Z96" s="28">
        <f ca="1"/>
        <v>7560.1814452746148</v>
      </c>
      <c r="AA96" s="28">
        <f ca="1"/>
        <v>7561.1279657052946</v>
      </c>
      <c r="AB96" s="28">
        <f ca="1"/>
        <v>7561.1279657052946</v>
      </c>
      <c r="AC96" s="28">
        <f ca="1"/>
        <v>7561.1279657052946</v>
      </c>
      <c r="AD96" s="28">
        <f ca="1"/>
        <v>7561.1279657052946</v>
      </c>
      <c r="AE96" s="28">
        <f ca="1"/>
        <v>7561.1279657052946</v>
      </c>
      <c r="AF96" s="28">
        <f ca="1"/>
        <v>7561.1279657052946</v>
      </c>
      <c r="AG96" s="28">
        <f ca="1"/>
        <v>7561.1279657052946</v>
      </c>
      <c r="AH96" s="28">
        <f ca="1"/>
        <v>7561.1279657052946</v>
      </c>
      <c r="AI96" s="28">
        <f ca="1"/>
        <v>7561.1279657052946</v>
      </c>
      <c r="AJ96" s="28">
        <f ca="1"/>
        <v>7561.1279657052946</v>
      </c>
      <c r="AK96" s="29">
        <f ca="1"/>
        <v>7561.1279657052946</v>
      </c>
      <c r="AL96" s="3"/>
    </row>
    <row r="97" spans="2:38" hidden="1">
      <c r="B97" s="3"/>
      <c r="C97" s="12"/>
      <c r="D97" s="16"/>
      <c r="E97" s="141">
        <f t="array" aca="1" ref="E97:AK97" ca="1">tlccFupolElec2</f>
        <v>8629.8260691207906</v>
      </c>
      <c r="F97" s="28">
        <f ca="1"/>
        <v>8568.7699664880165</v>
      </c>
      <c r="G97" s="28">
        <f ca="1"/>
        <v>8507.2115141704326</v>
      </c>
      <c r="H97" s="28">
        <f ca="1"/>
        <v>8453.1331819187508</v>
      </c>
      <c r="I97" s="28">
        <f ca="1"/>
        <v>8401.8281869290367</v>
      </c>
      <c r="J97" s="28">
        <f ca="1"/>
        <v>8357.1396649564522</v>
      </c>
      <c r="K97" s="28">
        <f ca="1"/>
        <v>8322.4798076781881</v>
      </c>
      <c r="L97" s="28">
        <f ca="1"/>
        <v>8293.7432601844703</v>
      </c>
      <c r="M97" s="28">
        <f ca="1"/>
        <v>8264.8722270295275</v>
      </c>
      <c r="N97" s="28">
        <f ca="1"/>
        <v>8241.7700538794561</v>
      </c>
      <c r="O97" s="28">
        <f ca="1"/>
        <v>8225.8545464979234</v>
      </c>
      <c r="P97" s="28">
        <f ca="1"/>
        <v>8214.2022750286815</v>
      </c>
      <c r="Q97" s="28">
        <f ca="1"/>
        <v>8204.3953908178974</v>
      </c>
      <c r="R97" s="28">
        <f ca="1"/>
        <v>8197.1594835793767</v>
      </c>
      <c r="S97" s="28">
        <f ca="1"/>
        <v>8191.6451060535546</v>
      </c>
      <c r="T97" s="28">
        <f ca="1"/>
        <v>8190.9500214891996</v>
      </c>
      <c r="U97" s="28">
        <f ca="1"/>
        <v>8192.3610930407922</v>
      </c>
      <c r="V97" s="28">
        <f ca="1"/>
        <v>8194.4379540001992</v>
      </c>
      <c r="W97" s="28">
        <f ca="1"/>
        <v>8197.4081529177838</v>
      </c>
      <c r="X97" s="28">
        <f ca="1"/>
        <v>8200.2149589889559</v>
      </c>
      <c r="Y97" s="28">
        <f ca="1"/>
        <v>8202.5405478887933</v>
      </c>
      <c r="Z97" s="28">
        <f ca="1"/>
        <v>8204.099021260743</v>
      </c>
      <c r="AA97" s="28">
        <f ca="1"/>
        <v>8205.1261589551414</v>
      </c>
      <c r="AB97" s="28">
        <f ca="1"/>
        <v>8205.1261589551414</v>
      </c>
      <c r="AC97" s="28">
        <f ca="1"/>
        <v>8205.1261589551414</v>
      </c>
      <c r="AD97" s="28">
        <f ca="1"/>
        <v>8205.1261589551414</v>
      </c>
      <c r="AE97" s="28">
        <f ca="1"/>
        <v>8205.1261589551414</v>
      </c>
      <c r="AF97" s="28">
        <f ca="1"/>
        <v>8205.1261589551414</v>
      </c>
      <c r="AG97" s="28">
        <f ca="1"/>
        <v>8205.1261589551414</v>
      </c>
      <c r="AH97" s="28">
        <f ca="1"/>
        <v>8205.1261589551414</v>
      </c>
      <c r="AI97" s="28">
        <f ca="1"/>
        <v>8205.1261589551414</v>
      </c>
      <c r="AJ97" s="28">
        <f ca="1"/>
        <v>8205.1261589551414</v>
      </c>
      <c r="AK97" s="29">
        <f ca="1"/>
        <v>8205.1261589551414</v>
      </c>
      <c r="AL97" s="3"/>
    </row>
    <row r="98" spans="2:38" hidden="1">
      <c r="B98" s="3"/>
      <c r="C98" s="12"/>
      <c r="D98" s="16"/>
      <c r="E98" s="141">
        <f t="array" aca="1" ref="E98:AK98" ca="1">tlccFupolElec3</f>
        <v>34211.51500900567</v>
      </c>
      <c r="F98" s="28">
        <f ca="1"/>
        <v>33969.468210509149</v>
      </c>
      <c r="G98" s="28">
        <f ca="1"/>
        <v>33725.42992995448</v>
      </c>
      <c r="H98" s="28">
        <f ca="1"/>
        <v>33511.045345529252</v>
      </c>
      <c r="I98" s="28">
        <f ca="1"/>
        <v>33307.655196982923</v>
      </c>
      <c r="J98" s="28">
        <f ca="1"/>
        <v>33130.494958995514</v>
      </c>
      <c r="K98" s="28">
        <f ca="1"/>
        <v>32993.091699881377</v>
      </c>
      <c r="L98" s="28">
        <f ca="1"/>
        <v>32879.170420586277</v>
      </c>
      <c r="M98" s="28">
        <f ca="1"/>
        <v>32764.715995179027</v>
      </c>
      <c r="N98" s="28">
        <f ca="1"/>
        <v>32673.131259040205</v>
      </c>
      <c r="O98" s="28">
        <f ca="1"/>
        <v>32610.036868110645</v>
      </c>
      <c r="P98" s="28">
        <f ca="1"/>
        <v>32563.843369300113</v>
      </c>
      <c r="Q98" s="28">
        <f ca="1"/>
        <v>32524.965602392469</v>
      </c>
      <c r="R98" s="28">
        <f ca="1"/>
        <v>32496.280047537515</v>
      </c>
      <c r="S98" s="28">
        <f ca="1"/>
        <v>32474.41921187536</v>
      </c>
      <c r="T98" s="28">
        <f ca="1"/>
        <v>32471.663664334137</v>
      </c>
      <c r="U98" s="28">
        <f ca="1"/>
        <v>32477.257623607416</v>
      </c>
      <c r="V98" s="28">
        <f ca="1"/>
        <v>32485.490994629636</v>
      </c>
      <c r="W98" s="28">
        <f ca="1"/>
        <v>32497.26585591129</v>
      </c>
      <c r="X98" s="28">
        <f ca="1"/>
        <v>32508.39297333662</v>
      </c>
      <c r="Y98" s="28">
        <f ca="1"/>
        <v>32517.612385050641</v>
      </c>
      <c r="Z98" s="28">
        <f ca="1"/>
        <v>32523.790694408039</v>
      </c>
      <c r="AA98" s="28">
        <f ca="1"/>
        <v>32527.86261154366</v>
      </c>
      <c r="AB98" s="28">
        <f ca="1"/>
        <v>32527.86261154366</v>
      </c>
      <c r="AC98" s="28">
        <f ca="1"/>
        <v>32527.86261154366</v>
      </c>
      <c r="AD98" s="28">
        <f ca="1"/>
        <v>32527.86261154366</v>
      </c>
      <c r="AE98" s="28">
        <f ca="1"/>
        <v>32527.86261154366</v>
      </c>
      <c r="AF98" s="28">
        <f ca="1"/>
        <v>32527.86261154366</v>
      </c>
      <c r="AG98" s="28">
        <f ca="1"/>
        <v>32527.86261154366</v>
      </c>
      <c r="AH98" s="28">
        <f ca="1"/>
        <v>32527.86261154366</v>
      </c>
      <c r="AI98" s="28">
        <f ca="1"/>
        <v>32527.86261154366</v>
      </c>
      <c r="AJ98" s="28">
        <f ca="1"/>
        <v>32527.86261154366</v>
      </c>
      <c r="AK98" s="29">
        <f ca="1"/>
        <v>32527.86261154366</v>
      </c>
      <c r="AL98" s="3"/>
    </row>
    <row r="99" spans="2:38" hidden="1">
      <c r="B99" s="3"/>
      <c r="C99" s="12"/>
      <c r="D99" s="16"/>
      <c r="E99" s="141">
        <f t="array" aca="1" ref="E99:AK99" ca="1">tlccFupolElec4</f>
        <v>10368.126938358282</v>
      </c>
      <c r="F99" s="28">
        <f ca="1"/>
        <v>10294.772340317986</v>
      </c>
      <c r="G99" s="28">
        <f ca="1"/>
        <v>10220.814204586684</v>
      </c>
      <c r="H99" s="28">
        <f ca="1"/>
        <v>10155.842905175861</v>
      </c>
      <c r="I99" s="28">
        <f ca="1"/>
        <v>10094.203574746185</v>
      </c>
      <c r="J99" s="28">
        <f ca="1"/>
        <v>10040.513469663156</v>
      </c>
      <c r="K99" s="28">
        <f ca="1"/>
        <v>9998.8720973981581</v>
      </c>
      <c r="L99" s="28">
        <f ca="1"/>
        <v>9964.3471637785624</v>
      </c>
      <c r="M99" s="28">
        <f ca="1"/>
        <v>9929.6606551288623</v>
      </c>
      <c r="N99" s="28">
        <f ca="1"/>
        <v>9901.9050246151764</v>
      </c>
      <c r="O99" s="28">
        <f ca="1"/>
        <v>9882.7836657953794</v>
      </c>
      <c r="P99" s="28">
        <f ca="1"/>
        <v>9868.7842840296653</v>
      </c>
      <c r="Q99" s="28">
        <f ca="1"/>
        <v>9857.0020048095757</v>
      </c>
      <c r="R99" s="28">
        <f ca="1"/>
        <v>9848.3085729649156</v>
      </c>
      <c r="S99" s="28">
        <f ca="1"/>
        <v>9841.6834375663784</v>
      </c>
      <c r="T99" s="28">
        <f ca="1"/>
        <v>9840.8483425206141</v>
      </c>
      <c r="U99" s="28">
        <f ca="1"/>
        <v>9842.5436453979655</v>
      </c>
      <c r="V99" s="28">
        <f ca="1"/>
        <v>9845.0388472581162</v>
      </c>
      <c r="W99" s="28">
        <f ca="1"/>
        <v>9848.6073316242018</v>
      </c>
      <c r="X99" s="28">
        <f ca="1"/>
        <v>9851.9795110174109</v>
      </c>
      <c r="Y99" s="28">
        <f ca="1"/>
        <v>9854.7735419430446</v>
      </c>
      <c r="Z99" s="28">
        <f ca="1"/>
        <v>9856.6459377040937</v>
      </c>
      <c r="AA99" s="28">
        <f ca="1"/>
        <v>9857.8799711496595</v>
      </c>
      <c r="AB99" s="28">
        <f ca="1"/>
        <v>9857.8799711496595</v>
      </c>
      <c r="AC99" s="28">
        <f ca="1"/>
        <v>9857.8799711496595</v>
      </c>
      <c r="AD99" s="28">
        <f ca="1"/>
        <v>9857.8799711496595</v>
      </c>
      <c r="AE99" s="28">
        <f ca="1"/>
        <v>9857.8799711496595</v>
      </c>
      <c r="AF99" s="28">
        <f ca="1"/>
        <v>9857.8799711496595</v>
      </c>
      <c r="AG99" s="28">
        <f ca="1"/>
        <v>9857.8799711496595</v>
      </c>
      <c r="AH99" s="28">
        <f ca="1"/>
        <v>9857.8799711496595</v>
      </c>
      <c r="AI99" s="28">
        <f ca="1"/>
        <v>9857.8799711496595</v>
      </c>
      <c r="AJ99" s="28">
        <f ca="1"/>
        <v>9857.8799711496595</v>
      </c>
      <c r="AK99" s="29">
        <f ca="1"/>
        <v>9857.8799711496595</v>
      </c>
      <c r="AL99" s="3"/>
    </row>
    <row r="100" spans="2:38" hidden="1">
      <c r="B100" s="3"/>
      <c r="C100" s="12"/>
      <c r="D100" s="16"/>
      <c r="E100" s="141">
        <f t="array" aca="1" ref="E100:AK100" ca="1">tlccFupolElec5</f>
        <v>14752.856207316107</v>
      </c>
      <c r="F100" s="28">
        <f ca="1"/>
        <v>14648.479607428013</v>
      </c>
      <c r="G100" s="28">
        <f ca="1"/>
        <v>14543.244230942755</v>
      </c>
      <c r="H100" s="28">
        <f ca="1"/>
        <v>14450.796265798333</v>
      </c>
      <c r="I100" s="28">
        <f ca="1"/>
        <v>14363.089374867053</v>
      </c>
      <c r="J100" s="28">
        <f ca="1"/>
        <v>14286.693473779533</v>
      </c>
      <c r="K100" s="28">
        <f ca="1"/>
        <v>14227.441770848696</v>
      </c>
      <c r="L100" s="28">
        <f ca="1"/>
        <v>14178.316081677909</v>
      </c>
      <c r="M100" s="28">
        <f ca="1"/>
        <v>14128.96048664274</v>
      </c>
      <c r="N100" s="28">
        <f ca="1"/>
        <v>14089.466870452829</v>
      </c>
      <c r="O100" s="28">
        <f ca="1"/>
        <v>14062.258999751197</v>
      </c>
      <c r="P100" s="28">
        <f ca="1"/>
        <v>14042.339214103435</v>
      </c>
      <c r="Q100" s="28">
        <f ca="1"/>
        <v>14025.574154014777</v>
      </c>
      <c r="R100" s="28">
        <f ca="1"/>
        <v>14013.204229271871</v>
      </c>
      <c r="S100" s="28">
        <f ca="1"/>
        <v>14003.777293194629</v>
      </c>
      <c r="T100" s="28">
        <f ca="1"/>
        <v>14002.589032556729</v>
      </c>
      <c r="U100" s="28">
        <f ca="1"/>
        <v>14005.001286932677</v>
      </c>
      <c r="V100" s="28">
        <f ca="1"/>
        <v>14008.551721304271</v>
      </c>
      <c r="W100" s="28">
        <f ca="1"/>
        <v>14013.629334362435</v>
      </c>
      <c r="X100" s="28">
        <f ca="1"/>
        <v>14018.427624158565</v>
      </c>
      <c r="Y100" s="28">
        <f ca="1"/>
        <v>14022.403263802034</v>
      </c>
      <c r="Z100" s="28">
        <f ca="1"/>
        <v>14025.067504468665</v>
      </c>
      <c r="AA100" s="28">
        <f ca="1"/>
        <v>14026.823416417437</v>
      </c>
      <c r="AB100" s="28">
        <f ca="1"/>
        <v>14026.823416417437</v>
      </c>
      <c r="AC100" s="28">
        <f ca="1"/>
        <v>14026.823416417437</v>
      </c>
      <c r="AD100" s="28">
        <f ca="1"/>
        <v>14026.823416417437</v>
      </c>
      <c r="AE100" s="28">
        <f ca="1"/>
        <v>14026.823416417437</v>
      </c>
      <c r="AF100" s="28">
        <f ca="1"/>
        <v>14026.823416417437</v>
      </c>
      <c r="AG100" s="28">
        <f ca="1"/>
        <v>14026.823416417437</v>
      </c>
      <c r="AH100" s="28">
        <f ca="1"/>
        <v>14026.823416417437</v>
      </c>
      <c r="AI100" s="28">
        <f ca="1"/>
        <v>14026.823416417437</v>
      </c>
      <c r="AJ100" s="28">
        <f ca="1"/>
        <v>14026.823416417437</v>
      </c>
      <c r="AK100" s="29">
        <f ca="1"/>
        <v>14026.823416417437</v>
      </c>
      <c r="AL100" s="3"/>
    </row>
    <row r="101" spans="2:38" hidden="1">
      <c r="B101" s="3"/>
      <c r="C101" s="4"/>
      <c r="D101" s="5"/>
      <c r="E101" s="147">
        <f t="array" aca="1" ref="E101:AK101" ca="1">tlccFupolElec6</f>
        <v>11756.418036071052</v>
      </c>
      <c r="F101" s="35">
        <f ca="1"/>
        <v>11673.241265130955</v>
      </c>
      <c r="G101" s="35">
        <f ca="1"/>
        <v>11589.380142867018</v>
      </c>
      <c r="H101" s="35">
        <f ca="1"/>
        <v>11515.709193354003</v>
      </c>
      <c r="I101" s="35">
        <f ca="1"/>
        <v>11445.816363115415</v>
      </c>
      <c r="J101" s="35">
        <f ca="1"/>
        <v>11384.937158654531</v>
      </c>
      <c r="K101" s="35">
        <f ca="1"/>
        <v>11337.720011058489</v>
      </c>
      <c r="L101" s="35">
        <f ca="1"/>
        <v>11298.572192487911</v>
      </c>
      <c r="M101" s="35">
        <f ca="1"/>
        <v>11259.241164007828</v>
      </c>
      <c r="N101" s="35">
        <f ca="1"/>
        <v>11227.769057511296</v>
      </c>
      <c r="O101" s="35">
        <f ca="1"/>
        <v>11206.087350772967</v>
      </c>
      <c r="P101" s="35">
        <f ca="1"/>
        <v>11190.21345327318</v>
      </c>
      <c r="Q101" s="35">
        <f ca="1"/>
        <v>11176.853528114798</v>
      </c>
      <c r="R101" s="35">
        <f ca="1"/>
        <v>11166.9960466679</v>
      </c>
      <c r="S101" s="35">
        <f ca="1"/>
        <v>11159.483806341963</v>
      </c>
      <c r="T101" s="35">
        <f ca="1"/>
        <v>11158.536892158116</v>
      </c>
      <c r="U101" s="35">
        <f ca="1"/>
        <v>11160.459195910993</v>
      </c>
      <c r="V101" s="35">
        <f ca="1"/>
        <v>11163.288505035649</v>
      </c>
      <c r="W101" s="35">
        <f ca="1"/>
        <v>11167.334809079988</v>
      </c>
      <c r="X101" s="35">
        <f ca="1"/>
        <v>11171.158522936395</v>
      </c>
      <c r="Y101" s="35">
        <f ca="1"/>
        <v>11174.32667430672</v>
      </c>
      <c r="Z101" s="35">
        <f ca="1"/>
        <v>11176.449783661645</v>
      </c>
      <c r="AA101" s="35">
        <f ca="1"/>
        <v>11177.849054054726</v>
      </c>
      <c r="AB101" s="35">
        <f ca="1"/>
        <v>11177.849054054726</v>
      </c>
      <c r="AC101" s="35">
        <f ca="1"/>
        <v>11177.849054054726</v>
      </c>
      <c r="AD101" s="35">
        <f ca="1"/>
        <v>11177.849054054726</v>
      </c>
      <c r="AE101" s="35">
        <f ca="1"/>
        <v>11177.849054054726</v>
      </c>
      <c r="AF101" s="35">
        <f ca="1"/>
        <v>11177.849054054726</v>
      </c>
      <c r="AG101" s="35">
        <f ca="1"/>
        <v>11177.849054054726</v>
      </c>
      <c r="AH101" s="35">
        <f ca="1"/>
        <v>11177.849054054726</v>
      </c>
      <c r="AI101" s="35">
        <f ca="1"/>
        <v>11177.849054054726</v>
      </c>
      <c r="AJ101" s="35">
        <f ca="1"/>
        <v>11177.849054054726</v>
      </c>
      <c r="AK101" s="36">
        <f ca="1"/>
        <v>11177.849054054726</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INDEX(_doName,1,1)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INDEX(_doName,1,1)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(1+INDEX(vadAxH,1,1))*INDEX(mspAxH,1,1)*tPIdxAll + INDEX(instAxH,1,1) + SUMPRODUCT(dFactor,tpSurvAxH,INDEX(mrAxH,1,1)*allOnes)</f>
        <v>3115.8439259999996</v>
      </c>
      <c r="F106" s="28">
        <f ca="1"/>
        <v>3115.8439259999996</v>
      </c>
      <c r="G106" s="28">
        <f ca="1"/>
        <v>3115.8439259999996</v>
      </c>
      <c r="H106" s="28">
        <f ca="1"/>
        <v>3115.8439259999996</v>
      </c>
      <c r="I106" s="28">
        <f ca="1"/>
        <v>3115.8439259999996</v>
      </c>
      <c r="J106" s="28">
        <f ca="1"/>
        <v>3115.8439259999996</v>
      </c>
      <c r="K106" s="28">
        <f ca="1"/>
        <v>3115.8439259999996</v>
      </c>
      <c r="L106" s="28">
        <f ca="1"/>
        <v>3115.8439259999996</v>
      </c>
      <c r="M106" s="28">
        <f ca="1"/>
        <v>3115.8439259999996</v>
      </c>
      <c r="N106" s="28">
        <f ca="1"/>
        <v>3115.8439259999996</v>
      </c>
      <c r="O106" s="28">
        <f ca="1"/>
        <v>3115.8439259999996</v>
      </c>
      <c r="P106" s="28">
        <f ca="1"/>
        <v>3115.8439259999996</v>
      </c>
      <c r="Q106" s="28">
        <f ca="1"/>
        <v>3115.8439259999996</v>
      </c>
      <c r="R106" s="28">
        <f ca="1"/>
        <v>3115.8439259999996</v>
      </c>
      <c r="S106" s="28">
        <f ca="1"/>
        <v>3115.8439259999996</v>
      </c>
      <c r="T106" s="28">
        <f ca="1"/>
        <v>3115.8439259999996</v>
      </c>
      <c r="U106" s="28">
        <f ca="1"/>
        <v>3115.8439259999996</v>
      </c>
      <c r="V106" s="28">
        <f ca="1"/>
        <v>3115.8439259999996</v>
      </c>
      <c r="W106" s="28">
        <f ca="1"/>
        <v>3115.8439259999996</v>
      </c>
      <c r="X106" s="28">
        <f ca="1"/>
        <v>3115.8439259999996</v>
      </c>
      <c r="Y106" s="28">
        <f ca="1"/>
        <v>3115.8439259999996</v>
      </c>
      <c r="Z106" s="28">
        <f ca="1"/>
        <v>3115.8439259999996</v>
      </c>
      <c r="AA106" s="28">
        <f ca="1"/>
        <v>3115.8439259999996</v>
      </c>
      <c r="AB106" s="28">
        <f ca="1"/>
        <v>3115.8439259999996</v>
      </c>
      <c r="AC106" s="28">
        <f ca="1"/>
        <v>3115.8439259999996</v>
      </c>
      <c r="AD106" s="28">
        <f ca="1"/>
        <v>3115.8439259999996</v>
      </c>
      <c r="AE106" s="28">
        <f ca="1"/>
        <v>3115.8439259999996</v>
      </c>
      <c r="AF106" s="28">
        <f ca="1"/>
        <v>3115.8439259999996</v>
      </c>
      <c r="AG106" s="28">
        <f ca="1"/>
        <v>3115.8439259999996</v>
      </c>
      <c r="AH106" s="28">
        <f ca="1"/>
        <v>3115.8439259999996</v>
      </c>
      <c r="AI106" s="28">
        <f ca="1"/>
        <v>3115.8439259999996</v>
      </c>
      <c r="AJ106" s="28">
        <f ca="1"/>
        <v>3115.8439259999996</v>
      </c>
      <c r="AK106" s="29">
        <f ca="1"/>
        <v>3115.8439259999996</v>
      </c>
      <c r="AL106" s="3"/>
    </row>
    <row r="107" spans="2:38">
      <c r="B107" s="3"/>
      <c r="C107" s="23" t="s">
        <v>47</v>
      </c>
      <c r="D107" s="16" t="str">
        <f>_yearDol &amp; "$"</f>
        <v>2013$</v>
      </c>
      <c r="E107" s="141">
        <f t="array" aca="1" ref="E107:AK107" ca="1">(tlccEFubcElec0)</f>
        <v>44938.392401273697</v>
      </c>
      <c r="F107" s="28">
        <f ca="1"/>
        <v>45136.208313588759</v>
      </c>
      <c r="G107" s="28">
        <f ca="1"/>
        <v>45311.350265850786</v>
      </c>
      <c r="H107" s="28">
        <f ca="1"/>
        <v>45502.244063379447</v>
      </c>
      <c r="I107" s="28">
        <f ca="1"/>
        <v>45670.006775468304</v>
      </c>
      <c r="J107" s="28">
        <f ca="1"/>
        <v>45853.050964505004</v>
      </c>
      <c r="K107" s="28">
        <f ca="1"/>
        <v>46012.478361727903</v>
      </c>
      <c r="L107" s="28">
        <f ca="1"/>
        <v>46186.608733630288</v>
      </c>
      <c r="M107" s="28">
        <f ca="1"/>
        <v>46376.476275164976</v>
      </c>
      <c r="N107" s="28">
        <f ca="1"/>
        <v>46543.230505439795</v>
      </c>
      <c r="O107" s="28">
        <f ca="1"/>
        <v>46725.22977526109</v>
      </c>
      <c r="P107" s="28">
        <f ca="1"/>
        <v>46923.632114887914</v>
      </c>
      <c r="Q107" s="28">
        <f ca="1"/>
        <v>47099.533169334572</v>
      </c>
      <c r="R107" s="28">
        <f ca="1"/>
        <v>47291.356280190972</v>
      </c>
      <c r="S107" s="28">
        <f ca="1"/>
        <v>47460.294188317443</v>
      </c>
      <c r="T107" s="28">
        <f ca="1"/>
        <v>47644.695376925054</v>
      </c>
      <c r="U107" s="28">
        <f ca="1"/>
        <v>47845.82302202499</v>
      </c>
      <c r="V107" s="28">
        <f ca="1"/>
        <v>48024.690565238423</v>
      </c>
      <c r="W107" s="28">
        <f ca="1"/>
        <v>48219.852039089608</v>
      </c>
      <c r="X107" s="28">
        <f ca="1"/>
        <v>48392.396237772962</v>
      </c>
      <c r="Y107" s="28">
        <f ca="1"/>
        <v>48580.713190319715</v>
      </c>
      <c r="Z107" s="28">
        <f ca="1"/>
        <v>48786.132091125626</v>
      </c>
      <c r="AA107" s="28">
        <f ca="1"/>
        <v>48969.613073029257</v>
      </c>
      <c r="AB107" s="28">
        <f ca="1"/>
        <v>49169.872537015603</v>
      </c>
      <c r="AC107" s="28">
        <f ca="1"/>
        <v>49347.859618461385</v>
      </c>
      <c r="AD107" s="28">
        <f ca="1"/>
        <v>49542.190019370646</v>
      </c>
      <c r="AE107" s="28">
        <f ca="1"/>
        <v>49753.838650142949</v>
      </c>
      <c r="AF107" s="28">
        <f ca="1"/>
        <v>49944.180757124748</v>
      </c>
      <c r="AG107" s="28">
        <f ca="1"/>
        <v>50151.843034011719</v>
      </c>
      <c r="AH107" s="28">
        <f ca="1"/>
        <v>50337.86535359158</v>
      </c>
      <c r="AI107" s="28">
        <f ca="1"/>
        <v>50540.916682250958</v>
      </c>
      <c r="AJ107" s="28">
        <f ca="1"/>
        <v>50722.020604353369</v>
      </c>
      <c r="AK107" s="29">
        <f ca="1"/>
        <v>50919.863020699893</v>
      </c>
      <c r="AL107" s="3"/>
    </row>
    <row r="108" spans="2:38">
      <c r="B108" s="3"/>
      <c r="C108" s="27" t="str">
        <f>INDEX(_fuel,1)</f>
        <v>Electricity</v>
      </c>
      <c r="D108" s="16" t="str">
        <f>_yearDol &amp; "$"</f>
        <v>2013$</v>
      </c>
      <c r="E108" s="141">
        <f ca="1">SUMPRODUCT(dFactor,tpSurvAxH,INDEX(tEIdxElec,1)*INDEX(elecAxH,1,1)*allOnes,OFFSET(tPrcElec,0,0,1,_maxLT))</f>
        <v>44938.392401273697</v>
      </c>
      <c r="F108" s="28">
        <f ca="1">SUMPRODUCT(dFactor,tpSurvAxH,INDEX(tEIdxElec,2)*INDEX(elecAxH,1,1)*allOnes,OFFSET(tPrcElec,0,1,1,_maxLT))</f>
        <v>45136.208313588759</v>
      </c>
      <c r="G108" s="28">
        <f ca="1">SUMPRODUCT(dFactor,tpSurvAxH,INDEX(tEIdxElec,3)*INDEX(elecAxH,1,1)*allOnes,OFFSET(tPrcElec,0,2,1,_maxLT))</f>
        <v>45311.350265850786</v>
      </c>
      <c r="H108" s="28">
        <f ca="1">SUMPRODUCT(dFactor,tpSurvAxH,INDEX(tEIdxElec,4)*INDEX(elecAxH,1,1)*allOnes,OFFSET(tPrcElec,0,3,1,_maxLT))</f>
        <v>45502.244063379447</v>
      </c>
      <c r="I108" s="28">
        <f ca="1">SUMPRODUCT(dFactor,tpSurvAxH,INDEX(tEIdxElec,5)*INDEX(elecAxH,1,1)*allOnes,OFFSET(tPrcElec,0,4,1,_maxLT))</f>
        <v>45670.006775468304</v>
      </c>
      <c r="J108" s="28">
        <f ca="1">SUMPRODUCT(dFactor,tpSurvAxH,INDEX(tEIdxElec,6)*INDEX(elecAxH,1,1)*allOnes,OFFSET(tPrcElec,0,5,1,_maxLT))</f>
        <v>45853.050964505004</v>
      </c>
      <c r="K108" s="28">
        <f ca="1">SUMPRODUCT(dFactor,tpSurvAxH,INDEX(tEIdxElec,7)*INDEX(elecAxH,1,1)*allOnes,OFFSET(tPrcElec,0,6,1,_maxLT))</f>
        <v>46012.478361727903</v>
      </c>
      <c r="L108" s="28">
        <f ca="1">SUMPRODUCT(dFactor,tpSurvAxH,INDEX(tEIdxElec,8)*INDEX(elecAxH,1,1)*allOnes,OFFSET(tPrcElec,0,7,1,_maxLT))</f>
        <v>46186.608733630288</v>
      </c>
      <c r="M108" s="28">
        <f ca="1">SUMPRODUCT(dFactor,tpSurvAxH,INDEX(tEIdxElec,9)*INDEX(elecAxH,1,1)*allOnes,OFFSET(tPrcElec,0,8,1,_maxLT))</f>
        <v>46376.476275164976</v>
      </c>
      <c r="N108" s="28">
        <f ca="1">SUMPRODUCT(dFactor,tpSurvAxH,INDEX(tEIdxElec,10)*INDEX(elecAxH,1,1)*allOnes,OFFSET(tPrcElec,0,9,1,_maxLT))</f>
        <v>46543.230505439795</v>
      </c>
      <c r="O108" s="28">
        <f ca="1">SUMPRODUCT(dFactor,tpSurvAxH,INDEX(tEIdxElec,11)*INDEX(elecAxH,1,1)*allOnes,OFFSET(tPrcElec,0,10,1,_maxLT))</f>
        <v>46725.22977526109</v>
      </c>
      <c r="P108" s="28">
        <f ca="1">SUMPRODUCT(dFactor,tpSurvAxH,INDEX(tEIdxElec,12)*INDEX(elecAxH,1,1)*allOnes,OFFSET(tPrcElec,0,11,1,_maxLT))</f>
        <v>46923.632114887914</v>
      </c>
      <c r="Q108" s="28">
        <f ca="1">SUMPRODUCT(dFactor,tpSurvAxH,INDEX(tEIdxElec,13)*INDEX(elecAxH,1,1)*allOnes,OFFSET(tPrcElec,0,12,1,_maxLT))</f>
        <v>47099.533169334572</v>
      </c>
      <c r="R108" s="28">
        <f ca="1">SUMPRODUCT(dFactor,tpSurvAxH,INDEX(tEIdxElec,14)*INDEX(elecAxH,1,1)*allOnes,OFFSET(tPrcElec,0,13,1,_maxLT))</f>
        <v>47291.356280190972</v>
      </c>
      <c r="S108" s="28">
        <f ca="1">SUMPRODUCT(dFactor,tpSurvAxH,INDEX(tEIdxElec,15)*INDEX(elecAxH,1,1)*allOnes,OFFSET(tPrcElec,0,14,1,_maxLT))</f>
        <v>47460.294188317443</v>
      </c>
      <c r="T108" s="28">
        <f ca="1">SUMPRODUCT(dFactor,tpSurvAxH,INDEX(tEIdxElec,16)*INDEX(elecAxH,1,1)*allOnes,OFFSET(tPrcElec,0,15,1,_maxLT))</f>
        <v>47644.695376925054</v>
      </c>
      <c r="U108" s="28">
        <f ca="1">SUMPRODUCT(dFactor,tpSurvAxH,INDEX(tEIdxElec,17)*INDEX(elecAxH,1,1)*allOnes,OFFSET(tPrcElec,0,16,1,_maxLT))</f>
        <v>47845.82302202499</v>
      </c>
      <c r="V108" s="28">
        <f ca="1">SUMPRODUCT(dFactor,tpSurvAxH,INDEX(tEIdxElec,18)*INDEX(elecAxH,1,1)*allOnes,OFFSET(tPrcElec,0,17,1,_maxLT))</f>
        <v>48024.690565238423</v>
      </c>
      <c r="W108" s="28">
        <f ca="1">SUMPRODUCT(dFactor,tpSurvAxH,INDEX(tEIdxElec,19)*INDEX(elecAxH,1,1)*allOnes,OFFSET(tPrcElec,0,18,1,_maxLT))</f>
        <v>48219.852039089608</v>
      </c>
      <c r="X108" s="28">
        <f ca="1">SUMPRODUCT(dFactor,tpSurvAxH,INDEX(tEIdxElec,20)*INDEX(elecAxH,1,1)*allOnes,OFFSET(tPrcElec,0,19,1,_maxLT))</f>
        <v>48392.396237772962</v>
      </c>
      <c r="Y108" s="28">
        <f ca="1">SUMPRODUCT(dFactor,tpSurvAxH,INDEX(tEIdxElec,21)*INDEX(elecAxH,1,1)*allOnes,OFFSET(tPrcElec,0,20,1,_maxLT))</f>
        <v>48580.713190319715</v>
      </c>
      <c r="Z108" s="28">
        <f ca="1">SUMPRODUCT(dFactor,tpSurvAxH,INDEX(tEIdxElec,22)*INDEX(elecAxH,1,1)*allOnes,OFFSET(tPrcElec,0,21,1,_maxLT))</f>
        <v>48786.132091125626</v>
      </c>
      <c r="AA108" s="28">
        <f ca="1">SUMPRODUCT(dFactor,tpSurvAxH,INDEX(tEIdxElec,23)*INDEX(elecAxH,1,1)*allOnes,OFFSET(tPrcElec,0,22,1,_maxLT))</f>
        <v>48969.613073029257</v>
      </c>
      <c r="AB108" s="28">
        <f ca="1">SUMPRODUCT(dFactor,tpSurvAxH,INDEX(tEIdxElec,24)*INDEX(elecAxH,1,1)*allOnes,OFFSET(tPrcElec,0,23,1,_maxLT))</f>
        <v>49169.872537015603</v>
      </c>
      <c r="AC108" s="28">
        <f ca="1">SUMPRODUCT(dFactor,tpSurvAxH,INDEX(tEIdxElec,25)*INDEX(elecAxH,1,1)*allOnes,OFFSET(tPrcElec,0,24,1,_maxLT))</f>
        <v>49347.859618461385</v>
      </c>
      <c r="AD108" s="28">
        <f ca="1">SUMPRODUCT(dFactor,tpSurvAxH,INDEX(tEIdxElec,26)*INDEX(elecAxH,1,1)*allOnes,OFFSET(tPrcElec,0,25,1,_maxLT))</f>
        <v>49542.190019370646</v>
      </c>
      <c r="AE108" s="28">
        <f ca="1">SUMPRODUCT(dFactor,tpSurvAxH,INDEX(tEIdxElec,27)*INDEX(elecAxH,1,1)*allOnes,OFFSET(tPrcElec,0,26,1,_maxLT))</f>
        <v>49753.838650142949</v>
      </c>
      <c r="AF108" s="28">
        <f ca="1">SUMPRODUCT(dFactor,tpSurvAxH,INDEX(tEIdxElec,28)*INDEX(elecAxH,1,1)*allOnes,OFFSET(tPrcElec,0,27,1,_maxLT))</f>
        <v>49944.180757124748</v>
      </c>
      <c r="AG108" s="28">
        <f ca="1">SUMPRODUCT(dFactor,tpSurvAxH,INDEX(tEIdxElec,29)*INDEX(elecAxH,1,1)*allOnes,OFFSET(tPrcElec,0,28,1,_maxLT))</f>
        <v>50151.843034011719</v>
      </c>
      <c r="AH108" s="28">
        <f ca="1">SUMPRODUCT(dFactor,tpSurvAxH,INDEX(tEIdxElec,30)*INDEX(elecAxH,1,1)*allOnes,OFFSET(tPrcElec,0,29,1,_maxLT))</f>
        <v>50337.86535359158</v>
      </c>
      <c r="AI108" s="28">
        <f ca="1">SUMPRODUCT(dFactor,tpSurvAxH,INDEX(tEIdxElec,31)*INDEX(elecAxH,1,1)*allOnes,OFFSET(tPrcElec,0,30,1,_maxLT))</f>
        <v>50540.916682250958</v>
      </c>
      <c r="AJ108" s="28">
        <f ca="1">SUMPRODUCT(dFactor,tpSurvAxH,INDEX(tEIdxElec,32)*INDEX(elecAxH,1,1)*allOnes,OFFSET(tPrcElec,0,31,1,_maxLT))</f>
        <v>50722.020604353369</v>
      </c>
      <c r="AK108" s="29">
        <f ca="1">SUMPRODUCT(dFactor,tpSurvAxH,INDEX(tEIdxElec,33)*INDEX(elecAxH,1,1)*allOnes,OFFSET(tPrcElec,0,32,1,_maxLT))</f>
        <v>50919.863020699893</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ts2bElec*SUMPRODUCT(tpSurvAxH,INDEX(tEIdxElec,1)*INDEX(elecAxH,1,1)*convFactor)</f>
        <v>9998.715591480679</v>
      </c>
      <c r="F110" s="22">
        <f ca="1">ts2bElec*SUMPRODUCT(tpSurvAxH,INDEX(tEIdxElec,2)*INDEX(elecAxH,1,1)*convFactor)</f>
        <v>9927.9745822807636</v>
      </c>
      <c r="G110" s="22">
        <f ca="1">ts2bElec*SUMPRODUCT(tpSurvAxH,INDEX(tEIdxElec,3)*INDEX(elecAxH,1,1)*convFactor)</f>
        <v>9856.651539145787</v>
      </c>
      <c r="H110" s="22">
        <f ca="1">ts2bElec*SUMPRODUCT(tpSurvAxH,INDEX(tEIdxElec,4)*INDEX(elecAxH,1,1)*convFactor)</f>
        <v>9793.9951357008867</v>
      </c>
      <c r="I110" s="22">
        <f ca="1">ts2bElec*SUMPRODUCT(tpSurvAxH,INDEX(tEIdxElec,5)*INDEX(elecAxH,1,1)*convFactor)</f>
        <v>9734.5519847942851</v>
      </c>
      <c r="J110" s="22">
        <f ca="1">ts2bElec*SUMPRODUCT(tpSurvAxH,INDEX(tEIdxElec,6)*INDEX(elecAxH,1,1)*convFactor)</f>
        <v>9682.7748321809377</v>
      </c>
      <c r="K110" s="22">
        <f ca="1">ts2bElec*SUMPRODUCT(tpSurvAxH,INDEX(tEIdxElec,7)*INDEX(elecAxH,1,1)*convFactor)</f>
        <v>9642.617121864303</v>
      </c>
      <c r="L110" s="22">
        <f ca="1">ts2bElec*SUMPRODUCT(tpSurvAxH,INDEX(tEIdxElec,8)*INDEX(elecAxH,1,1)*convFactor)</f>
        <v>9609.3222949269584</v>
      </c>
      <c r="M110" s="22">
        <f ca="1">ts2bElec*SUMPRODUCT(tpSurvAxH,INDEX(tEIdxElec,9)*INDEX(elecAxH,1,1)*convFactor)</f>
        <v>9575.8716497996611</v>
      </c>
      <c r="N110" s="22">
        <f ca="1">ts2bElec*SUMPRODUCT(tpSurvAxH,INDEX(tEIdxElec,10)*INDEX(elecAxH,1,1)*convFactor)</f>
        <v>9549.1049389734435</v>
      </c>
      <c r="O110" s="22">
        <f ca="1">ts2bElec*SUMPRODUCT(tpSurvAxH,INDEX(tEIdxElec,11)*INDEX(elecAxH,1,1)*convFactor)</f>
        <v>9530.6648649177841</v>
      </c>
      <c r="P110" s="22">
        <f ca="1">ts2bElec*SUMPRODUCT(tpSurvAxH,INDEX(tEIdxElec,12)*INDEX(elecAxH,1,1)*convFactor)</f>
        <v>9517.1642743517041</v>
      </c>
      <c r="Q110" s="22">
        <f ca="1">ts2bElec*SUMPRODUCT(tpSurvAxH,INDEX(tEIdxElec,13)*INDEX(elecAxH,1,1)*convFactor)</f>
        <v>9505.8017920401435</v>
      </c>
      <c r="R110" s="22">
        <f ca="1">ts2bElec*SUMPRODUCT(tpSurvAxH,INDEX(tEIdxElec,14)*INDEX(elecAxH,1,1)*convFactor)</f>
        <v>9497.4181029663632</v>
      </c>
      <c r="S110" s="22">
        <f ca="1">ts2bElec*SUMPRODUCT(tpSurvAxH,INDEX(tEIdxElec,15)*INDEX(elecAxH,1,1)*convFactor)</f>
        <v>9491.0290179369404</v>
      </c>
      <c r="T110" s="22">
        <f ca="1">ts2bElec*SUMPRODUCT(tpSurvAxH,INDEX(tEIdxElec,16)*INDEX(elecAxH,1,1)*convFactor)</f>
        <v>9490.2236769236479</v>
      </c>
      <c r="U110" s="22">
        <f ca="1">ts2bElec*SUMPRODUCT(tpSurvAxH,INDEX(tEIdxElec,17)*INDEX(elecAxH,1,1)*convFactor)</f>
        <v>9491.8585769796446</v>
      </c>
      <c r="V110" s="22">
        <f ca="1">ts2bElec*SUMPRODUCT(tpSurvAxH,INDEX(tEIdxElec,18)*INDEX(elecAxH,1,1)*convFactor)</f>
        <v>9494.2648760046541</v>
      </c>
      <c r="W110" s="22">
        <f ca="1">ts2bElec*SUMPRODUCT(tpSurvAxH,INDEX(tEIdxElec,19)*INDEX(elecAxH,1,1)*convFactor)</f>
        <v>9497.7062169991514</v>
      </c>
      <c r="X110" s="22">
        <f ca="1">ts2bElec*SUMPRODUCT(tpSurvAxH,INDEX(tEIdxElec,20)*INDEX(elecAxH,1,1)*convFactor)</f>
        <v>9500.9582472719885</v>
      </c>
      <c r="Y110" s="22">
        <f ca="1">ts2bElec*SUMPRODUCT(tpSurvAxH,INDEX(tEIdxElec,21)*INDEX(elecAxH,1,1)*convFactor)</f>
        <v>9503.652728227451</v>
      </c>
      <c r="Z110" s="22">
        <f ca="1">ts2bElec*SUMPRODUCT(tpSurvAxH,INDEX(tEIdxElec,22)*INDEX(elecAxH,1,1)*convFactor)</f>
        <v>9505.4584114333702</v>
      </c>
      <c r="AA110" s="22">
        <f ca="1">ts2bElec*SUMPRODUCT(tpSurvAxH,INDEX(tEIdxElec,23)*INDEX(elecAxH,1,1)*convFactor)</f>
        <v>9506.6484768642767</v>
      </c>
      <c r="AB110" s="22">
        <f ca="1">ts2bElec*SUMPRODUCT(tpSurvAxH,INDEX(tEIdxElec,24)*INDEX(elecAxH,1,1)*convFactor)</f>
        <v>9506.6484768642767</v>
      </c>
      <c r="AC110" s="22">
        <f ca="1">ts2bElec*SUMPRODUCT(tpSurvAxH,INDEX(tEIdxElec,25)*INDEX(elecAxH,1,1)*convFactor)</f>
        <v>9506.6484768642767</v>
      </c>
      <c r="AD110" s="22">
        <f ca="1">ts2bElec*SUMPRODUCT(tpSurvAxH,INDEX(tEIdxElec,26)*INDEX(elecAxH,1,1)*convFactor)</f>
        <v>9506.6484768642767</v>
      </c>
      <c r="AE110" s="22">
        <f ca="1">ts2bElec*SUMPRODUCT(tpSurvAxH,INDEX(tEIdxElec,27)*INDEX(elecAxH,1,1)*convFactor)</f>
        <v>9506.6484768642767</v>
      </c>
      <c r="AF110" s="22">
        <f ca="1">ts2bElec*SUMPRODUCT(tpSurvAxH,INDEX(tEIdxElec,28)*INDEX(elecAxH,1,1)*convFactor)</f>
        <v>9506.6484768642767</v>
      </c>
      <c r="AG110" s="22">
        <f ca="1">ts2bElec*SUMPRODUCT(tpSurvAxH,INDEX(tEIdxElec,29)*INDEX(elecAxH,1,1)*convFactor)</f>
        <v>9506.6484768642767</v>
      </c>
      <c r="AH110" s="22">
        <f ca="1">ts2bElec*SUMPRODUCT(tpSurvAxH,INDEX(tEIdxElec,30)*INDEX(elecAxH,1,1)*convFactor)</f>
        <v>9506.6484768642767</v>
      </c>
      <c r="AI110" s="22">
        <f ca="1">ts2bElec*SUMPRODUCT(tpSurvAxH,INDEX(tEIdxElec,31)*INDEX(elecAxH,1,1)*convFactor)</f>
        <v>9506.6484768642767</v>
      </c>
      <c r="AJ110" s="22">
        <f ca="1">ts2bElec*SUMPRODUCT(tpSurvAxH,INDEX(tEIdxElec,32)*INDEX(elecAxH,1,1)*convFactor)</f>
        <v>9506.6484768642767</v>
      </c>
      <c r="AK110" s="25">
        <f ca="1">ts2bElec*SUMPRODUCT(tpSurvAxH,INDEX(tEIdxElec,33)*INDEX(elecAxH,1,1)*convFactor)</f>
        <v>9506.6484768642767</v>
      </c>
      <c r="AL110" s="3"/>
    </row>
    <row r="111" spans="2:38">
      <c r="B111" s="3"/>
      <c r="C111" s="30" t="str">
        <f>"EL 1: " &amp; INDEX(_doName,1,2)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(1+INDEX(vadAxH,1,2))*INDEX(mspAxH,1,2)*tPIdxAll + INDEX(instAxH,1,2) + SUMPRODUCT(dFactor,tpSurvAxH,INDEX(mrAxH,1,2)*allOnes)</f>
        <v>2844.7076429999997</v>
      </c>
      <c r="F112" s="28">
        <f ca="1"/>
        <v>2844.7076429999997</v>
      </c>
      <c r="G112" s="28">
        <f ca="1"/>
        <v>2844.7076429999997</v>
      </c>
      <c r="H112" s="28">
        <f ca="1"/>
        <v>2844.7076429999997</v>
      </c>
      <c r="I112" s="28">
        <f ca="1"/>
        <v>2844.7076429999997</v>
      </c>
      <c r="J112" s="28">
        <f ca="1"/>
        <v>2844.7076429999997</v>
      </c>
      <c r="K112" s="28">
        <f ca="1"/>
        <v>2844.7076429999997</v>
      </c>
      <c r="L112" s="28">
        <f ca="1"/>
        <v>2844.7076429999997</v>
      </c>
      <c r="M112" s="28">
        <f ca="1"/>
        <v>2844.7076429999997</v>
      </c>
      <c r="N112" s="28">
        <f ca="1"/>
        <v>2844.7076429999997</v>
      </c>
      <c r="O112" s="28">
        <f ca="1"/>
        <v>2844.7076429999997</v>
      </c>
      <c r="P112" s="28">
        <f ca="1"/>
        <v>2844.7076429999997</v>
      </c>
      <c r="Q112" s="28">
        <f ca="1"/>
        <v>2844.7076429999997</v>
      </c>
      <c r="R112" s="28">
        <f ca="1"/>
        <v>2844.7076429999997</v>
      </c>
      <c r="S112" s="28">
        <f ca="1"/>
        <v>2844.7076429999997</v>
      </c>
      <c r="T112" s="28">
        <f ca="1"/>
        <v>2844.7076429999997</v>
      </c>
      <c r="U112" s="28">
        <f ca="1"/>
        <v>2844.7076429999997</v>
      </c>
      <c r="V112" s="28">
        <f ca="1"/>
        <v>2844.7076429999997</v>
      </c>
      <c r="W112" s="28">
        <f ca="1"/>
        <v>2844.7076429999997</v>
      </c>
      <c r="X112" s="28">
        <f ca="1"/>
        <v>2844.7076429999997</v>
      </c>
      <c r="Y112" s="28">
        <f ca="1"/>
        <v>2844.7076429999997</v>
      </c>
      <c r="Z112" s="28">
        <f ca="1"/>
        <v>2844.7076429999997</v>
      </c>
      <c r="AA112" s="28">
        <f ca="1"/>
        <v>2844.7076429999997</v>
      </c>
      <c r="AB112" s="28">
        <f ca="1"/>
        <v>2844.7076429999997</v>
      </c>
      <c r="AC112" s="28">
        <f ca="1"/>
        <v>2844.7076429999997</v>
      </c>
      <c r="AD112" s="28">
        <f ca="1"/>
        <v>2844.7076429999997</v>
      </c>
      <c r="AE112" s="28">
        <f ca="1"/>
        <v>2844.7076429999997</v>
      </c>
      <c r="AF112" s="28">
        <f ca="1"/>
        <v>2844.7076429999997</v>
      </c>
      <c r="AG112" s="28">
        <f ca="1"/>
        <v>2844.7076429999997</v>
      </c>
      <c r="AH112" s="28">
        <f ca="1"/>
        <v>2844.7076429999997</v>
      </c>
      <c r="AI112" s="28">
        <f ca="1"/>
        <v>2844.7076429999997</v>
      </c>
      <c r="AJ112" s="28">
        <f ca="1"/>
        <v>2844.7076429999997</v>
      </c>
      <c r="AK112" s="29">
        <f ca="1"/>
        <v>2844.7076429999997</v>
      </c>
      <c r="AL112" s="3"/>
    </row>
    <row r="113" spans="2:38">
      <c r="B113" s="3"/>
      <c r="C113" s="23" t="s">
        <v>47</v>
      </c>
      <c r="D113" s="16" t="str">
        <f>_yearDol &amp; "$"</f>
        <v>2013$</v>
      </c>
      <c r="E113" s="141">
        <f t="array" aca="1" ref="E113:AK113" ca="1">(tlccEFubcElec1)</f>
        <v>31586.193449602695</v>
      </c>
      <c r="F113" s="28">
        <f ca="1"/>
        <v>31725.233841123601</v>
      </c>
      <c r="G113" s="28">
        <f ca="1"/>
        <v>31848.33721197613</v>
      </c>
      <c r="H113" s="28">
        <f ca="1"/>
        <v>31982.512203445101</v>
      </c>
      <c r="I113" s="28">
        <f ca="1"/>
        <v>32100.428871009717</v>
      </c>
      <c r="J113" s="28">
        <f ca="1"/>
        <v>32229.086547793329</v>
      </c>
      <c r="K113" s="28">
        <f ca="1"/>
        <v>32341.144508498361</v>
      </c>
      <c r="L113" s="28">
        <f ca="1"/>
        <v>32463.536862084282</v>
      </c>
      <c r="M113" s="28">
        <f ca="1"/>
        <v>32596.990521110703</v>
      </c>
      <c r="N113" s="28">
        <f ca="1"/>
        <v>32714.198349307306</v>
      </c>
      <c r="O113" s="28">
        <f ca="1"/>
        <v>32842.121575686433</v>
      </c>
      <c r="P113" s="28">
        <f ca="1"/>
        <v>32981.57415388168</v>
      </c>
      <c r="Q113" s="28">
        <f ca="1"/>
        <v>33105.211080724293</v>
      </c>
      <c r="R113" s="28">
        <f ca="1"/>
        <v>33240.03926579847</v>
      </c>
      <c r="S113" s="28">
        <f ca="1"/>
        <v>33358.781952439436</v>
      </c>
      <c r="T113" s="28">
        <f ca="1"/>
        <v>33488.393433946978</v>
      </c>
      <c r="U113" s="28">
        <f ca="1"/>
        <v>33629.761568558104</v>
      </c>
      <c r="V113" s="28">
        <f ca="1"/>
        <v>33755.48357417294</v>
      </c>
      <c r="W113" s="28">
        <f ca="1"/>
        <v>33892.658220117708</v>
      </c>
      <c r="X113" s="28">
        <f ca="1"/>
        <v>34013.935687935278</v>
      </c>
      <c r="Y113" s="28">
        <f ca="1"/>
        <v>34146.29947255554</v>
      </c>
      <c r="Z113" s="28">
        <f ca="1"/>
        <v>34290.683835065051</v>
      </c>
      <c r="AA113" s="28">
        <f ca="1"/>
        <v>34419.648523810014</v>
      </c>
      <c r="AB113" s="28">
        <f ca="1"/>
        <v>34560.406433285381</v>
      </c>
      <c r="AC113" s="28">
        <f ca="1"/>
        <v>34685.509581966748</v>
      </c>
      <c r="AD113" s="28">
        <f ca="1"/>
        <v>34822.100085281782</v>
      </c>
      <c r="AE113" s="28">
        <f ca="1"/>
        <v>34970.863186000264</v>
      </c>
      <c r="AF113" s="28">
        <f ca="1"/>
        <v>35104.650406491986</v>
      </c>
      <c r="AG113" s="28">
        <f ca="1"/>
        <v>35250.611587999461</v>
      </c>
      <c r="AH113" s="28">
        <f ca="1"/>
        <v>35381.362526300189</v>
      </c>
      <c r="AI113" s="28">
        <f ca="1"/>
        <v>35524.082775168114</v>
      </c>
      <c r="AJ113" s="28">
        <f ca="1"/>
        <v>35651.37668161068</v>
      </c>
      <c r="AK113" s="29">
        <f ca="1"/>
        <v>35790.435702223986</v>
      </c>
      <c r="AL113" s="3"/>
    </row>
    <row r="114" spans="2:38">
      <c r="B114" s="3"/>
      <c r="C114" s="27" t="str">
        <f>INDEX(_fuel,1)</f>
        <v>Electricity</v>
      </c>
      <c r="D114" s="16" t="str">
        <f>_yearDol &amp; "$"</f>
        <v>2013$</v>
      </c>
      <c r="E114" s="141">
        <f ca="1">SUMPRODUCT(dFactor,tpSurvAxH,INDEX(tEIdxElec,1)*INDEX(elecAxH,1,2)*allOnes,OFFSET(tPrcElec,0,0,1,_maxLT))</f>
        <v>31586.193449602695</v>
      </c>
      <c r="F114" s="28">
        <f ca="1">SUMPRODUCT(dFactor,tpSurvAxH,INDEX(tEIdxElec,2)*INDEX(elecAxH,1,2)*allOnes,OFFSET(tPrcElec,0,1,1,_maxLT))</f>
        <v>31725.233841123601</v>
      </c>
      <c r="G114" s="28">
        <f ca="1">SUMPRODUCT(dFactor,tpSurvAxH,INDEX(tEIdxElec,3)*INDEX(elecAxH,1,2)*allOnes,OFFSET(tPrcElec,0,2,1,_maxLT))</f>
        <v>31848.33721197613</v>
      </c>
      <c r="H114" s="28">
        <f ca="1">SUMPRODUCT(dFactor,tpSurvAxH,INDEX(tEIdxElec,4)*INDEX(elecAxH,1,2)*allOnes,OFFSET(tPrcElec,0,3,1,_maxLT))</f>
        <v>31982.512203445101</v>
      </c>
      <c r="I114" s="28">
        <f ca="1">SUMPRODUCT(dFactor,tpSurvAxH,INDEX(tEIdxElec,5)*INDEX(elecAxH,1,2)*allOnes,OFFSET(tPrcElec,0,4,1,_maxLT))</f>
        <v>32100.428871009717</v>
      </c>
      <c r="J114" s="28">
        <f ca="1">SUMPRODUCT(dFactor,tpSurvAxH,INDEX(tEIdxElec,6)*INDEX(elecAxH,1,2)*allOnes,OFFSET(tPrcElec,0,5,1,_maxLT))</f>
        <v>32229.086547793329</v>
      </c>
      <c r="K114" s="28">
        <f ca="1">SUMPRODUCT(dFactor,tpSurvAxH,INDEX(tEIdxElec,7)*INDEX(elecAxH,1,2)*allOnes,OFFSET(tPrcElec,0,6,1,_maxLT))</f>
        <v>32341.144508498361</v>
      </c>
      <c r="L114" s="28">
        <f ca="1">SUMPRODUCT(dFactor,tpSurvAxH,INDEX(tEIdxElec,8)*INDEX(elecAxH,1,2)*allOnes,OFFSET(tPrcElec,0,7,1,_maxLT))</f>
        <v>32463.536862084282</v>
      </c>
      <c r="M114" s="28">
        <f ca="1">SUMPRODUCT(dFactor,tpSurvAxH,INDEX(tEIdxElec,9)*INDEX(elecAxH,1,2)*allOnes,OFFSET(tPrcElec,0,8,1,_maxLT))</f>
        <v>32596.990521110703</v>
      </c>
      <c r="N114" s="28">
        <f ca="1">SUMPRODUCT(dFactor,tpSurvAxH,INDEX(tEIdxElec,10)*INDEX(elecAxH,1,2)*allOnes,OFFSET(tPrcElec,0,9,1,_maxLT))</f>
        <v>32714.198349307306</v>
      </c>
      <c r="O114" s="28">
        <f ca="1">SUMPRODUCT(dFactor,tpSurvAxH,INDEX(tEIdxElec,11)*INDEX(elecAxH,1,2)*allOnes,OFFSET(tPrcElec,0,10,1,_maxLT))</f>
        <v>32842.121575686433</v>
      </c>
      <c r="P114" s="28">
        <f ca="1">SUMPRODUCT(dFactor,tpSurvAxH,INDEX(tEIdxElec,12)*INDEX(elecAxH,1,2)*allOnes,OFFSET(tPrcElec,0,11,1,_maxLT))</f>
        <v>32981.57415388168</v>
      </c>
      <c r="Q114" s="28">
        <f ca="1">SUMPRODUCT(dFactor,tpSurvAxH,INDEX(tEIdxElec,13)*INDEX(elecAxH,1,2)*allOnes,OFFSET(tPrcElec,0,12,1,_maxLT))</f>
        <v>33105.211080724293</v>
      </c>
      <c r="R114" s="28">
        <f ca="1">SUMPRODUCT(dFactor,tpSurvAxH,INDEX(tEIdxElec,14)*INDEX(elecAxH,1,2)*allOnes,OFFSET(tPrcElec,0,13,1,_maxLT))</f>
        <v>33240.03926579847</v>
      </c>
      <c r="S114" s="28">
        <f ca="1">SUMPRODUCT(dFactor,tpSurvAxH,INDEX(tEIdxElec,15)*INDEX(elecAxH,1,2)*allOnes,OFFSET(tPrcElec,0,14,1,_maxLT))</f>
        <v>33358.781952439436</v>
      </c>
      <c r="T114" s="28">
        <f ca="1">SUMPRODUCT(dFactor,tpSurvAxH,INDEX(tEIdxElec,16)*INDEX(elecAxH,1,2)*allOnes,OFFSET(tPrcElec,0,15,1,_maxLT))</f>
        <v>33488.393433946978</v>
      </c>
      <c r="U114" s="28">
        <f ca="1">SUMPRODUCT(dFactor,tpSurvAxH,INDEX(tEIdxElec,17)*INDEX(elecAxH,1,2)*allOnes,OFFSET(tPrcElec,0,16,1,_maxLT))</f>
        <v>33629.761568558104</v>
      </c>
      <c r="V114" s="28">
        <f ca="1">SUMPRODUCT(dFactor,tpSurvAxH,INDEX(tEIdxElec,18)*INDEX(elecAxH,1,2)*allOnes,OFFSET(tPrcElec,0,17,1,_maxLT))</f>
        <v>33755.48357417294</v>
      </c>
      <c r="W114" s="28">
        <f ca="1">SUMPRODUCT(dFactor,tpSurvAxH,INDEX(tEIdxElec,19)*INDEX(elecAxH,1,2)*allOnes,OFFSET(tPrcElec,0,18,1,_maxLT))</f>
        <v>33892.658220117708</v>
      </c>
      <c r="X114" s="28">
        <f ca="1">SUMPRODUCT(dFactor,tpSurvAxH,INDEX(tEIdxElec,20)*INDEX(elecAxH,1,2)*allOnes,OFFSET(tPrcElec,0,19,1,_maxLT))</f>
        <v>34013.935687935278</v>
      </c>
      <c r="Y114" s="28">
        <f ca="1">SUMPRODUCT(dFactor,tpSurvAxH,INDEX(tEIdxElec,21)*INDEX(elecAxH,1,2)*allOnes,OFFSET(tPrcElec,0,20,1,_maxLT))</f>
        <v>34146.29947255554</v>
      </c>
      <c r="Z114" s="28">
        <f ca="1">SUMPRODUCT(dFactor,tpSurvAxH,INDEX(tEIdxElec,22)*INDEX(elecAxH,1,2)*allOnes,OFFSET(tPrcElec,0,21,1,_maxLT))</f>
        <v>34290.683835065051</v>
      </c>
      <c r="AA114" s="28">
        <f ca="1">SUMPRODUCT(dFactor,tpSurvAxH,INDEX(tEIdxElec,23)*INDEX(elecAxH,1,2)*allOnes,OFFSET(tPrcElec,0,22,1,_maxLT))</f>
        <v>34419.648523810014</v>
      </c>
      <c r="AB114" s="28">
        <f ca="1">SUMPRODUCT(dFactor,tpSurvAxH,INDEX(tEIdxElec,24)*INDEX(elecAxH,1,2)*allOnes,OFFSET(tPrcElec,0,23,1,_maxLT))</f>
        <v>34560.406433285381</v>
      </c>
      <c r="AC114" s="28">
        <f ca="1">SUMPRODUCT(dFactor,tpSurvAxH,INDEX(tEIdxElec,25)*INDEX(elecAxH,1,2)*allOnes,OFFSET(tPrcElec,0,24,1,_maxLT))</f>
        <v>34685.509581966748</v>
      </c>
      <c r="AD114" s="28">
        <f ca="1">SUMPRODUCT(dFactor,tpSurvAxH,INDEX(tEIdxElec,26)*INDEX(elecAxH,1,2)*allOnes,OFFSET(tPrcElec,0,25,1,_maxLT))</f>
        <v>34822.100085281782</v>
      </c>
      <c r="AE114" s="28">
        <f ca="1">SUMPRODUCT(dFactor,tpSurvAxH,INDEX(tEIdxElec,27)*INDEX(elecAxH,1,2)*allOnes,OFFSET(tPrcElec,0,26,1,_maxLT))</f>
        <v>34970.863186000264</v>
      </c>
      <c r="AF114" s="28">
        <f ca="1">SUMPRODUCT(dFactor,tpSurvAxH,INDEX(tEIdxElec,28)*INDEX(elecAxH,1,2)*allOnes,OFFSET(tPrcElec,0,27,1,_maxLT))</f>
        <v>35104.650406491986</v>
      </c>
      <c r="AG114" s="28">
        <f ca="1">SUMPRODUCT(dFactor,tpSurvAxH,INDEX(tEIdxElec,29)*INDEX(elecAxH,1,2)*allOnes,OFFSET(tPrcElec,0,28,1,_maxLT))</f>
        <v>35250.611587999461</v>
      </c>
      <c r="AH114" s="28">
        <f ca="1">SUMPRODUCT(dFactor,tpSurvAxH,INDEX(tEIdxElec,30)*INDEX(elecAxH,1,2)*allOnes,OFFSET(tPrcElec,0,29,1,_maxLT))</f>
        <v>35381.362526300189</v>
      </c>
      <c r="AI114" s="28">
        <f ca="1">SUMPRODUCT(dFactor,tpSurvAxH,INDEX(tEIdxElec,31)*INDEX(elecAxH,1,2)*allOnes,OFFSET(tPrcElec,0,30,1,_maxLT))</f>
        <v>35524.082775168114</v>
      </c>
      <c r="AJ114" s="28">
        <f ca="1">SUMPRODUCT(dFactor,tpSurvAxH,INDEX(tEIdxElec,32)*INDEX(elecAxH,1,2)*allOnes,OFFSET(tPrcElec,0,31,1,_maxLT))</f>
        <v>35651.37668161068</v>
      </c>
      <c r="AK114" s="29">
        <f ca="1">SUMPRODUCT(dFactor,tpSurvAxH,INDEX(tEIdxElec,33)*INDEX(elecAxH,1,2)*allOnes,OFFSET(tPrcElec,0,32,1,_maxLT))</f>
        <v>35790.435702223986</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ts2bElec*SUMPRODUCT(tpSurvAxH,INDEX(tEIdxElec,1)*INDEX(elecAxH,1,2)*convFactor)</f>
        <v>7027.8741193046426</v>
      </c>
      <c r="F116" s="22">
        <f ca="1">ts2bElec*SUMPRODUCT(tpSurvAxH,INDEX(tEIdxElec,2)*INDEX(elecAxH,1,2)*convFactor)</f>
        <v>6978.1518421600467</v>
      </c>
      <c r="G116" s="22">
        <f ca="1">ts2bElec*SUMPRODUCT(tpSurvAxH,INDEX(tEIdxElec,3)*INDEX(elecAxH,1,2)*convFactor)</f>
        <v>6928.0204663475943</v>
      </c>
      <c r="H116" s="22">
        <f ca="1">ts2bElec*SUMPRODUCT(tpSurvAxH,INDEX(tEIdxElec,4)*INDEX(elecAxH,1,2)*convFactor)</f>
        <v>6883.9806782217765</v>
      </c>
      <c r="I116" s="22">
        <f ca="1">ts2bElec*SUMPRODUCT(tpSurvAxH,INDEX(tEIdxElec,5)*INDEX(elecAxH,1,2)*convFactor)</f>
        <v>6842.1994136179128</v>
      </c>
      <c r="J116" s="22">
        <f ca="1">ts2bElec*SUMPRODUCT(tpSurvAxH,INDEX(tEIdxElec,6)*INDEX(elecAxH,1,2)*convFactor)</f>
        <v>6805.806408187027</v>
      </c>
      <c r="K116" s="22">
        <f ca="1">ts2bElec*SUMPRODUCT(tpSurvAxH,INDEX(tEIdxElec,7)*INDEX(elecAxH,1,2)*convFactor)</f>
        <v>6777.5804495183693</v>
      </c>
      <c r="L116" s="22">
        <f ca="1">ts2bElec*SUMPRODUCT(tpSurvAxH,INDEX(tEIdxElec,8)*INDEX(elecAxH,1,2)*convFactor)</f>
        <v>6754.1782584670418</v>
      </c>
      <c r="M116" s="22">
        <f ca="1">ts2bElec*SUMPRODUCT(tpSurvAxH,INDEX(tEIdxElec,9)*INDEX(elecAxH,1,2)*convFactor)</f>
        <v>6730.666546286282</v>
      </c>
      <c r="N116" s="22">
        <f ca="1">ts2bElec*SUMPRODUCT(tpSurvAxH,INDEX(tEIdxElec,10)*INDEX(elecAxH,1,2)*convFactor)</f>
        <v>6711.8528224081092</v>
      </c>
      <c r="O116" s="22">
        <f ca="1">ts2bElec*SUMPRODUCT(tpSurvAxH,INDEX(tEIdxElec,11)*INDEX(elecAxH,1,2)*convFactor)</f>
        <v>6698.8917057498602</v>
      </c>
      <c r="P116" s="22">
        <f ca="1">ts2bElec*SUMPRODUCT(tpSurvAxH,INDEX(tEIdxElec,12)*INDEX(elecAxH,1,2)*convFactor)</f>
        <v>6689.4024418372519</v>
      </c>
      <c r="Q116" s="22">
        <f ca="1">ts2bElec*SUMPRODUCT(tpSurvAxH,INDEX(tEIdxElec,13)*INDEX(elecAxH,1,2)*convFactor)</f>
        <v>6681.4160065158485</v>
      </c>
      <c r="R116" s="22">
        <f ca="1">ts2bElec*SUMPRODUCT(tpSurvAxH,INDEX(tEIdxElec,14)*INDEX(elecAxH,1,2)*convFactor)</f>
        <v>6675.5232985048206</v>
      </c>
      <c r="S116" s="22">
        <f ca="1">ts2bElec*SUMPRODUCT(tpSurvAxH,INDEX(tEIdxElec,15)*INDEX(elecAxH,1,2)*convFactor)</f>
        <v>6671.0325531772323</v>
      </c>
      <c r="T116" s="22">
        <f ca="1">ts2bElec*SUMPRODUCT(tpSurvAxH,INDEX(tEIdxElec,16)*INDEX(elecAxH,1,2)*convFactor)</f>
        <v>6670.4664969460355</v>
      </c>
      <c r="U116" s="22">
        <f ca="1">ts2bElec*SUMPRODUCT(tpSurvAxH,INDEX(tEIdxElec,17)*INDEX(elecAxH,1,2)*convFactor)</f>
        <v>6671.6156317210025</v>
      </c>
      <c r="V116" s="22">
        <f ca="1">ts2bElec*SUMPRODUCT(tpSurvAxH,INDEX(tEIdxElec,18)*INDEX(elecAxH,1,2)*convFactor)</f>
        <v>6673.3069656214884</v>
      </c>
      <c r="W116" s="22">
        <f ca="1">ts2bElec*SUMPRODUCT(tpSurvAxH,INDEX(tEIdxElec,19)*INDEX(elecAxH,1,2)*convFactor)</f>
        <v>6675.7258074306847</v>
      </c>
      <c r="X116" s="22">
        <f ca="1">ts2bElec*SUMPRODUCT(tpSurvAxH,INDEX(tEIdxElec,20)*INDEX(elecAxH,1,2)*convFactor)</f>
        <v>6678.01158695712</v>
      </c>
      <c r="Y116" s="22">
        <f ca="1">ts2bElec*SUMPRODUCT(tpSurvAxH,INDEX(tEIdxElec,21)*INDEX(elecAxH,1,2)*convFactor)</f>
        <v>6679.90547750722</v>
      </c>
      <c r="Z116" s="22">
        <f ca="1">ts2bElec*SUMPRODUCT(tpSurvAxH,INDEX(tEIdxElec,22)*INDEX(elecAxH,1,2)*convFactor)</f>
        <v>6681.1746519481221</v>
      </c>
      <c r="AA116" s="22">
        <f ca="1">ts2bElec*SUMPRODUCT(tpSurvAxH,INDEX(tEIdxElec,23)*INDEX(elecAxH,1,2)*convFactor)</f>
        <v>6682.0111223893109</v>
      </c>
      <c r="AB116" s="22">
        <f ca="1">ts2bElec*SUMPRODUCT(tpSurvAxH,INDEX(tEIdxElec,24)*INDEX(elecAxH,1,2)*convFactor)</f>
        <v>6682.0111223893109</v>
      </c>
      <c r="AC116" s="22">
        <f ca="1">ts2bElec*SUMPRODUCT(tpSurvAxH,INDEX(tEIdxElec,25)*INDEX(elecAxH,1,2)*convFactor)</f>
        <v>6682.0111223893109</v>
      </c>
      <c r="AD116" s="22">
        <f ca="1">ts2bElec*SUMPRODUCT(tpSurvAxH,INDEX(tEIdxElec,26)*INDEX(elecAxH,1,2)*convFactor)</f>
        <v>6682.0111223893109</v>
      </c>
      <c r="AE116" s="22">
        <f ca="1">ts2bElec*SUMPRODUCT(tpSurvAxH,INDEX(tEIdxElec,27)*INDEX(elecAxH,1,2)*convFactor)</f>
        <v>6682.0111223893109</v>
      </c>
      <c r="AF116" s="22">
        <f ca="1">ts2bElec*SUMPRODUCT(tpSurvAxH,INDEX(tEIdxElec,28)*INDEX(elecAxH,1,2)*convFactor)</f>
        <v>6682.0111223893109</v>
      </c>
      <c r="AG116" s="22">
        <f ca="1">ts2bElec*SUMPRODUCT(tpSurvAxH,INDEX(tEIdxElec,29)*INDEX(elecAxH,1,2)*convFactor)</f>
        <v>6682.0111223893109</v>
      </c>
      <c r="AH116" s="22">
        <f ca="1">ts2bElec*SUMPRODUCT(tpSurvAxH,INDEX(tEIdxElec,30)*INDEX(elecAxH,1,2)*convFactor)</f>
        <v>6682.0111223893109</v>
      </c>
      <c r="AI116" s="22">
        <f ca="1">ts2bElec*SUMPRODUCT(tpSurvAxH,INDEX(tEIdxElec,31)*INDEX(elecAxH,1,2)*convFactor)</f>
        <v>6682.0111223893109</v>
      </c>
      <c r="AJ116" s="22">
        <f ca="1">ts2bElec*SUMPRODUCT(tpSurvAxH,INDEX(tEIdxElec,32)*INDEX(elecAxH,1,2)*convFactor)</f>
        <v>6682.0111223893109</v>
      </c>
      <c r="AK116" s="25">
        <f ca="1">ts2bElec*SUMPRODUCT(tpSurvAxH,INDEX(tEIdxElec,33)*INDEX(elecAxH,1,2)*convFactor)</f>
        <v>6682.0111223893109</v>
      </c>
      <c r="AL116" s="3"/>
    </row>
    <row r="117" spans="2:38">
      <c r="B117" s="3"/>
      <c r="C117" s="30" t="str">
        <f>"EL 2: " &amp; INDEX(_doName,1,3)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(1+INDEX(vadAxH,1,3))*INDEX(mspAxH,1,3)*tPIdxAll + INDEX(instAxH,1,3) + SUMPRODUCT(dFactor,tpSurvAxH,INDEX(mrAxH,1,3)*allOnes)</f>
        <v>4118.9585079999997</v>
      </c>
      <c r="F118" s="28">
        <f ca="1"/>
        <v>4118.9585079999997</v>
      </c>
      <c r="G118" s="28">
        <f ca="1"/>
        <v>4118.9585079999997</v>
      </c>
      <c r="H118" s="28">
        <f ca="1"/>
        <v>4118.9585079999997</v>
      </c>
      <c r="I118" s="28">
        <f ca="1"/>
        <v>4118.9585079999997</v>
      </c>
      <c r="J118" s="28">
        <f ca="1"/>
        <v>4118.9585079999997</v>
      </c>
      <c r="K118" s="28">
        <f ca="1"/>
        <v>4118.9585079999997</v>
      </c>
      <c r="L118" s="28">
        <f ca="1"/>
        <v>4118.9585079999997</v>
      </c>
      <c r="M118" s="28">
        <f ca="1"/>
        <v>4118.9585079999997</v>
      </c>
      <c r="N118" s="28">
        <f ca="1"/>
        <v>4118.9585079999997</v>
      </c>
      <c r="O118" s="28">
        <f ca="1"/>
        <v>4118.9585079999997</v>
      </c>
      <c r="P118" s="28">
        <f ca="1"/>
        <v>4118.9585079999997</v>
      </c>
      <c r="Q118" s="28">
        <f ca="1"/>
        <v>4118.9585079999997</v>
      </c>
      <c r="R118" s="28">
        <f ca="1"/>
        <v>4118.9585079999997</v>
      </c>
      <c r="S118" s="28">
        <f ca="1"/>
        <v>4118.9585079999997</v>
      </c>
      <c r="T118" s="28">
        <f ca="1"/>
        <v>4118.9585079999997</v>
      </c>
      <c r="U118" s="28">
        <f ca="1"/>
        <v>4118.9585079999997</v>
      </c>
      <c r="V118" s="28">
        <f ca="1"/>
        <v>4118.9585079999997</v>
      </c>
      <c r="W118" s="28">
        <f ca="1"/>
        <v>4118.9585079999997</v>
      </c>
      <c r="X118" s="28">
        <f ca="1"/>
        <v>4118.9585079999997</v>
      </c>
      <c r="Y118" s="28">
        <f ca="1"/>
        <v>4118.9585079999997</v>
      </c>
      <c r="Z118" s="28">
        <f ca="1"/>
        <v>4118.9585079999997</v>
      </c>
      <c r="AA118" s="28">
        <f ca="1"/>
        <v>4118.9585079999997</v>
      </c>
      <c r="AB118" s="28">
        <f ca="1"/>
        <v>4118.9585079999997</v>
      </c>
      <c r="AC118" s="28">
        <f ca="1"/>
        <v>4118.9585079999997</v>
      </c>
      <c r="AD118" s="28">
        <f ca="1"/>
        <v>4118.9585079999997</v>
      </c>
      <c r="AE118" s="28">
        <f ca="1"/>
        <v>4118.9585079999997</v>
      </c>
      <c r="AF118" s="28">
        <f ca="1"/>
        <v>4118.9585079999997</v>
      </c>
      <c r="AG118" s="28">
        <f ca="1"/>
        <v>4118.9585079999997</v>
      </c>
      <c r="AH118" s="28">
        <f ca="1"/>
        <v>4118.9585079999997</v>
      </c>
      <c r="AI118" s="28">
        <f ca="1"/>
        <v>4118.9585079999997</v>
      </c>
      <c r="AJ118" s="28">
        <f ca="1"/>
        <v>4118.9585079999997</v>
      </c>
      <c r="AK118" s="29">
        <f ca="1"/>
        <v>4118.9585079999997</v>
      </c>
      <c r="AL118" s="3"/>
    </row>
    <row r="119" spans="2:38">
      <c r="B119" s="3"/>
      <c r="C119" s="23" t="s">
        <v>47</v>
      </c>
      <c r="D119" s="16" t="str">
        <f>_yearDol &amp; "$"</f>
        <v>2013$</v>
      </c>
      <c r="E119" s="141">
        <f t="array" aca="1" ref="E119:AK119" ca="1">(tlccEFubcElec2)</f>
        <v>38786.032735976762</v>
      </c>
      <c r="F119" s="28">
        <f ca="1"/>
        <v>38956.766356846849</v>
      </c>
      <c r="G119" s="28">
        <f ca="1"/>
        <v>39107.930231006401</v>
      </c>
      <c r="H119" s="28">
        <f ca="1"/>
        <v>39272.689419851602</v>
      </c>
      <c r="I119" s="28">
        <f ca="1"/>
        <v>39417.48432005303</v>
      </c>
      <c r="J119" s="28">
        <f ca="1"/>
        <v>39575.468563118782</v>
      </c>
      <c r="K119" s="28">
        <f ca="1"/>
        <v>39713.069307544283</v>
      </c>
      <c r="L119" s="28">
        <f ca="1"/>
        <v>39863.36009330774</v>
      </c>
      <c r="M119" s="28">
        <f ca="1"/>
        <v>40027.233527312797</v>
      </c>
      <c r="N119" s="28">
        <f ca="1"/>
        <v>40171.158013452572</v>
      </c>
      <c r="O119" s="28">
        <f ca="1"/>
        <v>40328.240393573775</v>
      </c>
      <c r="P119" s="28">
        <f ca="1"/>
        <v>40499.480156023375</v>
      </c>
      <c r="Q119" s="28">
        <f ca="1"/>
        <v>40651.299206316493</v>
      </c>
      <c r="R119" s="28">
        <f ca="1"/>
        <v>40816.860479420277</v>
      </c>
      <c r="S119" s="28">
        <f ca="1"/>
        <v>40962.66968363995</v>
      </c>
      <c r="T119" s="28">
        <f ca="1"/>
        <v>41121.825144165166</v>
      </c>
      <c r="U119" s="28">
        <f ca="1"/>
        <v>41295.417099954284</v>
      </c>
      <c r="V119" s="28">
        <f ca="1"/>
        <v>41449.796507311177</v>
      </c>
      <c r="W119" s="28">
        <f ca="1"/>
        <v>41618.239099694132</v>
      </c>
      <c r="X119" s="28">
        <f ca="1"/>
        <v>41767.160869720465</v>
      </c>
      <c r="Y119" s="28">
        <f ca="1"/>
        <v>41929.696000505675</v>
      </c>
      <c r="Z119" s="28">
        <f ca="1"/>
        <v>42106.991711044277</v>
      </c>
      <c r="AA119" s="28">
        <f ca="1"/>
        <v>42265.35294717834</v>
      </c>
      <c r="AB119" s="28">
        <f ca="1"/>
        <v>42438.195581523294</v>
      </c>
      <c r="AC119" s="28">
        <f ca="1"/>
        <v>42591.815068083779</v>
      </c>
      <c r="AD119" s="28">
        <f ca="1"/>
        <v>42759.540366842979</v>
      </c>
      <c r="AE119" s="28">
        <f ca="1"/>
        <v>42942.212916594122</v>
      </c>
      <c r="AF119" s="28">
        <f ca="1"/>
        <v>43106.495944934526</v>
      </c>
      <c r="AG119" s="28">
        <f ca="1"/>
        <v>43285.727898704594</v>
      </c>
      <c r="AH119" s="28">
        <f ca="1"/>
        <v>43446.282546775263</v>
      </c>
      <c r="AI119" s="28">
        <f ca="1"/>
        <v>43621.534821270165</v>
      </c>
      <c r="AJ119" s="28">
        <f ca="1"/>
        <v>43777.844432627709</v>
      </c>
      <c r="AK119" s="29">
        <f ca="1"/>
        <v>43948.600928954045</v>
      </c>
      <c r="AL119" s="3"/>
    </row>
    <row r="120" spans="2:38">
      <c r="B120" s="3"/>
      <c r="C120" s="27" t="str">
        <f>INDEX(_fuel,1)</f>
        <v>Electricity</v>
      </c>
      <c r="D120" s="16" t="str">
        <f>_yearDol &amp; "$"</f>
        <v>2013$</v>
      </c>
      <c r="E120" s="141">
        <f ca="1">SUMPRODUCT(dFactor,tpSurvAxH,INDEX(tEIdxElec,1)*INDEX(elecAxH,1,3)*allOnes,OFFSET(tPrcElec,0,0,1,_maxLT))</f>
        <v>38786.032735976762</v>
      </c>
      <c r="F120" s="28">
        <f ca="1">SUMPRODUCT(dFactor,tpSurvAxH,INDEX(tEIdxElec,2)*INDEX(elecAxH,1,3)*allOnes,OFFSET(tPrcElec,0,1,1,_maxLT))</f>
        <v>38956.766356846849</v>
      </c>
      <c r="G120" s="28">
        <f ca="1">SUMPRODUCT(dFactor,tpSurvAxH,INDEX(tEIdxElec,3)*INDEX(elecAxH,1,3)*allOnes,OFFSET(tPrcElec,0,2,1,_maxLT))</f>
        <v>39107.930231006401</v>
      </c>
      <c r="H120" s="28">
        <f ca="1">SUMPRODUCT(dFactor,tpSurvAxH,INDEX(tEIdxElec,4)*INDEX(elecAxH,1,3)*allOnes,OFFSET(tPrcElec,0,3,1,_maxLT))</f>
        <v>39272.689419851602</v>
      </c>
      <c r="I120" s="28">
        <f ca="1">SUMPRODUCT(dFactor,tpSurvAxH,INDEX(tEIdxElec,5)*INDEX(elecAxH,1,3)*allOnes,OFFSET(tPrcElec,0,4,1,_maxLT))</f>
        <v>39417.48432005303</v>
      </c>
      <c r="J120" s="28">
        <f ca="1">SUMPRODUCT(dFactor,tpSurvAxH,INDEX(tEIdxElec,6)*INDEX(elecAxH,1,3)*allOnes,OFFSET(tPrcElec,0,5,1,_maxLT))</f>
        <v>39575.468563118782</v>
      </c>
      <c r="K120" s="28">
        <f ca="1">SUMPRODUCT(dFactor,tpSurvAxH,INDEX(tEIdxElec,7)*INDEX(elecAxH,1,3)*allOnes,OFFSET(tPrcElec,0,6,1,_maxLT))</f>
        <v>39713.069307544283</v>
      </c>
      <c r="L120" s="28">
        <f ca="1">SUMPRODUCT(dFactor,tpSurvAxH,INDEX(tEIdxElec,8)*INDEX(elecAxH,1,3)*allOnes,OFFSET(tPrcElec,0,7,1,_maxLT))</f>
        <v>39863.36009330774</v>
      </c>
      <c r="M120" s="28">
        <f ca="1">SUMPRODUCT(dFactor,tpSurvAxH,INDEX(tEIdxElec,9)*INDEX(elecAxH,1,3)*allOnes,OFFSET(tPrcElec,0,8,1,_maxLT))</f>
        <v>40027.233527312797</v>
      </c>
      <c r="N120" s="28">
        <f ca="1">SUMPRODUCT(dFactor,tpSurvAxH,INDEX(tEIdxElec,10)*INDEX(elecAxH,1,3)*allOnes,OFFSET(tPrcElec,0,9,1,_maxLT))</f>
        <v>40171.158013452572</v>
      </c>
      <c r="O120" s="28">
        <f ca="1">SUMPRODUCT(dFactor,tpSurvAxH,INDEX(tEIdxElec,11)*INDEX(elecAxH,1,3)*allOnes,OFFSET(tPrcElec,0,10,1,_maxLT))</f>
        <v>40328.240393573775</v>
      </c>
      <c r="P120" s="28">
        <f ca="1">SUMPRODUCT(dFactor,tpSurvAxH,INDEX(tEIdxElec,12)*INDEX(elecAxH,1,3)*allOnes,OFFSET(tPrcElec,0,11,1,_maxLT))</f>
        <v>40499.480156023375</v>
      </c>
      <c r="Q120" s="28">
        <f ca="1">SUMPRODUCT(dFactor,tpSurvAxH,INDEX(tEIdxElec,13)*INDEX(elecAxH,1,3)*allOnes,OFFSET(tPrcElec,0,12,1,_maxLT))</f>
        <v>40651.299206316493</v>
      </c>
      <c r="R120" s="28">
        <f ca="1">SUMPRODUCT(dFactor,tpSurvAxH,INDEX(tEIdxElec,14)*INDEX(elecAxH,1,3)*allOnes,OFFSET(tPrcElec,0,13,1,_maxLT))</f>
        <v>40816.860479420277</v>
      </c>
      <c r="S120" s="28">
        <f ca="1">SUMPRODUCT(dFactor,tpSurvAxH,INDEX(tEIdxElec,15)*INDEX(elecAxH,1,3)*allOnes,OFFSET(tPrcElec,0,14,1,_maxLT))</f>
        <v>40962.66968363995</v>
      </c>
      <c r="T120" s="28">
        <f ca="1">SUMPRODUCT(dFactor,tpSurvAxH,INDEX(tEIdxElec,16)*INDEX(elecAxH,1,3)*allOnes,OFFSET(tPrcElec,0,15,1,_maxLT))</f>
        <v>41121.825144165166</v>
      </c>
      <c r="U120" s="28">
        <f ca="1">SUMPRODUCT(dFactor,tpSurvAxH,INDEX(tEIdxElec,17)*INDEX(elecAxH,1,3)*allOnes,OFFSET(tPrcElec,0,16,1,_maxLT))</f>
        <v>41295.417099954284</v>
      </c>
      <c r="V120" s="28">
        <f ca="1">SUMPRODUCT(dFactor,tpSurvAxH,INDEX(tEIdxElec,18)*INDEX(elecAxH,1,3)*allOnes,OFFSET(tPrcElec,0,17,1,_maxLT))</f>
        <v>41449.796507311177</v>
      </c>
      <c r="W120" s="28">
        <f ca="1">SUMPRODUCT(dFactor,tpSurvAxH,INDEX(tEIdxElec,19)*INDEX(elecAxH,1,3)*allOnes,OFFSET(tPrcElec,0,18,1,_maxLT))</f>
        <v>41618.239099694132</v>
      </c>
      <c r="X120" s="28">
        <f ca="1">SUMPRODUCT(dFactor,tpSurvAxH,INDEX(tEIdxElec,20)*INDEX(elecAxH,1,3)*allOnes,OFFSET(tPrcElec,0,19,1,_maxLT))</f>
        <v>41767.160869720465</v>
      </c>
      <c r="Y120" s="28">
        <f ca="1">SUMPRODUCT(dFactor,tpSurvAxH,INDEX(tEIdxElec,21)*INDEX(elecAxH,1,3)*allOnes,OFFSET(tPrcElec,0,20,1,_maxLT))</f>
        <v>41929.696000505675</v>
      </c>
      <c r="Z120" s="28">
        <f ca="1">SUMPRODUCT(dFactor,tpSurvAxH,INDEX(tEIdxElec,22)*INDEX(elecAxH,1,3)*allOnes,OFFSET(tPrcElec,0,21,1,_maxLT))</f>
        <v>42106.991711044277</v>
      </c>
      <c r="AA120" s="28">
        <f ca="1">SUMPRODUCT(dFactor,tpSurvAxH,INDEX(tEIdxElec,23)*INDEX(elecAxH,1,3)*allOnes,OFFSET(tPrcElec,0,22,1,_maxLT))</f>
        <v>42265.35294717834</v>
      </c>
      <c r="AB120" s="28">
        <f ca="1">SUMPRODUCT(dFactor,tpSurvAxH,INDEX(tEIdxElec,24)*INDEX(elecAxH,1,3)*allOnes,OFFSET(tPrcElec,0,23,1,_maxLT))</f>
        <v>42438.195581523294</v>
      </c>
      <c r="AC120" s="28">
        <f ca="1">SUMPRODUCT(dFactor,tpSurvAxH,INDEX(tEIdxElec,25)*INDEX(elecAxH,1,3)*allOnes,OFFSET(tPrcElec,0,24,1,_maxLT))</f>
        <v>42591.815068083779</v>
      </c>
      <c r="AD120" s="28">
        <f ca="1">SUMPRODUCT(dFactor,tpSurvAxH,INDEX(tEIdxElec,26)*INDEX(elecAxH,1,3)*allOnes,OFFSET(tPrcElec,0,25,1,_maxLT))</f>
        <v>42759.540366842979</v>
      </c>
      <c r="AE120" s="28">
        <f ca="1">SUMPRODUCT(dFactor,tpSurvAxH,INDEX(tEIdxElec,27)*INDEX(elecAxH,1,3)*allOnes,OFFSET(tPrcElec,0,26,1,_maxLT))</f>
        <v>42942.212916594122</v>
      </c>
      <c r="AF120" s="28">
        <f ca="1">SUMPRODUCT(dFactor,tpSurvAxH,INDEX(tEIdxElec,28)*INDEX(elecAxH,1,3)*allOnes,OFFSET(tPrcElec,0,27,1,_maxLT))</f>
        <v>43106.495944934526</v>
      </c>
      <c r="AG120" s="28">
        <f ca="1">SUMPRODUCT(dFactor,tpSurvAxH,INDEX(tEIdxElec,29)*INDEX(elecAxH,1,3)*allOnes,OFFSET(tPrcElec,0,28,1,_maxLT))</f>
        <v>43285.727898704594</v>
      </c>
      <c r="AH120" s="28">
        <f ca="1">SUMPRODUCT(dFactor,tpSurvAxH,INDEX(tEIdxElec,30)*INDEX(elecAxH,1,3)*allOnes,OFFSET(tPrcElec,0,29,1,_maxLT))</f>
        <v>43446.282546775263</v>
      </c>
      <c r="AI120" s="28">
        <f ca="1">SUMPRODUCT(dFactor,tpSurvAxH,INDEX(tEIdxElec,31)*INDEX(elecAxH,1,3)*allOnes,OFFSET(tPrcElec,0,30,1,_maxLT))</f>
        <v>43621.534821270165</v>
      </c>
      <c r="AJ120" s="28">
        <f ca="1">SUMPRODUCT(dFactor,tpSurvAxH,INDEX(tEIdxElec,32)*INDEX(elecAxH,1,3)*allOnes,OFFSET(tPrcElec,0,31,1,_maxLT))</f>
        <v>43777.844432627709</v>
      </c>
      <c r="AK120" s="29">
        <f ca="1">SUMPRODUCT(dFactor,tpSurvAxH,INDEX(tEIdxElec,33)*INDEX(elecAxH,1,3)*allOnes,OFFSET(tPrcElec,0,32,1,_maxLT))</f>
        <v>43948.600928954045</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ts2bElec*SUMPRODUCT(tpSurvAxH,INDEX(tEIdxElec,1)*INDEX(elecAxH,1,3)*convFactor)</f>
        <v>8629.8260691207906</v>
      </c>
      <c r="F122" s="22">
        <f ca="1">ts2bElec*SUMPRODUCT(tpSurvAxH,INDEX(tEIdxElec,2)*INDEX(elecAxH,1,3)*convFactor)</f>
        <v>8568.7699664880165</v>
      </c>
      <c r="G122" s="22">
        <f ca="1">ts2bElec*SUMPRODUCT(tpSurvAxH,INDEX(tEIdxElec,3)*INDEX(elecAxH,1,3)*convFactor)</f>
        <v>8507.2115141704326</v>
      </c>
      <c r="H122" s="22">
        <f ca="1">ts2bElec*SUMPRODUCT(tpSurvAxH,INDEX(tEIdxElec,4)*INDEX(elecAxH,1,3)*convFactor)</f>
        <v>8453.1331819187508</v>
      </c>
      <c r="I122" s="22">
        <f ca="1">ts2bElec*SUMPRODUCT(tpSurvAxH,INDEX(tEIdxElec,5)*INDEX(elecAxH,1,3)*convFactor)</f>
        <v>8401.8281869290367</v>
      </c>
      <c r="J122" s="22">
        <f ca="1">ts2bElec*SUMPRODUCT(tpSurvAxH,INDEX(tEIdxElec,6)*INDEX(elecAxH,1,3)*convFactor)</f>
        <v>8357.1396649564522</v>
      </c>
      <c r="K122" s="22">
        <f ca="1">ts2bElec*SUMPRODUCT(tpSurvAxH,INDEX(tEIdxElec,7)*INDEX(elecAxH,1,3)*convFactor)</f>
        <v>8322.4798076781881</v>
      </c>
      <c r="L122" s="22">
        <f ca="1">ts2bElec*SUMPRODUCT(tpSurvAxH,INDEX(tEIdxElec,8)*INDEX(elecAxH,1,3)*convFactor)</f>
        <v>8293.7432601844703</v>
      </c>
      <c r="M122" s="22">
        <f ca="1">ts2bElec*SUMPRODUCT(tpSurvAxH,INDEX(tEIdxElec,9)*INDEX(elecAxH,1,3)*convFactor)</f>
        <v>8264.8722270295275</v>
      </c>
      <c r="N122" s="22">
        <f ca="1">ts2bElec*SUMPRODUCT(tpSurvAxH,INDEX(tEIdxElec,10)*INDEX(elecAxH,1,3)*convFactor)</f>
        <v>8241.7700538794561</v>
      </c>
      <c r="O122" s="22">
        <f ca="1">ts2bElec*SUMPRODUCT(tpSurvAxH,INDEX(tEIdxElec,11)*INDEX(elecAxH,1,3)*convFactor)</f>
        <v>8225.8545464979234</v>
      </c>
      <c r="P122" s="22">
        <f ca="1">ts2bElec*SUMPRODUCT(tpSurvAxH,INDEX(tEIdxElec,12)*INDEX(elecAxH,1,3)*convFactor)</f>
        <v>8214.2022750286815</v>
      </c>
      <c r="Q122" s="22">
        <f ca="1">ts2bElec*SUMPRODUCT(tpSurvAxH,INDEX(tEIdxElec,13)*INDEX(elecAxH,1,3)*convFactor)</f>
        <v>8204.3953908178974</v>
      </c>
      <c r="R122" s="22">
        <f ca="1">ts2bElec*SUMPRODUCT(tpSurvAxH,INDEX(tEIdxElec,14)*INDEX(elecAxH,1,3)*convFactor)</f>
        <v>8197.1594835793767</v>
      </c>
      <c r="S122" s="22">
        <f ca="1">ts2bElec*SUMPRODUCT(tpSurvAxH,INDEX(tEIdxElec,15)*INDEX(elecAxH,1,3)*convFactor)</f>
        <v>8191.6451060535546</v>
      </c>
      <c r="T122" s="22">
        <f ca="1">ts2bElec*SUMPRODUCT(tpSurvAxH,INDEX(tEIdxElec,16)*INDEX(elecAxH,1,3)*convFactor)</f>
        <v>8190.9500214891996</v>
      </c>
      <c r="U122" s="22">
        <f ca="1">ts2bElec*SUMPRODUCT(tpSurvAxH,INDEX(tEIdxElec,17)*INDEX(elecAxH,1,3)*convFactor)</f>
        <v>8192.3610930407922</v>
      </c>
      <c r="V122" s="22">
        <f ca="1">ts2bElec*SUMPRODUCT(tpSurvAxH,INDEX(tEIdxElec,18)*INDEX(elecAxH,1,3)*convFactor)</f>
        <v>8194.4379540001992</v>
      </c>
      <c r="W122" s="22">
        <f ca="1">ts2bElec*SUMPRODUCT(tpSurvAxH,INDEX(tEIdxElec,19)*INDEX(elecAxH,1,3)*convFactor)</f>
        <v>8197.4081529177838</v>
      </c>
      <c r="X122" s="22">
        <f ca="1">ts2bElec*SUMPRODUCT(tpSurvAxH,INDEX(tEIdxElec,20)*INDEX(elecAxH,1,3)*convFactor)</f>
        <v>8200.2149589889559</v>
      </c>
      <c r="Y122" s="22">
        <f ca="1">ts2bElec*SUMPRODUCT(tpSurvAxH,INDEX(tEIdxElec,21)*INDEX(elecAxH,1,3)*convFactor)</f>
        <v>8202.5405478887933</v>
      </c>
      <c r="Z122" s="22">
        <f ca="1">ts2bElec*SUMPRODUCT(tpSurvAxH,INDEX(tEIdxElec,22)*INDEX(elecAxH,1,3)*convFactor)</f>
        <v>8204.099021260743</v>
      </c>
      <c r="AA122" s="22">
        <f ca="1">ts2bElec*SUMPRODUCT(tpSurvAxH,INDEX(tEIdxElec,23)*INDEX(elecAxH,1,3)*convFactor)</f>
        <v>8205.1261589551414</v>
      </c>
      <c r="AB122" s="22">
        <f ca="1">ts2bElec*SUMPRODUCT(tpSurvAxH,INDEX(tEIdxElec,24)*INDEX(elecAxH,1,3)*convFactor)</f>
        <v>8205.1261589551414</v>
      </c>
      <c r="AC122" s="22">
        <f ca="1">ts2bElec*SUMPRODUCT(tpSurvAxH,INDEX(tEIdxElec,25)*INDEX(elecAxH,1,3)*convFactor)</f>
        <v>8205.1261589551414</v>
      </c>
      <c r="AD122" s="22">
        <f ca="1">ts2bElec*SUMPRODUCT(tpSurvAxH,INDEX(tEIdxElec,26)*INDEX(elecAxH,1,3)*convFactor)</f>
        <v>8205.1261589551414</v>
      </c>
      <c r="AE122" s="22">
        <f ca="1">ts2bElec*SUMPRODUCT(tpSurvAxH,INDEX(tEIdxElec,27)*INDEX(elecAxH,1,3)*convFactor)</f>
        <v>8205.1261589551414</v>
      </c>
      <c r="AF122" s="22">
        <f ca="1">ts2bElec*SUMPRODUCT(tpSurvAxH,INDEX(tEIdxElec,28)*INDEX(elecAxH,1,3)*convFactor)</f>
        <v>8205.1261589551414</v>
      </c>
      <c r="AG122" s="22">
        <f ca="1">ts2bElec*SUMPRODUCT(tpSurvAxH,INDEX(tEIdxElec,29)*INDEX(elecAxH,1,3)*convFactor)</f>
        <v>8205.1261589551414</v>
      </c>
      <c r="AH122" s="22">
        <f ca="1">ts2bElec*SUMPRODUCT(tpSurvAxH,INDEX(tEIdxElec,30)*INDEX(elecAxH,1,3)*convFactor)</f>
        <v>8205.1261589551414</v>
      </c>
      <c r="AI122" s="22">
        <f ca="1">ts2bElec*SUMPRODUCT(tpSurvAxH,INDEX(tEIdxElec,31)*INDEX(elecAxH,1,3)*convFactor)</f>
        <v>8205.1261589551414</v>
      </c>
      <c r="AJ122" s="22">
        <f ca="1">ts2bElec*SUMPRODUCT(tpSurvAxH,INDEX(tEIdxElec,32)*INDEX(elecAxH,1,3)*convFactor)</f>
        <v>8205.1261589551414</v>
      </c>
      <c r="AK122" s="25">
        <f ca="1">ts2bElec*SUMPRODUCT(tpSurvAxH,INDEX(tEIdxElec,33)*INDEX(elecAxH,1,3)*convFactor)</f>
        <v>8205.1261589551414</v>
      </c>
      <c r="AL122" s="3"/>
    </row>
    <row r="123" spans="2:38">
      <c r="B123" s="3"/>
      <c r="C123" s="30" t="str">
        <f>"EL 3: " &amp; INDEX(_doName,1,4)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(1+INDEX(vadAxH,1,4))*INDEX(mspAxH,1,4)*tPIdxAll + INDEX(instAxH,1,4) + SUMPRODUCT(dFactor,tpSurvAxH,INDEX(mrAxH,1,4)*allOnes)</f>
        <v>5736.9743870000002</v>
      </c>
      <c r="F124" s="28">
        <f ca="1"/>
        <v>5736.9743870000002</v>
      </c>
      <c r="G124" s="28">
        <f ca="1"/>
        <v>5736.9743870000002</v>
      </c>
      <c r="H124" s="28">
        <f ca="1"/>
        <v>5736.9743870000002</v>
      </c>
      <c r="I124" s="28">
        <f ca="1"/>
        <v>5736.9743870000002</v>
      </c>
      <c r="J124" s="28">
        <f ca="1"/>
        <v>5736.9743870000002</v>
      </c>
      <c r="K124" s="28">
        <f ca="1"/>
        <v>5736.9743870000002</v>
      </c>
      <c r="L124" s="28">
        <f ca="1"/>
        <v>5736.9743870000002</v>
      </c>
      <c r="M124" s="28">
        <f ca="1"/>
        <v>5736.9743870000002</v>
      </c>
      <c r="N124" s="28">
        <f ca="1"/>
        <v>5736.9743870000002</v>
      </c>
      <c r="O124" s="28">
        <f ca="1"/>
        <v>5736.9743870000002</v>
      </c>
      <c r="P124" s="28">
        <f ca="1"/>
        <v>5736.9743870000002</v>
      </c>
      <c r="Q124" s="28">
        <f ca="1"/>
        <v>5736.9743870000002</v>
      </c>
      <c r="R124" s="28">
        <f ca="1"/>
        <v>5736.9743870000002</v>
      </c>
      <c r="S124" s="28">
        <f ca="1"/>
        <v>5736.9743870000002</v>
      </c>
      <c r="T124" s="28">
        <f ca="1"/>
        <v>5736.9743870000002</v>
      </c>
      <c r="U124" s="28">
        <f ca="1"/>
        <v>5736.9743870000002</v>
      </c>
      <c r="V124" s="28">
        <f ca="1"/>
        <v>5736.9743870000002</v>
      </c>
      <c r="W124" s="28">
        <f ca="1"/>
        <v>5736.9743870000002</v>
      </c>
      <c r="X124" s="28">
        <f ca="1"/>
        <v>5736.9743870000002</v>
      </c>
      <c r="Y124" s="28">
        <f ca="1"/>
        <v>5736.9743870000002</v>
      </c>
      <c r="Z124" s="28">
        <f ca="1"/>
        <v>5736.9743870000002</v>
      </c>
      <c r="AA124" s="28">
        <f ca="1"/>
        <v>5736.9743870000002</v>
      </c>
      <c r="AB124" s="28">
        <f ca="1"/>
        <v>5736.9743870000002</v>
      </c>
      <c r="AC124" s="28">
        <f ca="1"/>
        <v>5736.9743870000002</v>
      </c>
      <c r="AD124" s="28">
        <f ca="1"/>
        <v>5736.9743870000002</v>
      </c>
      <c r="AE124" s="28">
        <f ca="1"/>
        <v>5736.9743870000002</v>
      </c>
      <c r="AF124" s="28">
        <f ca="1"/>
        <v>5736.9743870000002</v>
      </c>
      <c r="AG124" s="28">
        <f ca="1"/>
        <v>5736.9743870000002</v>
      </c>
      <c r="AH124" s="28">
        <f ca="1"/>
        <v>5736.9743870000002</v>
      </c>
      <c r="AI124" s="28">
        <f ca="1"/>
        <v>5736.9743870000002</v>
      </c>
      <c r="AJ124" s="28">
        <f ca="1"/>
        <v>5736.9743870000002</v>
      </c>
      <c r="AK124" s="29">
        <f ca="1"/>
        <v>5736.9743870000002</v>
      </c>
      <c r="AL124" s="3"/>
    </row>
    <row r="125" spans="2:38">
      <c r="B125" s="3"/>
      <c r="C125" s="23" t="s">
        <v>47</v>
      </c>
      <c r="D125" s="16" t="str">
        <f>_yearDol &amp; "$"</f>
        <v>2013$</v>
      </c>
      <c r="E125" s="141">
        <f t="array" aca="1" ref="E125:AK125" ca="1">(tlccEFubcElec3)</f>
        <v>153760.79777953654</v>
      </c>
      <c r="F125" s="28">
        <f ca="1"/>
        <v>154437.64291942169</v>
      </c>
      <c r="G125" s="28">
        <f ca="1"/>
        <v>155036.90704226811</v>
      </c>
      <c r="H125" s="28">
        <f ca="1"/>
        <v>155690.06753668629</v>
      </c>
      <c r="I125" s="28">
        <f ca="1"/>
        <v>156264.08291796883</v>
      </c>
      <c r="J125" s="28">
        <f ca="1"/>
        <v>156890.3852628296</v>
      </c>
      <c r="K125" s="28">
        <f ca="1"/>
        <v>157435.88060600997</v>
      </c>
      <c r="L125" s="28">
        <f ca="1"/>
        <v>158031.6835146294</v>
      </c>
      <c r="M125" s="28">
        <f ca="1"/>
        <v>158681.33258080261</v>
      </c>
      <c r="N125" s="28">
        <f ca="1"/>
        <v>159251.89734981375</v>
      </c>
      <c r="O125" s="28">
        <f ca="1"/>
        <v>159874.62440851968</v>
      </c>
      <c r="P125" s="28">
        <f ca="1"/>
        <v>160553.47606280106</v>
      </c>
      <c r="Q125" s="28">
        <f ca="1"/>
        <v>161155.3375228298</v>
      </c>
      <c r="R125" s="28">
        <f ca="1"/>
        <v>161811.67774734116</v>
      </c>
      <c r="S125" s="28">
        <f ca="1"/>
        <v>162389.71416877743</v>
      </c>
      <c r="T125" s="28">
        <f ca="1"/>
        <v>163020.6596111203</v>
      </c>
      <c r="U125" s="28">
        <f ca="1"/>
        <v>163708.83614600697</v>
      </c>
      <c r="V125" s="28">
        <f ca="1"/>
        <v>164320.84771722165</v>
      </c>
      <c r="W125" s="28">
        <f ca="1"/>
        <v>164988.61045442044</v>
      </c>
      <c r="X125" s="28">
        <f ca="1"/>
        <v>165578.98612707216</v>
      </c>
      <c r="Y125" s="28">
        <f ca="1"/>
        <v>166223.32971196153</v>
      </c>
      <c r="Z125" s="28">
        <f ca="1"/>
        <v>166926.18916863433</v>
      </c>
      <c r="AA125" s="28">
        <f ca="1"/>
        <v>167553.9860400256</v>
      </c>
      <c r="AB125" s="28">
        <f ca="1"/>
        <v>168239.19201425099</v>
      </c>
      <c r="AC125" s="28">
        <f ca="1"/>
        <v>168848.19100542946</v>
      </c>
      <c r="AD125" s="28">
        <f ca="1"/>
        <v>169513.11015095242</v>
      </c>
      <c r="AE125" s="28">
        <f ca="1"/>
        <v>170237.28519544238</v>
      </c>
      <c r="AF125" s="28">
        <f ca="1"/>
        <v>170888.55803046536</v>
      </c>
      <c r="AG125" s="28">
        <f ca="1"/>
        <v>171599.09340248612</v>
      </c>
      <c r="AH125" s="28">
        <f ca="1"/>
        <v>172235.58569192982</v>
      </c>
      <c r="AI125" s="28">
        <f ca="1"/>
        <v>172930.34428511819</v>
      </c>
      <c r="AJ125" s="28">
        <f ca="1"/>
        <v>173550.0078301513</v>
      </c>
      <c r="AK125" s="29">
        <f ca="1"/>
        <v>174226.9436559912</v>
      </c>
      <c r="AL125" s="3"/>
    </row>
    <row r="126" spans="2:38">
      <c r="B126" s="3"/>
      <c r="C126" s="27" t="str">
        <f>INDEX(_fuel,1)</f>
        <v>Electricity</v>
      </c>
      <c r="D126" s="16" t="str">
        <f>_yearDol &amp; "$"</f>
        <v>2013$</v>
      </c>
      <c r="E126" s="141">
        <f ca="1">SUMPRODUCT(dFactor,tpSurvAxH,INDEX(tEIdxElec,1)*INDEX(elecAxH,1,4)*allOnes,OFFSET(tPrcElec,0,0,1,_maxLT))</f>
        <v>153760.79777953654</v>
      </c>
      <c r="F126" s="28">
        <f ca="1">SUMPRODUCT(dFactor,tpSurvAxH,INDEX(tEIdxElec,2)*INDEX(elecAxH,1,4)*allOnes,OFFSET(tPrcElec,0,1,1,_maxLT))</f>
        <v>154437.64291942169</v>
      </c>
      <c r="G126" s="28">
        <f ca="1">SUMPRODUCT(dFactor,tpSurvAxH,INDEX(tEIdxElec,3)*INDEX(elecAxH,1,4)*allOnes,OFFSET(tPrcElec,0,2,1,_maxLT))</f>
        <v>155036.90704226811</v>
      </c>
      <c r="H126" s="28">
        <f ca="1">SUMPRODUCT(dFactor,tpSurvAxH,INDEX(tEIdxElec,4)*INDEX(elecAxH,1,4)*allOnes,OFFSET(tPrcElec,0,3,1,_maxLT))</f>
        <v>155690.06753668629</v>
      </c>
      <c r="I126" s="28">
        <f ca="1">SUMPRODUCT(dFactor,tpSurvAxH,INDEX(tEIdxElec,5)*INDEX(elecAxH,1,4)*allOnes,OFFSET(tPrcElec,0,4,1,_maxLT))</f>
        <v>156264.08291796883</v>
      </c>
      <c r="J126" s="28">
        <f ca="1">SUMPRODUCT(dFactor,tpSurvAxH,INDEX(tEIdxElec,6)*INDEX(elecAxH,1,4)*allOnes,OFFSET(tPrcElec,0,5,1,_maxLT))</f>
        <v>156890.3852628296</v>
      </c>
      <c r="K126" s="28">
        <f ca="1">SUMPRODUCT(dFactor,tpSurvAxH,INDEX(tEIdxElec,7)*INDEX(elecAxH,1,4)*allOnes,OFFSET(tPrcElec,0,6,1,_maxLT))</f>
        <v>157435.88060600997</v>
      </c>
      <c r="L126" s="28">
        <f ca="1">SUMPRODUCT(dFactor,tpSurvAxH,INDEX(tEIdxElec,8)*INDEX(elecAxH,1,4)*allOnes,OFFSET(tPrcElec,0,7,1,_maxLT))</f>
        <v>158031.6835146294</v>
      </c>
      <c r="M126" s="28">
        <f ca="1">SUMPRODUCT(dFactor,tpSurvAxH,INDEX(tEIdxElec,9)*INDEX(elecAxH,1,4)*allOnes,OFFSET(tPrcElec,0,8,1,_maxLT))</f>
        <v>158681.33258080261</v>
      </c>
      <c r="N126" s="28">
        <f ca="1">SUMPRODUCT(dFactor,tpSurvAxH,INDEX(tEIdxElec,10)*INDEX(elecAxH,1,4)*allOnes,OFFSET(tPrcElec,0,9,1,_maxLT))</f>
        <v>159251.89734981375</v>
      </c>
      <c r="O126" s="28">
        <f ca="1">SUMPRODUCT(dFactor,tpSurvAxH,INDEX(tEIdxElec,11)*INDEX(elecAxH,1,4)*allOnes,OFFSET(tPrcElec,0,10,1,_maxLT))</f>
        <v>159874.62440851968</v>
      </c>
      <c r="P126" s="28">
        <f ca="1">SUMPRODUCT(dFactor,tpSurvAxH,INDEX(tEIdxElec,12)*INDEX(elecAxH,1,4)*allOnes,OFFSET(tPrcElec,0,11,1,_maxLT))</f>
        <v>160553.47606280106</v>
      </c>
      <c r="Q126" s="28">
        <f ca="1">SUMPRODUCT(dFactor,tpSurvAxH,INDEX(tEIdxElec,13)*INDEX(elecAxH,1,4)*allOnes,OFFSET(tPrcElec,0,12,1,_maxLT))</f>
        <v>161155.3375228298</v>
      </c>
      <c r="R126" s="28">
        <f ca="1">SUMPRODUCT(dFactor,tpSurvAxH,INDEX(tEIdxElec,14)*INDEX(elecAxH,1,4)*allOnes,OFFSET(tPrcElec,0,13,1,_maxLT))</f>
        <v>161811.67774734116</v>
      </c>
      <c r="S126" s="28">
        <f ca="1">SUMPRODUCT(dFactor,tpSurvAxH,INDEX(tEIdxElec,15)*INDEX(elecAxH,1,4)*allOnes,OFFSET(tPrcElec,0,14,1,_maxLT))</f>
        <v>162389.71416877743</v>
      </c>
      <c r="T126" s="28">
        <f ca="1">SUMPRODUCT(dFactor,tpSurvAxH,INDEX(tEIdxElec,16)*INDEX(elecAxH,1,4)*allOnes,OFFSET(tPrcElec,0,15,1,_maxLT))</f>
        <v>163020.6596111203</v>
      </c>
      <c r="U126" s="28">
        <f ca="1">SUMPRODUCT(dFactor,tpSurvAxH,INDEX(tEIdxElec,17)*INDEX(elecAxH,1,4)*allOnes,OFFSET(tPrcElec,0,16,1,_maxLT))</f>
        <v>163708.83614600697</v>
      </c>
      <c r="V126" s="28">
        <f ca="1">SUMPRODUCT(dFactor,tpSurvAxH,INDEX(tEIdxElec,18)*INDEX(elecAxH,1,4)*allOnes,OFFSET(tPrcElec,0,17,1,_maxLT))</f>
        <v>164320.84771722165</v>
      </c>
      <c r="W126" s="28">
        <f ca="1">SUMPRODUCT(dFactor,tpSurvAxH,INDEX(tEIdxElec,19)*INDEX(elecAxH,1,4)*allOnes,OFFSET(tPrcElec,0,18,1,_maxLT))</f>
        <v>164988.61045442044</v>
      </c>
      <c r="X126" s="28">
        <f ca="1">SUMPRODUCT(dFactor,tpSurvAxH,INDEX(tEIdxElec,20)*INDEX(elecAxH,1,4)*allOnes,OFFSET(tPrcElec,0,19,1,_maxLT))</f>
        <v>165578.98612707216</v>
      </c>
      <c r="Y126" s="28">
        <f ca="1">SUMPRODUCT(dFactor,tpSurvAxH,INDEX(tEIdxElec,21)*INDEX(elecAxH,1,4)*allOnes,OFFSET(tPrcElec,0,20,1,_maxLT))</f>
        <v>166223.32971196153</v>
      </c>
      <c r="Z126" s="28">
        <f ca="1">SUMPRODUCT(dFactor,tpSurvAxH,INDEX(tEIdxElec,22)*INDEX(elecAxH,1,4)*allOnes,OFFSET(tPrcElec,0,21,1,_maxLT))</f>
        <v>166926.18916863433</v>
      </c>
      <c r="AA126" s="28">
        <f ca="1">SUMPRODUCT(dFactor,tpSurvAxH,INDEX(tEIdxElec,23)*INDEX(elecAxH,1,4)*allOnes,OFFSET(tPrcElec,0,22,1,_maxLT))</f>
        <v>167553.9860400256</v>
      </c>
      <c r="AB126" s="28">
        <f ca="1">SUMPRODUCT(dFactor,tpSurvAxH,INDEX(tEIdxElec,24)*INDEX(elecAxH,1,4)*allOnes,OFFSET(tPrcElec,0,23,1,_maxLT))</f>
        <v>168239.19201425099</v>
      </c>
      <c r="AC126" s="28">
        <f ca="1">SUMPRODUCT(dFactor,tpSurvAxH,INDEX(tEIdxElec,25)*INDEX(elecAxH,1,4)*allOnes,OFFSET(tPrcElec,0,24,1,_maxLT))</f>
        <v>168848.19100542946</v>
      </c>
      <c r="AD126" s="28">
        <f ca="1">SUMPRODUCT(dFactor,tpSurvAxH,INDEX(tEIdxElec,26)*INDEX(elecAxH,1,4)*allOnes,OFFSET(tPrcElec,0,25,1,_maxLT))</f>
        <v>169513.11015095242</v>
      </c>
      <c r="AE126" s="28">
        <f ca="1">SUMPRODUCT(dFactor,tpSurvAxH,INDEX(tEIdxElec,27)*INDEX(elecAxH,1,4)*allOnes,OFFSET(tPrcElec,0,26,1,_maxLT))</f>
        <v>170237.28519544238</v>
      </c>
      <c r="AF126" s="28">
        <f ca="1">SUMPRODUCT(dFactor,tpSurvAxH,INDEX(tEIdxElec,28)*INDEX(elecAxH,1,4)*allOnes,OFFSET(tPrcElec,0,27,1,_maxLT))</f>
        <v>170888.55803046536</v>
      </c>
      <c r="AG126" s="28">
        <f ca="1">SUMPRODUCT(dFactor,tpSurvAxH,INDEX(tEIdxElec,29)*INDEX(elecAxH,1,4)*allOnes,OFFSET(tPrcElec,0,28,1,_maxLT))</f>
        <v>171599.09340248612</v>
      </c>
      <c r="AH126" s="28">
        <f ca="1">SUMPRODUCT(dFactor,tpSurvAxH,INDEX(tEIdxElec,30)*INDEX(elecAxH,1,4)*allOnes,OFFSET(tPrcElec,0,29,1,_maxLT))</f>
        <v>172235.58569192982</v>
      </c>
      <c r="AI126" s="28">
        <f ca="1">SUMPRODUCT(dFactor,tpSurvAxH,INDEX(tEIdxElec,31)*INDEX(elecAxH,1,4)*allOnes,OFFSET(tPrcElec,0,30,1,_maxLT))</f>
        <v>172930.34428511819</v>
      </c>
      <c r="AJ126" s="28">
        <f ca="1">SUMPRODUCT(dFactor,tpSurvAxH,INDEX(tEIdxElec,32)*INDEX(elecAxH,1,4)*allOnes,OFFSET(tPrcElec,0,31,1,_maxLT))</f>
        <v>173550.0078301513</v>
      </c>
      <c r="AK126" s="29">
        <f ca="1">SUMPRODUCT(dFactor,tpSurvAxH,INDEX(tEIdxElec,33)*INDEX(elecAxH,1,4)*allOnes,OFFSET(tPrcElec,0,32,1,_maxLT))</f>
        <v>174226.9436559912</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ts2bElec*SUMPRODUCT(tpSurvAxH,INDEX(tEIdxElec,1)*INDEX(elecAxH,1,4)*convFactor)</f>
        <v>34211.51500900567</v>
      </c>
      <c r="F128" s="22">
        <f ca="1">ts2bElec*SUMPRODUCT(tpSurvAxH,INDEX(tEIdxElec,2)*INDEX(elecAxH,1,4)*convFactor)</f>
        <v>33969.468210509149</v>
      </c>
      <c r="G128" s="22">
        <f ca="1">ts2bElec*SUMPRODUCT(tpSurvAxH,INDEX(tEIdxElec,3)*INDEX(elecAxH,1,4)*convFactor)</f>
        <v>33725.42992995448</v>
      </c>
      <c r="H128" s="22">
        <f ca="1">ts2bElec*SUMPRODUCT(tpSurvAxH,INDEX(tEIdxElec,4)*INDEX(elecAxH,1,4)*convFactor)</f>
        <v>33511.045345529252</v>
      </c>
      <c r="I128" s="22">
        <f ca="1">ts2bElec*SUMPRODUCT(tpSurvAxH,INDEX(tEIdxElec,5)*INDEX(elecAxH,1,4)*convFactor)</f>
        <v>33307.655196982923</v>
      </c>
      <c r="J128" s="22">
        <f ca="1">ts2bElec*SUMPRODUCT(tpSurvAxH,INDEX(tEIdxElec,6)*INDEX(elecAxH,1,4)*convFactor)</f>
        <v>33130.494958995514</v>
      </c>
      <c r="K128" s="22">
        <f ca="1">ts2bElec*SUMPRODUCT(tpSurvAxH,INDEX(tEIdxElec,7)*INDEX(elecAxH,1,4)*convFactor)</f>
        <v>32993.091699881377</v>
      </c>
      <c r="L128" s="22">
        <f ca="1">ts2bElec*SUMPRODUCT(tpSurvAxH,INDEX(tEIdxElec,8)*INDEX(elecAxH,1,4)*convFactor)</f>
        <v>32879.170420586277</v>
      </c>
      <c r="M128" s="22">
        <f ca="1">ts2bElec*SUMPRODUCT(tpSurvAxH,INDEX(tEIdxElec,9)*INDEX(elecAxH,1,4)*convFactor)</f>
        <v>32764.715995179027</v>
      </c>
      <c r="N128" s="22">
        <f ca="1">ts2bElec*SUMPRODUCT(tpSurvAxH,INDEX(tEIdxElec,10)*INDEX(elecAxH,1,4)*convFactor)</f>
        <v>32673.131259040205</v>
      </c>
      <c r="O128" s="22">
        <f ca="1">ts2bElec*SUMPRODUCT(tpSurvAxH,INDEX(tEIdxElec,11)*INDEX(elecAxH,1,4)*convFactor)</f>
        <v>32610.036868110645</v>
      </c>
      <c r="P128" s="22">
        <f ca="1">ts2bElec*SUMPRODUCT(tpSurvAxH,INDEX(tEIdxElec,12)*INDEX(elecAxH,1,4)*convFactor)</f>
        <v>32563.843369300113</v>
      </c>
      <c r="Q128" s="22">
        <f ca="1">ts2bElec*SUMPRODUCT(tpSurvAxH,INDEX(tEIdxElec,13)*INDEX(elecAxH,1,4)*convFactor)</f>
        <v>32524.965602392469</v>
      </c>
      <c r="R128" s="22">
        <f ca="1">ts2bElec*SUMPRODUCT(tpSurvAxH,INDEX(tEIdxElec,14)*INDEX(elecAxH,1,4)*convFactor)</f>
        <v>32496.280047537515</v>
      </c>
      <c r="S128" s="22">
        <f ca="1">ts2bElec*SUMPRODUCT(tpSurvAxH,INDEX(tEIdxElec,15)*INDEX(elecAxH,1,4)*convFactor)</f>
        <v>32474.41921187536</v>
      </c>
      <c r="T128" s="22">
        <f ca="1">ts2bElec*SUMPRODUCT(tpSurvAxH,INDEX(tEIdxElec,16)*INDEX(elecAxH,1,4)*convFactor)</f>
        <v>32471.663664334137</v>
      </c>
      <c r="U128" s="22">
        <f ca="1">ts2bElec*SUMPRODUCT(tpSurvAxH,INDEX(tEIdxElec,17)*INDEX(elecAxH,1,4)*convFactor)</f>
        <v>32477.257623607416</v>
      </c>
      <c r="V128" s="22">
        <f ca="1">ts2bElec*SUMPRODUCT(tpSurvAxH,INDEX(tEIdxElec,18)*INDEX(elecAxH,1,4)*convFactor)</f>
        <v>32485.490994629636</v>
      </c>
      <c r="W128" s="22">
        <f ca="1">ts2bElec*SUMPRODUCT(tpSurvAxH,INDEX(tEIdxElec,19)*INDEX(elecAxH,1,4)*convFactor)</f>
        <v>32497.26585591129</v>
      </c>
      <c r="X128" s="22">
        <f ca="1">ts2bElec*SUMPRODUCT(tpSurvAxH,INDEX(tEIdxElec,20)*INDEX(elecAxH,1,4)*convFactor)</f>
        <v>32508.39297333662</v>
      </c>
      <c r="Y128" s="22">
        <f ca="1">ts2bElec*SUMPRODUCT(tpSurvAxH,INDEX(tEIdxElec,21)*INDEX(elecAxH,1,4)*convFactor)</f>
        <v>32517.612385050641</v>
      </c>
      <c r="Z128" s="22">
        <f ca="1">ts2bElec*SUMPRODUCT(tpSurvAxH,INDEX(tEIdxElec,22)*INDEX(elecAxH,1,4)*convFactor)</f>
        <v>32523.790694408039</v>
      </c>
      <c r="AA128" s="22">
        <f ca="1">ts2bElec*SUMPRODUCT(tpSurvAxH,INDEX(tEIdxElec,23)*INDEX(elecAxH,1,4)*convFactor)</f>
        <v>32527.86261154366</v>
      </c>
      <c r="AB128" s="22">
        <f ca="1">ts2bElec*SUMPRODUCT(tpSurvAxH,INDEX(tEIdxElec,24)*INDEX(elecAxH,1,4)*convFactor)</f>
        <v>32527.86261154366</v>
      </c>
      <c r="AC128" s="22">
        <f ca="1">ts2bElec*SUMPRODUCT(tpSurvAxH,INDEX(tEIdxElec,25)*INDEX(elecAxH,1,4)*convFactor)</f>
        <v>32527.86261154366</v>
      </c>
      <c r="AD128" s="22">
        <f ca="1">ts2bElec*SUMPRODUCT(tpSurvAxH,INDEX(tEIdxElec,26)*INDEX(elecAxH,1,4)*convFactor)</f>
        <v>32527.86261154366</v>
      </c>
      <c r="AE128" s="22">
        <f ca="1">ts2bElec*SUMPRODUCT(tpSurvAxH,INDEX(tEIdxElec,27)*INDEX(elecAxH,1,4)*convFactor)</f>
        <v>32527.86261154366</v>
      </c>
      <c r="AF128" s="22">
        <f ca="1">ts2bElec*SUMPRODUCT(tpSurvAxH,INDEX(tEIdxElec,28)*INDEX(elecAxH,1,4)*convFactor)</f>
        <v>32527.86261154366</v>
      </c>
      <c r="AG128" s="22">
        <f ca="1">ts2bElec*SUMPRODUCT(tpSurvAxH,INDEX(tEIdxElec,29)*INDEX(elecAxH,1,4)*convFactor)</f>
        <v>32527.86261154366</v>
      </c>
      <c r="AH128" s="22">
        <f ca="1">ts2bElec*SUMPRODUCT(tpSurvAxH,INDEX(tEIdxElec,30)*INDEX(elecAxH,1,4)*convFactor)</f>
        <v>32527.86261154366</v>
      </c>
      <c r="AI128" s="22">
        <f ca="1">ts2bElec*SUMPRODUCT(tpSurvAxH,INDEX(tEIdxElec,31)*INDEX(elecAxH,1,4)*convFactor)</f>
        <v>32527.86261154366</v>
      </c>
      <c r="AJ128" s="22">
        <f ca="1">ts2bElec*SUMPRODUCT(tpSurvAxH,INDEX(tEIdxElec,32)*INDEX(elecAxH,1,4)*convFactor)</f>
        <v>32527.86261154366</v>
      </c>
      <c r="AK128" s="25">
        <f ca="1">ts2bElec*SUMPRODUCT(tpSurvAxH,INDEX(tEIdxElec,33)*INDEX(elecAxH,1,4)*convFactor)</f>
        <v>32527.86261154366</v>
      </c>
      <c r="AL128" s="3"/>
    </row>
    <row r="129" spans="2:38">
      <c r="B129" s="3"/>
      <c r="C129" s="30" t="str">
        <f>"EL 4: " &amp; INDEX(_doName,1,5)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(1+INDEX(vadAxH,1,5))*INDEX(mspAxH,1,5)*tPIdxAll + INDEX(instAxH,1,5) + SUMPRODUCT(dFactor,tpSurvAxH,INDEX(mrAxH,1,5)*allOnes)</f>
        <v>4467.2616740000003</v>
      </c>
      <c r="F130" s="28">
        <f ca="1"/>
        <v>4467.2616740000003</v>
      </c>
      <c r="G130" s="28">
        <f ca="1"/>
        <v>4467.2616740000003</v>
      </c>
      <c r="H130" s="28">
        <f ca="1"/>
        <v>4467.2616740000003</v>
      </c>
      <c r="I130" s="28">
        <f ca="1"/>
        <v>4467.2616740000003</v>
      </c>
      <c r="J130" s="28">
        <f ca="1"/>
        <v>4467.2616740000003</v>
      </c>
      <c r="K130" s="28">
        <f ca="1"/>
        <v>4467.2616740000003</v>
      </c>
      <c r="L130" s="28">
        <f ca="1"/>
        <v>4467.2616740000003</v>
      </c>
      <c r="M130" s="28">
        <f ca="1"/>
        <v>4467.2616740000003</v>
      </c>
      <c r="N130" s="28">
        <f ca="1"/>
        <v>4467.2616740000003</v>
      </c>
      <c r="O130" s="28">
        <f ca="1"/>
        <v>4467.2616740000003</v>
      </c>
      <c r="P130" s="28">
        <f ca="1"/>
        <v>4467.2616740000003</v>
      </c>
      <c r="Q130" s="28">
        <f ca="1"/>
        <v>4467.2616740000003</v>
      </c>
      <c r="R130" s="28">
        <f ca="1"/>
        <v>4467.2616740000003</v>
      </c>
      <c r="S130" s="28">
        <f ca="1"/>
        <v>4467.2616740000003</v>
      </c>
      <c r="T130" s="28">
        <f ca="1"/>
        <v>4467.2616740000003</v>
      </c>
      <c r="U130" s="28">
        <f ca="1"/>
        <v>4467.2616740000003</v>
      </c>
      <c r="V130" s="28">
        <f ca="1"/>
        <v>4467.2616740000003</v>
      </c>
      <c r="W130" s="28">
        <f ca="1"/>
        <v>4467.2616740000003</v>
      </c>
      <c r="X130" s="28">
        <f ca="1"/>
        <v>4467.2616740000003</v>
      </c>
      <c r="Y130" s="28">
        <f ca="1"/>
        <v>4467.2616740000003</v>
      </c>
      <c r="Z130" s="28">
        <f ca="1"/>
        <v>4467.2616740000003</v>
      </c>
      <c r="AA130" s="28">
        <f ca="1"/>
        <v>4467.2616740000003</v>
      </c>
      <c r="AB130" s="28">
        <f ca="1"/>
        <v>4467.2616740000003</v>
      </c>
      <c r="AC130" s="28">
        <f ca="1"/>
        <v>4467.2616740000003</v>
      </c>
      <c r="AD130" s="28">
        <f ca="1"/>
        <v>4467.2616740000003</v>
      </c>
      <c r="AE130" s="28">
        <f ca="1"/>
        <v>4467.2616740000003</v>
      </c>
      <c r="AF130" s="28">
        <f ca="1"/>
        <v>4467.2616740000003</v>
      </c>
      <c r="AG130" s="28">
        <f ca="1"/>
        <v>4467.2616740000003</v>
      </c>
      <c r="AH130" s="28">
        <f ca="1"/>
        <v>4467.2616740000003</v>
      </c>
      <c r="AI130" s="28">
        <f ca="1"/>
        <v>4467.2616740000003</v>
      </c>
      <c r="AJ130" s="28">
        <f ca="1"/>
        <v>4467.2616740000003</v>
      </c>
      <c r="AK130" s="29">
        <f ca="1"/>
        <v>4467.2616740000003</v>
      </c>
      <c r="AL130" s="3"/>
    </row>
    <row r="131" spans="2:38">
      <c r="B131" s="3"/>
      <c r="C131" s="23" t="s">
        <v>47</v>
      </c>
      <c r="D131" s="16" t="str">
        <f>_yearDol &amp; "$"</f>
        <v>2013$</v>
      </c>
      <c r="E131" s="141">
        <f t="array" aca="1" ref="E131:AK131" ca="1">(tlccEFubcElec4)</f>
        <v>46598.680856484127</v>
      </c>
      <c r="F131" s="28">
        <f ca="1"/>
        <v>46803.805251767204</v>
      </c>
      <c r="G131" s="28">
        <f ca="1"/>
        <v>46985.417977588935</v>
      </c>
      <c r="H131" s="28">
        <f ca="1"/>
        <v>47183.364514463014</v>
      </c>
      <c r="I131" s="28">
        <f ca="1"/>
        <v>47357.325367589241</v>
      </c>
      <c r="J131" s="28">
        <f ca="1"/>
        <v>47547.132285277585</v>
      </c>
      <c r="K131" s="28">
        <f ca="1"/>
        <v>47712.449867994648</v>
      </c>
      <c r="L131" s="28">
        <f ca="1"/>
        <v>47893.013639730059</v>
      </c>
      <c r="M131" s="28">
        <f ca="1"/>
        <v>48089.896004679329</v>
      </c>
      <c r="N131" s="28">
        <f ca="1"/>
        <v>48262.811116743389</v>
      </c>
      <c r="O131" s="28">
        <f ca="1"/>
        <v>48451.534509756304</v>
      </c>
      <c r="P131" s="28">
        <f ca="1"/>
        <v>48657.26699842426</v>
      </c>
      <c r="Q131" s="28">
        <f ca="1"/>
        <v>48839.666872128844</v>
      </c>
      <c r="R131" s="28">
        <f ca="1"/>
        <v>49038.577056629387</v>
      </c>
      <c r="S131" s="28">
        <f ca="1"/>
        <v>49213.75652444506</v>
      </c>
      <c r="T131" s="28">
        <f ca="1"/>
        <v>49404.970577247695</v>
      </c>
      <c r="U131" s="28">
        <f ca="1"/>
        <v>49613.529060197827</v>
      </c>
      <c r="V131" s="28">
        <f ca="1"/>
        <v>49799.005022207311</v>
      </c>
      <c r="W131" s="28">
        <f ca="1"/>
        <v>50001.37690846141</v>
      </c>
      <c r="X131" s="28">
        <f ca="1"/>
        <v>50180.295904412334</v>
      </c>
      <c r="Y131" s="28">
        <f ca="1"/>
        <v>50375.570392498914</v>
      </c>
      <c r="Z131" s="28">
        <f ca="1"/>
        <v>50588.578675373588</v>
      </c>
      <c r="AA131" s="28">
        <f ca="1"/>
        <v>50778.838523625724</v>
      </c>
      <c r="AB131" s="28">
        <f ca="1"/>
        <v>50986.496749746999</v>
      </c>
      <c r="AC131" s="28">
        <f ca="1"/>
        <v>51171.059720554011</v>
      </c>
      <c r="AD131" s="28">
        <f ca="1"/>
        <v>51372.56982914493</v>
      </c>
      <c r="AE131" s="28">
        <f ca="1"/>
        <v>51592.038004842063</v>
      </c>
      <c r="AF131" s="28">
        <f ca="1"/>
        <v>51789.412468476497</v>
      </c>
      <c r="AG131" s="28">
        <f ca="1"/>
        <v>52004.747010935855</v>
      </c>
      <c r="AH131" s="28">
        <f ca="1"/>
        <v>52197.642088821238</v>
      </c>
      <c r="AI131" s="28">
        <f ca="1"/>
        <v>52408.195327512854</v>
      </c>
      <c r="AJ131" s="28">
        <f ca="1"/>
        <v>52595.990293397437</v>
      </c>
      <c r="AK131" s="29">
        <f ca="1"/>
        <v>52801.142171926724</v>
      </c>
      <c r="AL131" s="3"/>
    </row>
    <row r="132" spans="2:38">
      <c r="B132" s="3"/>
      <c r="C132" s="27" t="str">
        <f>INDEX(_fuel,1)</f>
        <v>Electricity</v>
      </c>
      <c r="D132" s="16" t="str">
        <f>_yearDol &amp; "$"</f>
        <v>2013$</v>
      </c>
      <c r="E132" s="141">
        <f ca="1">SUMPRODUCT(dFactor,tpSurvAxH,INDEX(tEIdxElec,1)*INDEX(elecAxH,1,5)*allOnes,OFFSET(tPrcElec,0,0,1,_maxLT))</f>
        <v>46598.680856484127</v>
      </c>
      <c r="F132" s="28">
        <f ca="1">SUMPRODUCT(dFactor,tpSurvAxH,INDEX(tEIdxElec,2)*INDEX(elecAxH,1,5)*allOnes,OFFSET(tPrcElec,0,1,1,_maxLT))</f>
        <v>46803.805251767204</v>
      </c>
      <c r="G132" s="28">
        <f ca="1">SUMPRODUCT(dFactor,tpSurvAxH,INDEX(tEIdxElec,3)*INDEX(elecAxH,1,5)*allOnes,OFFSET(tPrcElec,0,2,1,_maxLT))</f>
        <v>46985.417977588935</v>
      </c>
      <c r="H132" s="28">
        <f ca="1">SUMPRODUCT(dFactor,tpSurvAxH,INDEX(tEIdxElec,4)*INDEX(elecAxH,1,5)*allOnes,OFFSET(tPrcElec,0,3,1,_maxLT))</f>
        <v>47183.364514463014</v>
      </c>
      <c r="I132" s="28">
        <f ca="1">SUMPRODUCT(dFactor,tpSurvAxH,INDEX(tEIdxElec,5)*INDEX(elecAxH,1,5)*allOnes,OFFSET(tPrcElec,0,4,1,_maxLT))</f>
        <v>47357.325367589241</v>
      </c>
      <c r="J132" s="28">
        <f ca="1">SUMPRODUCT(dFactor,tpSurvAxH,INDEX(tEIdxElec,6)*INDEX(elecAxH,1,5)*allOnes,OFFSET(tPrcElec,0,5,1,_maxLT))</f>
        <v>47547.132285277585</v>
      </c>
      <c r="K132" s="28">
        <f ca="1">SUMPRODUCT(dFactor,tpSurvAxH,INDEX(tEIdxElec,7)*INDEX(elecAxH,1,5)*allOnes,OFFSET(tPrcElec,0,6,1,_maxLT))</f>
        <v>47712.449867994648</v>
      </c>
      <c r="L132" s="28">
        <f ca="1">SUMPRODUCT(dFactor,tpSurvAxH,INDEX(tEIdxElec,8)*INDEX(elecAxH,1,5)*allOnes,OFFSET(tPrcElec,0,7,1,_maxLT))</f>
        <v>47893.013639730059</v>
      </c>
      <c r="M132" s="28">
        <f ca="1">SUMPRODUCT(dFactor,tpSurvAxH,INDEX(tEIdxElec,9)*INDEX(elecAxH,1,5)*allOnes,OFFSET(tPrcElec,0,8,1,_maxLT))</f>
        <v>48089.896004679329</v>
      </c>
      <c r="N132" s="28">
        <f ca="1">SUMPRODUCT(dFactor,tpSurvAxH,INDEX(tEIdxElec,10)*INDEX(elecAxH,1,5)*allOnes,OFFSET(tPrcElec,0,9,1,_maxLT))</f>
        <v>48262.811116743389</v>
      </c>
      <c r="O132" s="28">
        <f ca="1">SUMPRODUCT(dFactor,tpSurvAxH,INDEX(tEIdxElec,11)*INDEX(elecAxH,1,5)*allOnes,OFFSET(tPrcElec,0,10,1,_maxLT))</f>
        <v>48451.534509756304</v>
      </c>
      <c r="P132" s="28">
        <f ca="1">SUMPRODUCT(dFactor,tpSurvAxH,INDEX(tEIdxElec,12)*INDEX(elecAxH,1,5)*allOnes,OFFSET(tPrcElec,0,11,1,_maxLT))</f>
        <v>48657.26699842426</v>
      </c>
      <c r="Q132" s="28">
        <f ca="1">SUMPRODUCT(dFactor,tpSurvAxH,INDEX(tEIdxElec,13)*INDEX(elecAxH,1,5)*allOnes,OFFSET(tPrcElec,0,12,1,_maxLT))</f>
        <v>48839.666872128844</v>
      </c>
      <c r="R132" s="28">
        <f ca="1">SUMPRODUCT(dFactor,tpSurvAxH,INDEX(tEIdxElec,14)*INDEX(elecAxH,1,5)*allOnes,OFFSET(tPrcElec,0,13,1,_maxLT))</f>
        <v>49038.577056629387</v>
      </c>
      <c r="S132" s="28">
        <f ca="1">SUMPRODUCT(dFactor,tpSurvAxH,INDEX(tEIdxElec,15)*INDEX(elecAxH,1,5)*allOnes,OFFSET(tPrcElec,0,14,1,_maxLT))</f>
        <v>49213.75652444506</v>
      </c>
      <c r="T132" s="28">
        <f ca="1">SUMPRODUCT(dFactor,tpSurvAxH,INDEX(tEIdxElec,16)*INDEX(elecAxH,1,5)*allOnes,OFFSET(tPrcElec,0,15,1,_maxLT))</f>
        <v>49404.970577247695</v>
      </c>
      <c r="U132" s="28">
        <f ca="1">SUMPRODUCT(dFactor,tpSurvAxH,INDEX(tEIdxElec,17)*INDEX(elecAxH,1,5)*allOnes,OFFSET(tPrcElec,0,16,1,_maxLT))</f>
        <v>49613.529060197827</v>
      </c>
      <c r="V132" s="28">
        <f ca="1">SUMPRODUCT(dFactor,tpSurvAxH,INDEX(tEIdxElec,18)*INDEX(elecAxH,1,5)*allOnes,OFFSET(tPrcElec,0,17,1,_maxLT))</f>
        <v>49799.005022207311</v>
      </c>
      <c r="W132" s="28">
        <f ca="1">SUMPRODUCT(dFactor,tpSurvAxH,INDEX(tEIdxElec,19)*INDEX(elecAxH,1,5)*allOnes,OFFSET(tPrcElec,0,18,1,_maxLT))</f>
        <v>50001.37690846141</v>
      </c>
      <c r="X132" s="28">
        <f ca="1">SUMPRODUCT(dFactor,tpSurvAxH,INDEX(tEIdxElec,20)*INDEX(elecAxH,1,5)*allOnes,OFFSET(tPrcElec,0,19,1,_maxLT))</f>
        <v>50180.295904412334</v>
      </c>
      <c r="Y132" s="28">
        <f ca="1">SUMPRODUCT(dFactor,tpSurvAxH,INDEX(tEIdxElec,21)*INDEX(elecAxH,1,5)*allOnes,OFFSET(tPrcElec,0,20,1,_maxLT))</f>
        <v>50375.570392498914</v>
      </c>
      <c r="Z132" s="28">
        <f ca="1">SUMPRODUCT(dFactor,tpSurvAxH,INDEX(tEIdxElec,22)*INDEX(elecAxH,1,5)*allOnes,OFFSET(tPrcElec,0,21,1,_maxLT))</f>
        <v>50588.578675373588</v>
      </c>
      <c r="AA132" s="28">
        <f ca="1">SUMPRODUCT(dFactor,tpSurvAxH,INDEX(tEIdxElec,23)*INDEX(elecAxH,1,5)*allOnes,OFFSET(tPrcElec,0,22,1,_maxLT))</f>
        <v>50778.838523625724</v>
      </c>
      <c r="AB132" s="28">
        <f ca="1">SUMPRODUCT(dFactor,tpSurvAxH,INDEX(tEIdxElec,24)*INDEX(elecAxH,1,5)*allOnes,OFFSET(tPrcElec,0,23,1,_maxLT))</f>
        <v>50986.496749746999</v>
      </c>
      <c r="AC132" s="28">
        <f ca="1">SUMPRODUCT(dFactor,tpSurvAxH,INDEX(tEIdxElec,25)*INDEX(elecAxH,1,5)*allOnes,OFFSET(tPrcElec,0,24,1,_maxLT))</f>
        <v>51171.059720554011</v>
      </c>
      <c r="AD132" s="28">
        <f ca="1">SUMPRODUCT(dFactor,tpSurvAxH,INDEX(tEIdxElec,26)*INDEX(elecAxH,1,5)*allOnes,OFFSET(tPrcElec,0,25,1,_maxLT))</f>
        <v>51372.56982914493</v>
      </c>
      <c r="AE132" s="28">
        <f ca="1">SUMPRODUCT(dFactor,tpSurvAxH,INDEX(tEIdxElec,27)*INDEX(elecAxH,1,5)*allOnes,OFFSET(tPrcElec,0,26,1,_maxLT))</f>
        <v>51592.038004842063</v>
      </c>
      <c r="AF132" s="28">
        <f ca="1">SUMPRODUCT(dFactor,tpSurvAxH,INDEX(tEIdxElec,28)*INDEX(elecAxH,1,5)*allOnes,OFFSET(tPrcElec,0,27,1,_maxLT))</f>
        <v>51789.412468476497</v>
      </c>
      <c r="AG132" s="28">
        <f ca="1">SUMPRODUCT(dFactor,tpSurvAxH,INDEX(tEIdxElec,29)*INDEX(elecAxH,1,5)*allOnes,OFFSET(tPrcElec,0,28,1,_maxLT))</f>
        <v>52004.747010935855</v>
      </c>
      <c r="AH132" s="28">
        <f ca="1">SUMPRODUCT(dFactor,tpSurvAxH,INDEX(tEIdxElec,30)*INDEX(elecAxH,1,5)*allOnes,OFFSET(tPrcElec,0,29,1,_maxLT))</f>
        <v>52197.642088821238</v>
      </c>
      <c r="AI132" s="28">
        <f ca="1">SUMPRODUCT(dFactor,tpSurvAxH,INDEX(tEIdxElec,31)*INDEX(elecAxH,1,5)*allOnes,OFFSET(tPrcElec,0,30,1,_maxLT))</f>
        <v>52408.195327512854</v>
      </c>
      <c r="AJ132" s="28">
        <f ca="1">SUMPRODUCT(dFactor,tpSurvAxH,INDEX(tEIdxElec,32)*INDEX(elecAxH,1,5)*allOnes,OFFSET(tPrcElec,0,31,1,_maxLT))</f>
        <v>52595.990293397437</v>
      </c>
      <c r="AK132" s="29">
        <f ca="1">SUMPRODUCT(dFactor,tpSurvAxH,INDEX(tEIdxElec,33)*INDEX(elecAxH,1,5)*allOnes,OFFSET(tPrcElec,0,32,1,_maxLT))</f>
        <v>52801.142171926724</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ts2bElec*SUMPRODUCT(tpSurvAxH,INDEX(tEIdxElec,1)*INDEX(elecAxH,1,5)*convFactor)</f>
        <v>10368.126938358282</v>
      </c>
      <c r="F134" s="22">
        <f ca="1">ts2bElec*SUMPRODUCT(tpSurvAxH,INDEX(tEIdxElec,2)*INDEX(elecAxH,1,5)*convFactor)</f>
        <v>10294.772340317986</v>
      </c>
      <c r="G134" s="22">
        <f ca="1">ts2bElec*SUMPRODUCT(tpSurvAxH,INDEX(tEIdxElec,3)*INDEX(elecAxH,1,5)*convFactor)</f>
        <v>10220.814204586684</v>
      </c>
      <c r="H134" s="22">
        <f ca="1">ts2bElec*SUMPRODUCT(tpSurvAxH,INDEX(tEIdxElec,4)*INDEX(elecAxH,1,5)*convFactor)</f>
        <v>10155.842905175861</v>
      </c>
      <c r="I134" s="22">
        <f ca="1">ts2bElec*SUMPRODUCT(tpSurvAxH,INDEX(tEIdxElec,5)*INDEX(elecAxH,1,5)*convFactor)</f>
        <v>10094.203574746185</v>
      </c>
      <c r="J134" s="22">
        <f ca="1">ts2bElec*SUMPRODUCT(tpSurvAxH,INDEX(tEIdxElec,6)*INDEX(elecAxH,1,5)*convFactor)</f>
        <v>10040.513469663156</v>
      </c>
      <c r="K134" s="22">
        <f ca="1">ts2bElec*SUMPRODUCT(tpSurvAxH,INDEX(tEIdxElec,7)*INDEX(elecAxH,1,5)*convFactor)</f>
        <v>9998.8720973981581</v>
      </c>
      <c r="L134" s="22">
        <f ca="1">ts2bElec*SUMPRODUCT(tpSurvAxH,INDEX(tEIdxElec,8)*INDEX(elecAxH,1,5)*convFactor)</f>
        <v>9964.3471637785624</v>
      </c>
      <c r="M134" s="22">
        <f ca="1">ts2bElec*SUMPRODUCT(tpSurvAxH,INDEX(tEIdxElec,9)*INDEX(elecAxH,1,5)*convFactor)</f>
        <v>9929.6606551288623</v>
      </c>
      <c r="N134" s="22">
        <f ca="1">ts2bElec*SUMPRODUCT(tpSurvAxH,INDEX(tEIdxElec,10)*INDEX(elecAxH,1,5)*convFactor)</f>
        <v>9901.9050246151764</v>
      </c>
      <c r="O134" s="22">
        <f ca="1">ts2bElec*SUMPRODUCT(tpSurvAxH,INDEX(tEIdxElec,11)*INDEX(elecAxH,1,5)*convFactor)</f>
        <v>9882.7836657953794</v>
      </c>
      <c r="P134" s="22">
        <f ca="1">ts2bElec*SUMPRODUCT(tpSurvAxH,INDEX(tEIdxElec,12)*INDEX(elecAxH,1,5)*convFactor)</f>
        <v>9868.7842840296653</v>
      </c>
      <c r="Q134" s="22">
        <f ca="1">ts2bElec*SUMPRODUCT(tpSurvAxH,INDEX(tEIdxElec,13)*INDEX(elecAxH,1,5)*convFactor)</f>
        <v>9857.0020048095757</v>
      </c>
      <c r="R134" s="22">
        <f ca="1">ts2bElec*SUMPRODUCT(tpSurvAxH,INDEX(tEIdxElec,14)*INDEX(elecAxH,1,5)*convFactor)</f>
        <v>9848.3085729649156</v>
      </c>
      <c r="S134" s="22">
        <f ca="1">ts2bElec*SUMPRODUCT(tpSurvAxH,INDEX(tEIdxElec,15)*INDEX(elecAxH,1,5)*convFactor)</f>
        <v>9841.6834375663784</v>
      </c>
      <c r="T134" s="22">
        <f ca="1">ts2bElec*SUMPRODUCT(tpSurvAxH,INDEX(tEIdxElec,16)*INDEX(elecAxH,1,5)*convFactor)</f>
        <v>9840.8483425206141</v>
      </c>
      <c r="U134" s="22">
        <f ca="1">ts2bElec*SUMPRODUCT(tpSurvAxH,INDEX(tEIdxElec,17)*INDEX(elecAxH,1,5)*convFactor)</f>
        <v>9842.5436453979655</v>
      </c>
      <c r="V134" s="22">
        <f ca="1">ts2bElec*SUMPRODUCT(tpSurvAxH,INDEX(tEIdxElec,18)*INDEX(elecAxH,1,5)*convFactor)</f>
        <v>9845.0388472581162</v>
      </c>
      <c r="W134" s="22">
        <f ca="1">ts2bElec*SUMPRODUCT(tpSurvAxH,INDEX(tEIdxElec,19)*INDEX(elecAxH,1,5)*convFactor)</f>
        <v>9848.6073316242018</v>
      </c>
      <c r="X134" s="22">
        <f ca="1">ts2bElec*SUMPRODUCT(tpSurvAxH,INDEX(tEIdxElec,20)*INDEX(elecAxH,1,5)*convFactor)</f>
        <v>9851.9795110174109</v>
      </c>
      <c r="Y134" s="22">
        <f ca="1">ts2bElec*SUMPRODUCT(tpSurvAxH,INDEX(tEIdxElec,21)*INDEX(elecAxH,1,5)*convFactor)</f>
        <v>9854.7735419430446</v>
      </c>
      <c r="Z134" s="22">
        <f ca="1">ts2bElec*SUMPRODUCT(tpSurvAxH,INDEX(tEIdxElec,22)*INDEX(elecAxH,1,5)*convFactor)</f>
        <v>9856.6459377040937</v>
      </c>
      <c r="AA134" s="22">
        <f ca="1">ts2bElec*SUMPRODUCT(tpSurvAxH,INDEX(tEIdxElec,23)*INDEX(elecAxH,1,5)*convFactor)</f>
        <v>9857.8799711496595</v>
      </c>
      <c r="AB134" s="22">
        <f ca="1">ts2bElec*SUMPRODUCT(tpSurvAxH,INDEX(tEIdxElec,24)*INDEX(elecAxH,1,5)*convFactor)</f>
        <v>9857.8799711496595</v>
      </c>
      <c r="AC134" s="22">
        <f ca="1">ts2bElec*SUMPRODUCT(tpSurvAxH,INDEX(tEIdxElec,25)*INDEX(elecAxH,1,5)*convFactor)</f>
        <v>9857.8799711496595</v>
      </c>
      <c r="AD134" s="22">
        <f ca="1">ts2bElec*SUMPRODUCT(tpSurvAxH,INDEX(tEIdxElec,26)*INDEX(elecAxH,1,5)*convFactor)</f>
        <v>9857.8799711496595</v>
      </c>
      <c r="AE134" s="22">
        <f ca="1">ts2bElec*SUMPRODUCT(tpSurvAxH,INDEX(tEIdxElec,27)*INDEX(elecAxH,1,5)*convFactor)</f>
        <v>9857.8799711496595</v>
      </c>
      <c r="AF134" s="22">
        <f ca="1">ts2bElec*SUMPRODUCT(tpSurvAxH,INDEX(tEIdxElec,28)*INDEX(elecAxH,1,5)*convFactor)</f>
        <v>9857.8799711496595</v>
      </c>
      <c r="AG134" s="22">
        <f ca="1">ts2bElec*SUMPRODUCT(tpSurvAxH,INDEX(tEIdxElec,29)*INDEX(elecAxH,1,5)*convFactor)</f>
        <v>9857.8799711496595</v>
      </c>
      <c r="AH134" s="22">
        <f ca="1">ts2bElec*SUMPRODUCT(tpSurvAxH,INDEX(tEIdxElec,30)*INDEX(elecAxH,1,5)*convFactor)</f>
        <v>9857.8799711496595</v>
      </c>
      <c r="AI134" s="22">
        <f ca="1">ts2bElec*SUMPRODUCT(tpSurvAxH,INDEX(tEIdxElec,31)*INDEX(elecAxH,1,5)*convFactor)</f>
        <v>9857.8799711496595</v>
      </c>
      <c r="AJ134" s="22">
        <f ca="1">ts2bElec*SUMPRODUCT(tpSurvAxH,INDEX(tEIdxElec,32)*INDEX(elecAxH,1,5)*convFactor)</f>
        <v>9857.8799711496595</v>
      </c>
      <c r="AK134" s="25">
        <f ca="1">ts2bElec*SUMPRODUCT(tpSurvAxH,INDEX(tEIdxElec,33)*INDEX(elecAxH,1,5)*convFactor)</f>
        <v>9857.8799711496595</v>
      </c>
      <c r="AL134" s="3"/>
    </row>
    <row r="135" spans="2:38">
      <c r="B135" s="3"/>
      <c r="C135" s="30" t="str">
        <f>"EL 5: " &amp; INDEX(_doName,1,6)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(1+INDEX(vadAxH,1,6))*INDEX(mspAxH,1,6)*tPIdxAll + INDEX(instAxH,1,6) + SUMPRODUCT(dFactor,tpSurvAxH,INDEX(mrAxH,1,6)*allOnes)</f>
        <v>5251.4470199999996</v>
      </c>
      <c r="F136" s="28">
        <f ca="1"/>
        <v>5251.4470199999996</v>
      </c>
      <c r="G136" s="28">
        <f ca="1"/>
        <v>5251.4470199999996</v>
      </c>
      <c r="H136" s="28">
        <f ca="1"/>
        <v>5251.4470199999996</v>
      </c>
      <c r="I136" s="28">
        <f ca="1"/>
        <v>5251.4470199999996</v>
      </c>
      <c r="J136" s="28">
        <f ca="1"/>
        <v>5251.4470199999996</v>
      </c>
      <c r="K136" s="28">
        <f ca="1"/>
        <v>5251.4470199999996</v>
      </c>
      <c r="L136" s="28">
        <f ca="1"/>
        <v>5251.4470199999996</v>
      </c>
      <c r="M136" s="28">
        <f ca="1"/>
        <v>5251.4470199999996</v>
      </c>
      <c r="N136" s="28">
        <f ca="1"/>
        <v>5251.4470199999996</v>
      </c>
      <c r="O136" s="28">
        <f ca="1"/>
        <v>5251.4470199999996</v>
      </c>
      <c r="P136" s="28">
        <f ca="1"/>
        <v>5251.4470199999996</v>
      </c>
      <c r="Q136" s="28">
        <f ca="1"/>
        <v>5251.4470199999996</v>
      </c>
      <c r="R136" s="28">
        <f ca="1"/>
        <v>5251.4470199999996</v>
      </c>
      <c r="S136" s="28">
        <f ca="1"/>
        <v>5251.4470199999996</v>
      </c>
      <c r="T136" s="28">
        <f ca="1"/>
        <v>5251.4470199999996</v>
      </c>
      <c r="U136" s="28">
        <f ca="1"/>
        <v>5251.4470199999996</v>
      </c>
      <c r="V136" s="28">
        <f ca="1"/>
        <v>5251.4470199999996</v>
      </c>
      <c r="W136" s="28">
        <f ca="1"/>
        <v>5251.4470199999996</v>
      </c>
      <c r="X136" s="28">
        <f ca="1"/>
        <v>5251.4470199999996</v>
      </c>
      <c r="Y136" s="28">
        <f ca="1"/>
        <v>5251.4470199999996</v>
      </c>
      <c r="Z136" s="28">
        <f ca="1"/>
        <v>5251.4470199999996</v>
      </c>
      <c r="AA136" s="28">
        <f ca="1"/>
        <v>5251.4470199999996</v>
      </c>
      <c r="AB136" s="28">
        <f ca="1"/>
        <v>5251.4470199999996</v>
      </c>
      <c r="AC136" s="28">
        <f ca="1"/>
        <v>5251.4470199999996</v>
      </c>
      <c r="AD136" s="28">
        <f ca="1"/>
        <v>5251.4470199999996</v>
      </c>
      <c r="AE136" s="28">
        <f ca="1"/>
        <v>5251.4470199999996</v>
      </c>
      <c r="AF136" s="28">
        <f ca="1"/>
        <v>5251.4470199999996</v>
      </c>
      <c r="AG136" s="28">
        <f ca="1"/>
        <v>5251.4470199999996</v>
      </c>
      <c r="AH136" s="28">
        <f ca="1"/>
        <v>5251.4470199999996</v>
      </c>
      <c r="AI136" s="28">
        <f ca="1"/>
        <v>5251.4470199999996</v>
      </c>
      <c r="AJ136" s="28">
        <f ca="1"/>
        <v>5251.4470199999996</v>
      </c>
      <c r="AK136" s="29">
        <f ca="1"/>
        <v>5251.4470199999996</v>
      </c>
      <c r="AL136" s="3"/>
    </row>
    <row r="137" spans="2:38">
      <c r="B137" s="3"/>
      <c r="C137" s="23" t="s">
        <v>47</v>
      </c>
      <c r="D137" s="16" t="str">
        <f>_yearDol &amp; "$"</f>
        <v>2013$</v>
      </c>
      <c r="E137" s="141">
        <f t="array" aca="1" ref="E137:AK137" ca="1">(tlccEFubcElec5)</f>
        <v>66305.480460791805</v>
      </c>
      <c r="F137" s="28">
        <f ca="1"/>
        <v>66597.352920129459</v>
      </c>
      <c r="G137" s="28">
        <f ca="1"/>
        <v>66855.770515264594</v>
      </c>
      <c r="H137" s="28">
        <f ca="1"/>
        <v>67137.429566374005</v>
      </c>
      <c r="I137" s="28">
        <f ca="1"/>
        <v>67384.959276140449</v>
      </c>
      <c r="J137" s="28">
        <f ca="1"/>
        <v>67655.036425123835</v>
      </c>
      <c r="K137" s="28">
        <f ca="1"/>
        <v>67890.267585088077</v>
      </c>
      <c r="L137" s="28">
        <f ca="1"/>
        <v>68147.192618558474</v>
      </c>
      <c r="M137" s="28">
        <f ca="1"/>
        <v>68427.337454469642</v>
      </c>
      <c r="N137" s="28">
        <f ca="1"/>
        <v>68673.379174398389</v>
      </c>
      <c r="O137" s="28">
        <f ca="1"/>
        <v>68941.914571064524</v>
      </c>
      <c r="P137" s="28">
        <f ca="1"/>
        <v>69234.652289317441</v>
      </c>
      <c r="Q137" s="28">
        <f ca="1"/>
        <v>69494.189920848614</v>
      </c>
      <c r="R137" s="28">
        <f ca="1"/>
        <v>69777.220150662833</v>
      </c>
      <c r="S137" s="28">
        <f ca="1"/>
        <v>70026.483832957994</v>
      </c>
      <c r="T137" s="28">
        <f ca="1"/>
        <v>70298.563201062469</v>
      </c>
      <c r="U137" s="28">
        <f ca="1"/>
        <v>70595.322039768085</v>
      </c>
      <c r="V137" s="28">
        <f ca="1"/>
        <v>70859.23665170405</v>
      </c>
      <c r="W137" s="28">
        <f ca="1"/>
        <v>71147.192553098736</v>
      </c>
      <c r="X137" s="28">
        <f ca="1"/>
        <v>71401.777227429455</v>
      </c>
      <c r="Y137" s="28">
        <f ca="1"/>
        <v>71679.634207848983</v>
      </c>
      <c r="Z137" s="28">
        <f ca="1"/>
        <v>71982.724687633876</v>
      </c>
      <c r="AA137" s="28">
        <f ca="1"/>
        <v>72253.446313630295</v>
      </c>
      <c r="AB137" s="28">
        <f ca="1"/>
        <v>72548.924172692685</v>
      </c>
      <c r="AC137" s="28">
        <f ca="1"/>
        <v>72811.539685185795</v>
      </c>
      <c r="AD137" s="28">
        <f ca="1"/>
        <v>73098.26935912187</v>
      </c>
      <c r="AE137" s="28">
        <f ca="1"/>
        <v>73410.551650551381</v>
      </c>
      <c r="AF137" s="28">
        <f ca="1"/>
        <v>73691.396695978241</v>
      </c>
      <c r="AG137" s="28">
        <f ca="1"/>
        <v>73997.797221382469</v>
      </c>
      <c r="AH137" s="28">
        <f ca="1"/>
        <v>74272.268527922206</v>
      </c>
      <c r="AI137" s="28">
        <f ca="1"/>
        <v>74571.865713881634</v>
      </c>
      <c r="AJ137" s="28">
        <f ca="1"/>
        <v>74839.080047254014</v>
      </c>
      <c r="AK137" s="29">
        <f ca="1"/>
        <v>75130.991612630969</v>
      </c>
      <c r="AL137" s="3"/>
    </row>
    <row r="138" spans="2:38">
      <c r="B138" s="3"/>
      <c r="C138" s="27" t="str">
        <f>INDEX(_fuel,1)</f>
        <v>Electricity</v>
      </c>
      <c r="D138" s="16" t="str">
        <f>_yearDol &amp; "$"</f>
        <v>2013$</v>
      </c>
      <c r="E138" s="141">
        <f ca="1">SUMPRODUCT(dFactor,tpSurvAxH,INDEX(tEIdxElec,1)*INDEX(elecAxH,1,6)*allOnes,OFFSET(tPrcElec,0,0,1,_maxLT))</f>
        <v>66305.480460791805</v>
      </c>
      <c r="F138" s="28">
        <f ca="1">SUMPRODUCT(dFactor,tpSurvAxH,INDEX(tEIdxElec,2)*INDEX(elecAxH,1,6)*allOnes,OFFSET(tPrcElec,0,1,1,_maxLT))</f>
        <v>66597.352920129459</v>
      </c>
      <c r="G138" s="28">
        <f ca="1">SUMPRODUCT(dFactor,tpSurvAxH,INDEX(tEIdxElec,3)*INDEX(elecAxH,1,6)*allOnes,OFFSET(tPrcElec,0,2,1,_maxLT))</f>
        <v>66855.770515264594</v>
      </c>
      <c r="H138" s="28">
        <f ca="1">SUMPRODUCT(dFactor,tpSurvAxH,INDEX(tEIdxElec,4)*INDEX(elecAxH,1,6)*allOnes,OFFSET(tPrcElec,0,3,1,_maxLT))</f>
        <v>67137.429566374005</v>
      </c>
      <c r="I138" s="28">
        <f ca="1">SUMPRODUCT(dFactor,tpSurvAxH,INDEX(tEIdxElec,5)*INDEX(elecAxH,1,6)*allOnes,OFFSET(tPrcElec,0,4,1,_maxLT))</f>
        <v>67384.959276140449</v>
      </c>
      <c r="J138" s="28">
        <f ca="1">SUMPRODUCT(dFactor,tpSurvAxH,INDEX(tEIdxElec,6)*INDEX(elecAxH,1,6)*allOnes,OFFSET(tPrcElec,0,5,1,_maxLT))</f>
        <v>67655.036425123835</v>
      </c>
      <c r="K138" s="28">
        <f ca="1">SUMPRODUCT(dFactor,tpSurvAxH,INDEX(tEIdxElec,7)*INDEX(elecAxH,1,6)*allOnes,OFFSET(tPrcElec,0,6,1,_maxLT))</f>
        <v>67890.267585088077</v>
      </c>
      <c r="L138" s="28">
        <f ca="1">SUMPRODUCT(dFactor,tpSurvAxH,INDEX(tEIdxElec,8)*INDEX(elecAxH,1,6)*allOnes,OFFSET(tPrcElec,0,7,1,_maxLT))</f>
        <v>68147.192618558474</v>
      </c>
      <c r="M138" s="28">
        <f ca="1">SUMPRODUCT(dFactor,tpSurvAxH,INDEX(tEIdxElec,9)*INDEX(elecAxH,1,6)*allOnes,OFFSET(tPrcElec,0,8,1,_maxLT))</f>
        <v>68427.337454469642</v>
      </c>
      <c r="N138" s="28">
        <f ca="1">SUMPRODUCT(dFactor,tpSurvAxH,INDEX(tEIdxElec,10)*INDEX(elecAxH,1,6)*allOnes,OFFSET(tPrcElec,0,9,1,_maxLT))</f>
        <v>68673.379174398389</v>
      </c>
      <c r="O138" s="28">
        <f ca="1">SUMPRODUCT(dFactor,tpSurvAxH,INDEX(tEIdxElec,11)*INDEX(elecAxH,1,6)*allOnes,OFFSET(tPrcElec,0,10,1,_maxLT))</f>
        <v>68941.914571064524</v>
      </c>
      <c r="P138" s="28">
        <f ca="1">SUMPRODUCT(dFactor,tpSurvAxH,INDEX(tEIdxElec,12)*INDEX(elecAxH,1,6)*allOnes,OFFSET(tPrcElec,0,11,1,_maxLT))</f>
        <v>69234.652289317441</v>
      </c>
      <c r="Q138" s="28">
        <f ca="1">SUMPRODUCT(dFactor,tpSurvAxH,INDEX(tEIdxElec,13)*INDEX(elecAxH,1,6)*allOnes,OFFSET(tPrcElec,0,12,1,_maxLT))</f>
        <v>69494.189920848614</v>
      </c>
      <c r="R138" s="28">
        <f ca="1">SUMPRODUCT(dFactor,tpSurvAxH,INDEX(tEIdxElec,14)*INDEX(elecAxH,1,6)*allOnes,OFFSET(tPrcElec,0,13,1,_maxLT))</f>
        <v>69777.220150662833</v>
      </c>
      <c r="S138" s="28">
        <f ca="1">SUMPRODUCT(dFactor,tpSurvAxH,INDEX(tEIdxElec,15)*INDEX(elecAxH,1,6)*allOnes,OFFSET(tPrcElec,0,14,1,_maxLT))</f>
        <v>70026.483832957994</v>
      </c>
      <c r="T138" s="28">
        <f ca="1">SUMPRODUCT(dFactor,tpSurvAxH,INDEX(tEIdxElec,16)*INDEX(elecAxH,1,6)*allOnes,OFFSET(tPrcElec,0,15,1,_maxLT))</f>
        <v>70298.563201062469</v>
      </c>
      <c r="U138" s="28">
        <f ca="1">SUMPRODUCT(dFactor,tpSurvAxH,INDEX(tEIdxElec,17)*INDEX(elecAxH,1,6)*allOnes,OFFSET(tPrcElec,0,16,1,_maxLT))</f>
        <v>70595.322039768085</v>
      </c>
      <c r="V138" s="28">
        <f ca="1">SUMPRODUCT(dFactor,tpSurvAxH,INDEX(tEIdxElec,18)*INDEX(elecAxH,1,6)*allOnes,OFFSET(tPrcElec,0,17,1,_maxLT))</f>
        <v>70859.23665170405</v>
      </c>
      <c r="W138" s="28">
        <f ca="1">SUMPRODUCT(dFactor,tpSurvAxH,INDEX(tEIdxElec,19)*INDEX(elecAxH,1,6)*allOnes,OFFSET(tPrcElec,0,18,1,_maxLT))</f>
        <v>71147.192553098736</v>
      </c>
      <c r="X138" s="28">
        <f ca="1">SUMPRODUCT(dFactor,tpSurvAxH,INDEX(tEIdxElec,20)*INDEX(elecAxH,1,6)*allOnes,OFFSET(tPrcElec,0,19,1,_maxLT))</f>
        <v>71401.777227429455</v>
      </c>
      <c r="Y138" s="28">
        <f ca="1">SUMPRODUCT(dFactor,tpSurvAxH,INDEX(tEIdxElec,21)*INDEX(elecAxH,1,6)*allOnes,OFFSET(tPrcElec,0,20,1,_maxLT))</f>
        <v>71679.634207848983</v>
      </c>
      <c r="Z138" s="28">
        <f ca="1">SUMPRODUCT(dFactor,tpSurvAxH,INDEX(tEIdxElec,22)*INDEX(elecAxH,1,6)*allOnes,OFFSET(tPrcElec,0,21,1,_maxLT))</f>
        <v>71982.724687633876</v>
      </c>
      <c r="AA138" s="28">
        <f ca="1">SUMPRODUCT(dFactor,tpSurvAxH,INDEX(tEIdxElec,23)*INDEX(elecAxH,1,6)*allOnes,OFFSET(tPrcElec,0,22,1,_maxLT))</f>
        <v>72253.446313630295</v>
      </c>
      <c r="AB138" s="28">
        <f ca="1">SUMPRODUCT(dFactor,tpSurvAxH,INDEX(tEIdxElec,24)*INDEX(elecAxH,1,6)*allOnes,OFFSET(tPrcElec,0,23,1,_maxLT))</f>
        <v>72548.924172692685</v>
      </c>
      <c r="AC138" s="28">
        <f ca="1">SUMPRODUCT(dFactor,tpSurvAxH,INDEX(tEIdxElec,25)*INDEX(elecAxH,1,6)*allOnes,OFFSET(tPrcElec,0,24,1,_maxLT))</f>
        <v>72811.539685185795</v>
      </c>
      <c r="AD138" s="28">
        <f ca="1">SUMPRODUCT(dFactor,tpSurvAxH,INDEX(tEIdxElec,26)*INDEX(elecAxH,1,6)*allOnes,OFFSET(tPrcElec,0,25,1,_maxLT))</f>
        <v>73098.26935912187</v>
      </c>
      <c r="AE138" s="28">
        <f ca="1">SUMPRODUCT(dFactor,tpSurvAxH,INDEX(tEIdxElec,27)*INDEX(elecAxH,1,6)*allOnes,OFFSET(tPrcElec,0,26,1,_maxLT))</f>
        <v>73410.551650551381</v>
      </c>
      <c r="AF138" s="28">
        <f ca="1">SUMPRODUCT(dFactor,tpSurvAxH,INDEX(tEIdxElec,28)*INDEX(elecAxH,1,6)*allOnes,OFFSET(tPrcElec,0,27,1,_maxLT))</f>
        <v>73691.396695978241</v>
      </c>
      <c r="AG138" s="28">
        <f ca="1">SUMPRODUCT(dFactor,tpSurvAxH,INDEX(tEIdxElec,29)*INDEX(elecAxH,1,6)*allOnes,OFFSET(tPrcElec,0,28,1,_maxLT))</f>
        <v>73997.797221382469</v>
      </c>
      <c r="AH138" s="28">
        <f ca="1">SUMPRODUCT(dFactor,tpSurvAxH,INDEX(tEIdxElec,30)*INDEX(elecAxH,1,6)*allOnes,OFFSET(tPrcElec,0,29,1,_maxLT))</f>
        <v>74272.268527922206</v>
      </c>
      <c r="AI138" s="28">
        <f ca="1">SUMPRODUCT(dFactor,tpSurvAxH,INDEX(tEIdxElec,31)*INDEX(elecAxH,1,6)*allOnes,OFFSET(tPrcElec,0,30,1,_maxLT))</f>
        <v>74571.865713881634</v>
      </c>
      <c r="AJ138" s="28">
        <f ca="1">SUMPRODUCT(dFactor,tpSurvAxH,INDEX(tEIdxElec,32)*INDEX(elecAxH,1,6)*allOnes,OFFSET(tPrcElec,0,31,1,_maxLT))</f>
        <v>74839.080047254014</v>
      </c>
      <c r="AK138" s="29">
        <f ca="1">SUMPRODUCT(dFactor,tpSurvAxH,INDEX(tEIdxElec,33)*INDEX(elecAxH,1,6)*allOnes,OFFSET(tPrcElec,0,32,1,_maxLT))</f>
        <v>75130.991612630969</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ts2bElec*SUMPRODUCT(tpSurvAxH,INDEX(tEIdxElec,1)*INDEX(elecAxH,1,6)*convFactor)</f>
        <v>14752.856207316107</v>
      </c>
      <c r="F140" s="22">
        <f ca="1">ts2bElec*SUMPRODUCT(tpSurvAxH,INDEX(tEIdxElec,2)*INDEX(elecAxH,1,6)*convFactor)</f>
        <v>14648.479607428013</v>
      </c>
      <c r="G140" s="22">
        <f ca="1">ts2bElec*SUMPRODUCT(tpSurvAxH,INDEX(tEIdxElec,3)*INDEX(elecAxH,1,6)*convFactor)</f>
        <v>14543.244230942755</v>
      </c>
      <c r="H140" s="22">
        <f ca="1">ts2bElec*SUMPRODUCT(tpSurvAxH,INDEX(tEIdxElec,4)*INDEX(elecAxH,1,6)*convFactor)</f>
        <v>14450.796265798333</v>
      </c>
      <c r="I140" s="22">
        <f ca="1">ts2bElec*SUMPRODUCT(tpSurvAxH,INDEX(tEIdxElec,5)*INDEX(elecAxH,1,6)*convFactor)</f>
        <v>14363.089374867053</v>
      </c>
      <c r="J140" s="22">
        <f ca="1">ts2bElec*SUMPRODUCT(tpSurvAxH,INDEX(tEIdxElec,6)*INDEX(elecAxH,1,6)*convFactor)</f>
        <v>14286.693473779533</v>
      </c>
      <c r="K140" s="22">
        <f ca="1">ts2bElec*SUMPRODUCT(tpSurvAxH,INDEX(tEIdxElec,7)*INDEX(elecAxH,1,6)*convFactor)</f>
        <v>14227.441770848696</v>
      </c>
      <c r="L140" s="22">
        <f ca="1">ts2bElec*SUMPRODUCT(tpSurvAxH,INDEX(tEIdxElec,8)*INDEX(elecAxH,1,6)*convFactor)</f>
        <v>14178.316081677909</v>
      </c>
      <c r="M140" s="22">
        <f ca="1">ts2bElec*SUMPRODUCT(tpSurvAxH,INDEX(tEIdxElec,9)*INDEX(elecAxH,1,6)*convFactor)</f>
        <v>14128.96048664274</v>
      </c>
      <c r="N140" s="22">
        <f ca="1">ts2bElec*SUMPRODUCT(tpSurvAxH,INDEX(tEIdxElec,10)*INDEX(elecAxH,1,6)*convFactor)</f>
        <v>14089.466870452829</v>
      </c>
      <c r="O140" s="22">
        <f ca="1">ts2bElec*SUMPRODUCT(tpSurvAxH,INDEX(tEIdxElec,11)*INDEX(elecAxH,1,6)*convFactor)</f>
        <v>14062.258999751197</v>
      </c>
      <c r="P140" s="22">
        <f ca="1">ts2bElec*SUMPRODUCT(tpSurvAxH,INDEX(tEIdxElec,12)*INDEX(elecAxH,1,6)*convFactor)</f>
        <v>14042.339214103435</v>
      </c>
      <c r="Q140" s="22">
        <f ca="1">ts2bElec*SUMPRODUCT(tpSurvAxH,INDEX(tEIdxElec,13)*INDEX(elecAxH,1,6)*convFactor)</f>
        <v>14025.574154014777</v>
      </c>
      <c r="R140" s="22">
        <f ca="1">ts2bElec*SUMPRODUCT(tpSurvAxH,INDEX(tEIdxElec,14)*INDEX(elecAxH,1,6)*convFactor)</f>
        <v>14013.204229271871</v>
      </c>
      <c r="S140" s="22">
        <f ca="1">ts2bElec*SUMPRODUCT(tpSurvAxH,INDEX(tEIdxElec,15)*INDEX(elecAxH,1,6)*convFactor)</f>
        <v>14003.777293194629</v>
      </c>
      <c r="T140" s="22">
        <f ca="1">ts2bElec*SUMPRODUCT(tpSurvAxH,INDEX(tEIdxElec,16)*INDEX(elecAxH,1,6)*convFactor)</f>
        <v>14002.589032556729</v>
      </c>
      <c r="U140" s="22">
        <f ca="1">ts2bElec*SUMPRODUCT(tpSurvAxH,INDEX(tEIdxElec,17)*INDEX(elecAxH,1,6)*convFactor)</f>
        <v>14005.001286932677</v>
      </c>
      <c r="V140" s="22">
        <f ca="1">ts2bElec*SUMPRODUCT(tpSurvAxH,INDEX(tEIdxElec,18)*INDEX(elecAxH,1,6)*convFactor)</f>
        <v>14008.551721304271</v>
      </c>
      <c r="W140" s="22">
        <f ca="1">ts2bElec*SUMPRODUCT(tpSurvAxH,INDEX(tEIdxElec,19)*INDEX(elecAxH,1,6)*convFactor)</f>
        <v>14013.629334362435</v>
      </c>
      <c r="X140" s="22">
        <f ca="1">ts2bElec*SUMPRODUCT(tpSurvAxH,INDEX(tEIdxElec,20)*INDEX(elecAxH,1,6)*convFactor)</f>
        <v>14018.427624158565</v>
      </c>
      <c r="Y140" s="22">
        <f ca="1">ts2bElec*SUMPRODUCT(tpSurvAxH,INDEX(tEIdxElec,21)*INDEX(elecAxH,1,6)*convFactor)</f>
        <v>14022.403263802034</v>
      </c>
      <c r="Z140" s="22">
        <f ca="1">ts2bElec*SUMPRODUCT(tpSurvAxH,INDEX(tEIdxElec,22)*INDEX(elecAxH,1,6)*convFactor)</f>
        <v>14025.067504468665</v>
      </c>
      <c r="AA140" s="22">
        <f ca="1">ts2bElec*SUMPRODUCT(tpSurvAxH,INDEX(tEIdxElec,23)*INDEX(elecAxH,1,6)*convFactor)</f>
        <v>14026.823416417437</v>
      </c>
      <c r="AB140" s="22">
        <f ca="1">ts2bElec*SUMPRODUCT(tpSurvAxH,INDEX(tEIdxElec,24)*INDEX(elecAxH,1,6)*convFactor)</f>
        <v>14026.823416417437</v>
      </c>
      <c r="AC140" s="22">
        <f ca="1">ts2bElec*SUMPRODUCT(tpSurvAxH,INDEX(tEIdxElec,25)*INDEX(elecAxH,1,6)*convFactor)</f>
        <v>14026.823416417437</v>
      </c>
      <c r="AD140" s="22">
        <f ca="1">ts2bElec*SUMPRODUCT(tpSurvAxH,INDEX(tEIdxElec,26)*INDEX(elecAxH,1,6)*convFactor)</f>
        <v>14026.823416417437</v>
      </c>
      <c r="AE140" s="22">
        <f ca="1">ts2bElec*SUMPRODUCT(tpSurvAxH,INDEX(tEIdxElec,27)*INDEX(elecAxH,1,6)*convFactor)</f>
        <v>14026.823416417437</v>
      </c>
      <c r="AF140" s="22">
        <f ca="1">ts2bElec*SUMPRODUCT(tpSurvAxH,INDEX(tEIdxElec,28)*INDEX(elecAxH,1,6)*convFactor)</f>
        <v>14026.823416417437</v>
      </c>
      <c r="AG140" s="22">
        <f ca="1">ts2bElec*SUMPRODUCT(tpSurvAxH,INDEX(tEIdxElec,29)*INDEX(elecAxH,1,6)*convFactor)</f>
        <v>14026.823416417437</v>
      </c>
      <c r="AH140" s="22">
        <f ca="1">ts2bElec*SUMPRODUCT(tpSurvAxH,INDEX(tEIdxElec,30)*INDEX(elecAxH,1,6)*convFactor)</f>
        <v>14026.823416417437</v>
      </c>
      <c r="AI140" s="22">
        <f ca="1">ts2bElec*SUMPRODUCT(tpSurvAxH,INDEX(tEIdxElec,31)*INDEX(elecAxH,1,6)*convFactor)</f>
        <v>14026.823416417437</v>
      </c>
      <c r="AJ140" s="22">
        <f ca="1">ts2bElec*SUMPRODUCT(tpSurvAxH,INDEX(tEIdxElec,32)*INDEX(elecAxH,1,6)*convFactor)</f>
        <v>14026.823416417437</v>
      </c>
      <c r="AK140" s="25">
        <f ca="1">ts2bElec*SUMPRODUCT(tpSurvAxH,INDEX(tEIdxElec,33)*INDEX(elecAxH,1,6)*convFactor)</f>
        <v>14026.823416417437</v>
      </c>
      <c r="AL140" s="3"/>
    </row>
    <row r="141" spans="2:38">
      <c r="B141" s="3"/>
      <c r="C141" s="30" t="str">
        <f>"EL 6: " &amp; INDEX(_doName,1,7)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(1+INDEX(vadAxH,1,7))*INDEX(mspAxH,1,7)*tPIdxAll + INDEX(instAxH,1,7) + SUMPRODUCT(dFactor,tpSurvAxH,INDEX(mrAxH,1,7)*allOnes)</f>
        <v>5343.6922789999999</v>
      </c>
      <c r="F142" s="28">
        <f ca="1"/>
        <v>5343.6922789999999</v>
      </c>
      <c r="G142" s="28">
        <f ca="1"/>
        <v>5343.6922789999999</v>
      </c>
      <c r="H142" s="28">
        <f ca="1"/>
        <v>5343.6922789999999</v>
      </c>
      <c r="I142" s="28">
        <f ca="1"/>
        <v>5343.6922789999999</v>
      </c>
      <c r="J142" s="28">
        <f ca="1"/>
        <v>5343.6922789999999</v>
      </c>
      <c r="K142" s="28">
        <f ca="1"/>
        <v>5343.6922789999999</v>
      </c>
      <c r="L142" s="28">
        <f ca="1"/>
        <v>5343.6922789999999</v>
      </c>
      <c r="M142" s="28">
        <f ca="1"/>
        <v>5343.6922789999999</v>
      </c>
      <c r="N142" s="28">
        <f ca="1"/>
        <v>5343.6922789999999</v>
      </c>
      <c r="O142" s="28">
        <f ca="1"/>
        <v>5343.6922789999999</v>
      </c>
      <c r="P142" s="28">
        <f ca="1"/>
        <v>5343.6922789999999</v>
      </c>
      <c r="Q142" s="28">
        <f ca="1"/>
        <v>5343.6922789999999</v>
      </c>
      <c r="R142" s="28">
        <f ca="1"/>
        <v>5343.6922789999999</v>
      </c>
      <c r="S142" s="28">
        <f ca="1"/>
        <v>5343.6922789999999</v>
      </c>
      <c r="T142" s="28">
        <f ca="1"/>
        <v>5343.6922789999999</v>
      </c>
      <c r="U142" s="28">
        <f ca="1"/>
        <v>5343.6922789999999</v>
      </c>
      <c r="V142" s="28">
        <f ca="1"/>
        <v>5343.6922789999999</v>
      </c>
      <c r="W142" s="28">
        <f ca="1"/>
        <v>5343.6922789999999</v>
      </c>
      <c r="X142" s="28">
        <f ca="1"/>
        <v>5343.6922789999999</v>
      </c>
      <c r="Y142" s="28">
        <f ca="1"/>
        <v>5343.6922789999999</v>
      </c>
      <c r="Z142" s="28">
        <f ca="1"/>
        <v>5343.6922789999999</v>
      </c>
      <c r="AA142" s="28">
        <f ca="1"/>
        <v>5343.6922789999999</v>
      </c>
      <c r="AB142" s="28">
        <f ca="1"/>
        <v>5343.6922789999999</v>
      </c>
      <c r="AC142" s="28">
        <f ca="1"/>
        <v>5343.6922789999999</v>
      </c>
      <c r="AD142" s="28">
        <f ca="1"/>
        <v>5343.6922789999999</v>
      </c>
      <c r="AE142" s="28">
        <f ca="1"/>
        <v>5343.6922789999999</v>
      </c>
      <c r="AF142" s="28">
        <f ca="1"/>
        <v>5343.6922789999999</v>
      </c>
      <c r="AG142" s="28">
        <f ca="1"/>
        <v>5343.6922789999999</v>
      </c>
      <c r="AH142" s="28">
        <f ca="1"/>
        <v>5343.6922789999999</v>
      </c>
      <c r="AI142" s="28">
        <f ca="1"/>
        <v>5343.6922789999999</v>
      </c>
      <c r="AJ142" s="28">
        <f ca="1"/>
        <v>5343.6922789999999</v>
      </c>
      <c r="AK142" s="29">
        <f ca="1"/>
        <v>5343.6922789999999</v>
      </c>
      <c r="AL142" s="3"/>
    </row>
    <row r="143" spans="2:38">
      <c r="B143" s="3"/>
      <c r="C143" s="23" t="s">
        <v>47</v>
      </c>
      <c r="D143" s="16" t="str">
        <f>_yearDol &amp; "$"</f>
        <v>2013$</v>
      </c>
      <c r="E143" s="141">
        <f t="array" aca="1" ref="E143:AK143" ca="1">(tlccEFubcElec6)</f>
        <v>52838.239282305185</v>
      </c>
      <c r="F143" s="28">
        <f ca="1"/>
        <v>53070.829812367316</v>
      </c>
      <c r="G143" s="28">
        <f ca="1"/>
        <v>53276.760462920116</v>
      </c>
      <c r="H143" s="28">
        <f ca="1"/>
        <v>53501.212020093357</v>
      </c>
      <c r="I143" s="28">
        <f ca="1"/>
        <v>53698.46621300812</v>
      </c>
      <c r="J143" s="28">
        <f ca="1"/>
        <v>53913.68825684968</v>
      </c>
      <c r="K143" s="28">
        <f ca="1"/>
        <v>54101.14184636392</v>
      </c>
      <c r="L143" s="28">
        <f ca="1"/>
        <v>54305.88308798951</v>
      </c>
      <c r="M143" s="28">
        <f ca="1"/>
        <v>54529.127980730023</v>
      </c>
      <c r="N143" s="28">
        <f ca="1"/>
        <v>54725.196407965253</v>
      </c>
      <c r="O143" s="28">
        <f ca="1"/>
        <v>54939.189843292261</v>
      </c>
      <c r="P143" s="28">
        <f ca="1"/>
        <v>55172.469890379027</v>
      </c>
      <c r="Q143" s="28">
        <f ca="1"/>
        <v>55379.293087832746</v>
      </c>
      <c r="R143" s="28">
        <f ca="1"/>
        <v>55604.837324947432</v>
      </c>
      <c r="S143" s="28">
        <f ca="1"/>
        <v>55803.473304929343</v>
      </c>
      <c r="T143" s="28">
        <f ca="1"/>
        <v>56020.290899127824</v>
      </c>
      <c r="U143" s="28">
        <f ca="1"/>
        <v>56256.775340831511</v>
      </c>
      <c r="V143" s="28">
        <f ca="1"/>
        <v>56467.08651448803</v>
      </c>
      <c r="W143" s="28">
        <f ca="1"/>
        <v>56696.555974854011</v>
      </c>
      <c r="X143" s="28">
        <f ca="1"/>
        <v>56899.43220539196</v>
      </c>
      <c r="Y143" s="28">
        <f ca="1"/>
        <v>57120.85392672837</v>
      </c>
      <c r="Z143" s="28">
        <f ca="1"/>
        <v>57362.383996094701</v>
      </c>
      <c r="AA143" s="28">
        <f ca="1"/>
        <v>57578.119617854551</v>
      </c>
      <c r="AB143" s="28">
        <f ca="1"/>
        <v>57813.583258435421</v>
      </c>
      <c r="AC143" s="28">
        <f ca="1"/>
        <v>58022.859191464238</v>
      </c>
      <c r="AD143" s="28">
        <f ca="1"/>
        <v>58251.351482229402</v>
      </c>
      <c r="AE143" s="28">
        <f ca="1"/>
        <v>58500.206423382173</v>
      </c>
      <c r="AF143" s="28">
        <f ca="1"/>
        <v>58724.009306769629</v>
      </c>
      <c r="AG143" s="28">
        <f ca="1"/>
        <v>58968.177121632354</v>
      </c>
      <c r="AH143" s="28">
        <f ca="1"/>
        <v>59186.900829993843</v>
      </c>
      <c r="AI143" s="28">
        <f ca="1"/>
        <v>59425.6471250213</v>
      </c>
      <c r="AJ143" s="28">
        <f ca="1"/>
        <v>59638.587816925938</v>
      </c>
      <c r="AK143" s="29">
        <f ca="1"/>
        <v>59871.209510238026</v>
      </c>
      <c r="AL143" s="3"/>
    </row>
    <row r="144" spans="2:38">
      <c r="B144" s="3"/>
      <c r="C144" s="27" t="str">
        <f>INDEX(_fuel,1)</f>
        <v>Electricity</v>
      </c>
      <c r="D144" s="16" t="str">
        <f>_yearDol &amp; "$"</f>
        <v>2013$</v>
      </c>
      <c r="E144" s="141">
        <f ca="1">SUMPRODUCT(dFactor,tpSurvAxH,INDEX(tEIdxElec,1)*INDEX(elecAxH,1,7)*allOnes,OFFSET(tPrcElec,0,0,1,_maxLT))</f>
        <v>52838.239282305185</v>
      </c>
      <c r="F144" s="28">
        <f ca="1">SUMPRODUCT(dFactor,tpSurvAxH,INDEX(tEIdxElec,2)*INDEX(elecAxH,1,7)*allOnes,OFFSET(tPrcElec,0,1,1,_maxLT))</f>
        <v>53070.829812367316</v>
      </c>
      <c r="G144" s="28">
        <f ca="1">SUMPRODUCT(dFactor,tpSurvAxH,INDEX(tEIdxElec,3)*INDEX(elecAxH,1,7)*allOnes,OFFSET(tPrcElec,0,2,1,_maxLT))</f>
        <v>53276.760462920116</v>
      </c>
      <c r="H144" s="28">
        <f ca="1">SUMPRODUCT(dFactor,tpSurvAxH,INDEX(tEIdxElec,4)*INDEX(elecAxH,1,7)*allOnes,OFFSET(tPrcElec,0,3,1,_maxLT))</f>
        <v>53501.212020093357</v>
      </c>
      <c r="I144" s="28">
        <f ca="1">SUMPRODUCT(dFactor,tpSurvAxH,INDEX(tEIdxElec,5)*INDEX(elecAxH,1,7)*allOnes,OFFSET(tPrcElec,0,4,1,_maxLT))</f>
        <v>53698.46621300812</v>
      </c>
      <c r="J144" s="28">
        <f ca="1">SUMPRODUCT(dFactor,tpSurvAxH,INDEX(tEIdxElec,6)*INDEX(elecAxH,1,7)*allOnes,OFFSET(tPrcElec,0,5,1,_maxLT))</f>
        <v>53913.68825684968</v>
      </c>
      <c r="K144" s="28">
        <f ca="1">SUMPRODUCT(dFactor,tpSurvAxH,INDEX(tEIdxElec,7)*INDEX(elecAxH,1,7)*allOnes,OFFSET(tPrcElec,0,6,1,_maxLT))</f>
        <v>54101.14184636392</v>
      </c>
      <c r="L144" s="28">
        <f ca="1">SUMPRODUCT(dFactor,tpSurvAxH,INDEX(tEIdxElec,8)*INDEX(elecAxH,1,7)*allOnes,OFFSET(tPrcElec,0,7,1,_maxLT))</f>
        <v>54305.88308798951</v>
      </c>
      <c r="M144" s="28">
        <f ca="1">SUMPRODUCT(dFactor,tpSurvAxH,INDEX(tEIdxElec,9)*INDEX(elecAxH,1,7)*allOnes,OFFSET(tPrcElec,0,8,1,_maxLT))</f>
        <v>54529.127980730023</v>
      </c>
      <c r="N144" s="28">
        <f ca="1">SUMPRODUCT(dFactor,tpSurvAxH,INDEX(tEIdxElec,10)*INDEX(elecAxH,1,7)*allOnes,OFFSET(tPrcElec,0,9,1,_maxLT))</f>
        <v>54725.196407965253</v>
      </c>
      <c r="O144" s="28">
        <f ca="1">SUMPRODUCT(dFactor,tpSurvAxH,INDEX(tEIdxElec,11)*INDEX(elecAxH,1,7)*allOnes,OFFSET(tPrcElec,0,10,1,_maxLT))</f>
        <v>54939.189843292261</v>
      </c>
      <c r="P144" s="28">
        <f ca="1">SUMPRODUCT(dFactor,tpSurvAxH,INDEX(tEIdxElec,12)*INDEX(elecAxH,1,7)*allOnes,OFFSET(tPrcElec,0,11,1,_maxLT))</f>
        <v>55172.469890379027</v>
      </c>
      <c r="Q144" s="28">
        <f ca="1">SUMPRODUCT(dFactor,tpSurvAxH,INDEX(tEIdxElec,13)*INDEX(elecAxH,1,7)*allOnes,OFFSET(tPrcElec,0,12,1,_maxLT))</f>
        <v>55379.293087832746</v>
      </c>
      <c r="R144" s="28">
        <f ca="1">SUMPRODUCT(dFactor,tpSurvAxH,INDEX(tEIdxElec,14)*INDEX(elecAxH,1,7)*allOnes,OFFSET(tPrcElec,0,13,1,_maxLT))</f>
        <v>55604.837324947432</v>
      </c>
      <c r="S144" s="28">
        <f ca="1">SUMPRODUCT(dFactor,tpSurvAxH,INDEX(tEIdxElec,15)*INDEX(elecAxH,1,7)*allOnes,OFFSET(tPrcElec,0,14,1,_maxLT))</f>
        <v>55803.473304929343</v>
      </c>
      <c r="T144" s="28">
        <f ca="1">SUMPRODUCT(dFactor,tpSurvAxH,INDEX(tEIdxElec,16)*INDEX(elecAxH,1,7)*allOnes,OFFSET(tPrcElec,0,15,1,_maxLT))</f>
        <v>56020.290899127824</v>
      </c>
      <c r="U144" s="28">
        <f ca="1">SUMPRODUCT(dFactor,tpSurvAxH,INDEX(tEIdxElec,17)*INDEX(elecAxH,1,7)*allOnes,OFFSET(tPrcElec,0,16,1,_maxLT))</f>
        <v>56256.775340831511</v>
      </c>
      <c r="V144" s="28">
        <f ca="1">SUMPRODUCT(dFactor,tpSurvAxH,INDEX(tEIdxElec,18)*INDEX(elecAxH,1,7)*allOnes,OFFSET(tPrcElec,0,17,1,_maxLT))</f>
        <v>56467.08651448803</v>
      </c>
      <c r="W144" s="28">
        <f ca="1">SUMPRODUCT(dFactor,tpSurvAxH,INDEX(tEIdxElec,19)*INDEX(elecAxH,1,7)*allOnes,OFFSET(tPrcElec,0,18,1,_maxLT))</f>
        <v>56696.555974854011</v>
      </c>
      <c r="X144" s="28">
        <f ca="1">SUMPRODUCT(dFactor,tpSurvAxH,INDEX(tEIdxElec,20)*INDEX(elecAxH,1,7)*allOnes,OFFSET(tPrcElec,0,19,1,_maxLT))</f>
        <v>56899.43220539196</v>
      </c>
      <c r="Y144" s="28">
        <f ca="1">SUMPRODUCT(dFactor,tpSurvAxH,INDEX(tEIdxElec,21)*INDEX(elecAxH,1,7)*allOnes,OFFSET(tPrcElec,0,20,1,_maxLT))</f>
        <v>57120.85392672837</v>
      </c>
      <c r="Z144" s="28">
        <f ca="1">SUMPRODUCT(dFactor,tpSurvAxH,INDEX(tEIdxElec,22)*INDEX(elecAxH,1,7)*allOnes,OFFSET(tPrcElec,0,21,1,_maxLT))</f>
        <v>57362.383996094701</v>
      </c>
      <c r="AA144" s="28">
        <f ca="1">SUMPRODUCT(dFactor,tpSurvAxH,INDEX(tEIdxElec,23)*INDEX(elecAxH,1,7)*allOnes,OFFSET(tPrcElec,0,22,1,_maxLT))</f>
        <v>57578.119617854551</v>
      </c>
      <c r="AB144" s="28">
        <f ca="1">SUMPRODUCT(dFactor,tpSurvAxH,INDEX(tEIdxElec,24)*INDEX(elecAxH,1,7)*allOnes,OFFSET(tPrcElec,0,23,1,_maxLT))</f>
        <v>57813.583258435421</v>
      </c>
      <c r="AC144" s="28">
        <f ca="1">SUMPRODUCT(dFactor,tpSurvAxH,INDEX(tEIdxElec,25)*INDEX(elecAxH,1,7)*allOnes,OFFSET(tPrcElec,0,24,1,_maxLT))</f>
        <v>58022.859191464238</v>
      </c>
      <c r="AD144" s="28">
        <f ca="1">SUMPRODUCT(dFactor,tpSurvAxH,INDEX(tEIdxElec,26)*INDEX(elecAxH,1,7)*allOnes,OFFSET(tPrcElec,0,25,1,_maxLT))</f>
        <v>58251.351482229402</v>
      </c>
      <c r="AE144" s="28">
        <f ca="1">SUMPRODUCT(dFactor,tpSurvAxH,INDEX(tEIdxElec,27)*INDEX(elecAxH,1,7)*allOnes,OFFSET(tPrcElec,0,26,1,_maxLT))</f>
        <v>58500.206423382173</v>
      </c>
      <c r="AF144" s="28">
        <f ca="1">SUMPRODUCT(dFactor,tpSurvAxH,INDEX(tEIdxElec,28)*INDEX(elecAxH,1,7)*allOnes,OFFSET(tPrcElec,0,27,1,_maxLT))</f>
        <v>58724.009306769629</v>
      </c>
      <c r="AG144" s="28">
        <f ca="1">SUMPRODUCT(dFactor,tpSurvAxH,INDEX(tEIdxElec,29)*INDEX(elecAxH,1,7)*allOnes,OFFSET(tPrcElec,0,28,1,_maxLT))</f>
        <v>58968.177121632354</v>
      </c>
      <c r="AH144" s="28">
        <f ca="1">SUMPRODUCT(dFactor,tpSurvAxH,INDEX(tEIdxElec,30)*INDEX(elecAxH,1,7)*allOnes,OFFSET(tPrcElec,0,29,1,_maxLT))</f>
        <v>59186.900829993843</v>
      </c>
      <c r="AI144" s="28">
        <f ca="1">SUMPRODUCT(dFactor,tpSurvAxH,INDEX(tEIdxElec,31)*INDEX(elecAxH,1,7)*allOnes,OFFSET(tPrcElec,0,30,1,_maxLT))</f>
        <v>59425.6471250213</v>
      </c>
      <c r="AJ144" s="28">
        <f ca="1">SUMPRODUCT(dFactor,tpSurvAxH,INDEX(tEIdxElec,32)*INDEX(elecAxH,1,7)*allOnes,OFFSET(tPrcElec,0,31,1,_maxLT))</f>
        <v>59638.587816925938</v>
      </c>
      <c r="AK144" s="29">
        <f ca="1">SUMPRODUCT(dFactor,tpSurvAxH,INDEX(tEIdxElec,33)*INDEX(elecAxH,1,7)*allOnes,OFFSET(tPrcElec,0,32,1,_maxLT))</f>
        <v>59871.209510238026</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ts2bElec*SUMPRODUCT(tpSurvAxH,INDEX(tEIdxElec,1)*INDEX(elecAxH,1,7)*convFactor)</f>
        <v>11756.418036071052</v>
      </c>
      <c r="F146" s="22">
        <f ca="1">ts2bElec*SUMPRODUCT(tpSurvAxH,INDEX(tEIdxElec,2)*INDEX(elecAxH,1,7)*convFactor)</f>
        <v>11673.241265130955</v>
      </c>
      <c r="G146" s="22">
        <f ca="1">ts2bElec*SUMPRODUCT(tpSurvAxH,INDEX(tEIdxElec,3)*INDEX(elecAxH,1,7)*convFactor)</f>
        <v>11589.380142867018</v>
      </c>
      <c r="H146" s="22">
        <f ca="1">ts2bElec*SUMPRODUCT(tpSurvAxH,INDEX(tEIdxElec,4)*INDEX(elecAxH,1,7)*convFactor)</f>
        <v>11515.709193354003</v>
      </c>
      <c r="I146" s="22">
        <f ca="1">ts2bElec*SUMPRODUCT(tpSurvAxH,INDEX(tEIdxElec,5)*INDEX(elecAxH,1,7)*convFactor)</f>
        <v>11445.816363115415</v>
      </c>
      <c r="J146" s="22">
        <f ca="1">ts2bElec*SUMPRODUCT(tpSurvAxH,INDEX(tEIdxElec,6)*INDEX(elecAxH,1,7)*convFactor)</f>
        <v>11384.937158654531</v>
      </c>
      <c r="K146" s="22">
        <f ca="1">ts2bElec*SUMPRODUCT(tpSurvAxH,INDEX(tEIdxElec,7)*INDEX(elecAxH,1,7)*convFactor)</f>
        <v>11337.720011058489</v>
      </c>
      <c r="L146" s="22">
        <f ca="1">ts2bElec*SUMPRODUCT(tpSurvAxH,INDEX(tEIdxElec,8)*INDEX(elecAxH,1,7)*convFactor)</f>
        <v>11298.572192487911</v>
      </c>
      <c r="M146" s="22">
        <f ca="1">ts2bElec*SUMPRODUCT(tpSurvAxH,INDEX(tEIdxElec,9)*INDEX(elecAxH,1,7)*convFactor)</f>
        <v>11259.241164007828</v>
      </c>
      <c r="N146" s="22">
        <f ca="1">ts2bElec*SUMPRODUCT(tpSurvAxH,INDEX(tEIdxElec,10)*INDEX(elecAxH,1,7)*convFactor)</f>
        <v>11227.769057511296</v>
      </c>
      <c r="O146" s="22">
        <f ca="1">ts2bElec*SUMPRODUCT(tpSurvAxH,INDEX(tEIdxElec,11)*INDEX(elecAxH,1,7)*convFactor)</f>
        <v>11206.087350772967</v>
      </c>
      <c r="P146" s="22">
        <f ca="1">ts2bElec*SUMPRODUCT(tpSurvAxH,INDEX(tEIdxElec,12)*INDEX(elecAxH,1,7)*convFactor)</f>
        <v>11190.21345327318</v>
      </c>
      <c r="Q146" s="22">
        <f ca="1">ts2bElec*SUMPRODUCT(tpSurvAxH,INDEX(tEIdxElec,13)*INDEX(elecAxH,1,7)*convFactor)</f>
        <v>11176.853528114798</v>
      </c>
      <c r="R146" s="22">
        <f ca="1">ts2bElec*SUMPRODUCT(tpSurvAxH,INDEX(tEIdxElec,14)*INDEX(elecAxH,1,7)*convFactor)</f>
        <v>11166.9960466679</v>
      </c>
      <c r="S146" s="22">
        <f ca="1">ts2bElec*SUMPRODUCT(tpSurvAxH,INDEX(tEIdxElec,15)*INDEX(elecAxH,1,7)*convFactor)</f>
        <v>11159.483806341963</v>
      </c>
      <c r="T146" s="22">
        <f ca="1">ts2bElec*SUMPRODUCT(tpSurvAxH,INDEX(tEIdxElec,16)*INDEX(elecAxH,1,7)*convFactor)</f>
        <v>11158.536892158116</v>
      </c>
      <c r="U146" s="22">
        <f ca="1">ts2bElec*SUMPRODUCT(tpSurvAxH,INDEX(tEIdxElec,17)*INDEX(elecAxH,1,7)*convFactor)</f>
        <v>11160.459195910993</v>
      </c>
      <c r="V146" s="22">
        <f ca="1">ts2bElec*SUMPRODUCT(tpSurvAxH,INDEX(tEIdxElec,18)*INDEX(elecAxH,1,7)*convFactor)</f>
        <v>11163.288505035649</v>
      </c>
      <c r="W146" s="22">
        <f ca="1">ts2bElec*SUMPRODUCT(tpSurvAxH,INDEX(tEIdxElec,19)*INDEX(elecAxH,1,7)*convFactor)</f>
        <v>11167.334809079988</v>
      </c>
      <c r="X146" s="22">
        <f ca="1">ts2bElec*SUMPRODUCT(tpSurvAxH,INDEX(tEIdxElec,20)*INDEX(elecAxH,1,7)*convFactor)</f>
        <v>11171.158522936395</v>
      </c>
      <c r="Y146" s="22">
        <f ca="1">ts2bElec*SUMPRODUCT(tpSurvAxH,INDEX(tEIdxElec,21)*INDEX(elecAxH,1,7)*convFactor)</f>
        <v>11174.32667430672</v>
      </c>
      <c r="Z146" s="22">
        <f ca="1">ts2bElec*SUMPRODUCT(tpSurvAxH,INDEX(tEIdxElec,22)*INDEX(elecAxH,1,7)*convFactor)</f>
        <v>11176.449783661645</v>
      </c>
      <c r="AA146" s="22">
        <f ca="1">ts2bElec*SUMPRODUCT(tpSurvAxH,INDEX(tEIdxElec,23)*INDEX(elecAxH,1,7)*convFactor)</f>
        <v>11177.849054054726</v>
      </c>
      <c r="AB146" s="22">
        <f ca="1">ts2bElec*SUMPRODUCT(tpSurvAxH,INDEX(tEIdxElec,24)*INDEX(elecAxH,1,7)*convFactor)</f>
        <v>11177.849054054726</v>
      </c>
      <c r="AC146" s="22">
        <f ca="1">ts2bElec*SUMPRODUCT(tpSurvAxH,INDEX(tEIdxElec,25)*INDEX(elecAxH,1,7)*convFactor)</f>
        <v>11177.849054054726</v>
      </c>
      <c r="AD146" s="22">
        <f ca="1">ts2bElec*SUMPRODUCT(tpSurvAxH,INDEX(tEIdxElec,26)*INDEX(elecAxH,1,7)*convFactor)</f>
        <v>11177.849054054726</v>
      </c>
      <c r="AE146" s="22">
        <f ca="1">ts2bElec*SUMPRODUCT(tpSurvAxH,INDEX(tEIdxElec,27)*INDEX(elecAxH,1,7)*convFactor)</f>
        <v>11177.849054054726</v>
      </c>
      <c r="AF146" s="22">
        <f ca="1">ts2bElec*SUMPRODUCT(tpSurvAxH,INDEX(tEIdxElec,28)*INDEX(elecAxH,1,7)*convFactor)</f>
        <v>11177.849054054726</v>
      </c>
      <c r="AG146" s="22">
        <f ca="1">ts2bElec*SUMPRODUCT(tpSurvAxH,INDEX(tEIdxElec,29)*INDEX(elecAxH,1,7)*convFactor)</f>
        <v>11177.849054054726</v>
      </c>
      <c r="AH146" s="22">
        <f ca="1">ts2bElec*SUMPRODUCT(tpSurvAxH,INDEX(tEIdxElec,30)*INDEX(elecAxH,1,7)*convFactor)</f>
        <v>11177.849054054726</v>
      </c>
      <c r="AI146" s="22">
        <f ca="1">ts2bElec*SUMPRODUCT(tpSurvAxH,INDEX(tEIdxElec,31)*INDEX(elecAxH,1,7)*convFactor)</f>
        <v>11177.849054054726</v>
      </c>
      <c r="AJ146" s="22">
        <f ca="1">ts2bElec*SUMPRODUCT(tpSurvAxH,INDEX(tEIdxElec,32)*INDEX(elecAxH,1,7)*convFactor)</f>
        <v>11177.849054054726</v>
      </c>
      <c r="AK146" s="25">
        <f ca="1">ts2bElec*SUMPRODUCT(tpSurvAxH,INDEX(tEIdxElec,33)*INDEX(elecAxH,1,7)*convFactor)</f>
        <v>11177.849054054726</v>
      </c>
      <c r="AL146" s="3"/>
    </row>
    <row r="147" spans="2:38">
      <c r="B147" s="3"/>
      <c r="C147" s="33" t="str">
        <f>"Std (CSL " &amp; stdCSL &amp; "): " &amp; INDEX(_doName,1,stdCSL+1)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INDEX(_doName,1,1)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(1+INDEX(vadAxH,stdCSL+1,1))*INDEX(mspAxH,stdCSL+1,1)*tPIdxAll + INDEX(instAxH,stdCSL+1,1) + SUMPRODUCT(dFactor,tpSurvAxH,INDEX(mrAxH,stdCSL+1,1)*allOnes)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SUMPRODUCT(dFactor,tpSurvAxH,INDEX(tEIdxElec,1)*INDEX(elecAxH,stdCSL+1,1)*allOnes,OFFSET(tPrcElec,0,0,1,_maxLT))</f>
        <v>0</v>
      </c>
      <c r="F151" s="28">
        <f ca="1">SUMPRODUCT(dFactor,tpSurvAxH,INDEX(tEIdxElec,2)*INDEX(elecAxH,stdCSL+1,1)*allOnes,OFFSET(tPrcElec,0,1,1,_maxLT))</f>
        <v>0</v>
      </c>
      <c r="G151" s="28">
        <f ca="1">SUMPRODUCT(dFactor,tpSurvAxH,INDEX(tEIdxElec,3)*INDEX(elecAxH,stdCSL+1,1)*allOnes,OFFSET(tPrcElec,0,2,1,_maxLT))</f>
        <v>0</v>
      </c>
      <c r="H151" s="28">
        <f ca="1">SUMPRODUCT(dFactor,tpSurvAxH,INDEX(tEIdxElec,4)*INDEX(elecAxH,stdCSL+1,1)*allOnes,OFFSET(tPrcElec,0,3,1,_maxLT))</f>
        <v>0</v>
      </c>
      <c r="I151" s="28">
        <f ca="1">SUMPRODUCT(dFactor,tpSurvAxH,INDEX(tEIdxElec,5)*INDEX(elecAxH,stdCSL+1,1)*allOnes,OFFSET(tPrcElec,0,4,1,_maxLT))</f>
        <v>0</v>
      </c>
      <c r="J151" s="28">
        <f ca="1">SUMPRODUCT(dFactor,tpSurvAxH,INDEX(tEIdxElec,6)*INDEX(elecAxH,stdCSL+1,1)*allOnes,OFFSET(tPrcElec,0,5,1,_maxLT))</f>
        <v>0</v>
      </c>
      <c r="K151" s="28">
        <f ca="1">SUMPRODUCT(dFactor,tpSurvAxH,INDEX(tEIdxElec,7)*INDEX(elecAxH,stdCSL+1,1)*allOnes,OFFSET(tPrcElec,0,6,1,_maxLT))</f>
        <v>0</v>
      </c>
      <c r="L151" s="28">
        <f ca="1">SUMPRODUCT(dFactor,tpSurvAxH,INDEX(tEIdxElec,8)*INDEX(elecAxH,stdCSL+1,1)*allOnes,OFFSET(tPrcElec,0,7,1,_maxLT))</f>
        <v>0</v>
      </c>
      <c r="M151" s="28">
        <f ca="1">SUMPRODUCT(dFactor,tpSurvAxH,INDEX(tEIdxElec,9)*INDEX(elecAxH,stdCSL+1,1)*allOnes,OFFSET(tPrcElec,0,8,1,_maxLT))</f>
        <v>0</v>
      </c>
      <c r="N151" s="28">
        <f ca="1">SUMPRODUCT(dFactor,tpSurvAxH,INDEX(tEIdxElec,10)*INDEX(elecAxH,stdCSL+1,1)*allOnes,OFFSET(tPrcElec,0,9,1,_maxLT))</f>
        <v>0</v>
      </c>
      <c r="O151" s="28">
        <f ca="1">SUMPRODUCT(dFactor,tpSurvAxH,INDEX(tEIdxElec,11)*INDEX(elecAxH,stdCSL+1,1)*allOnes,OFFSET(tPrcElec,0,10,1,_maxLT))</f>
        <v>0</v>
      </c>
      <c r="P151" s="28">
        <f ca="1">SUMPRODUCT(dFactor,tpSurvAxH,INDEX(tEIdxElec,12)*INDEX(elecAxH,stdCSL+1,1)*allOnes,OFFSET(tPrcElec,0,11,1,_maxLT))</f>
        <v>0</v>
      </c>
      <c r="Q151" s="28">
        <f ca="1">SUMPRODUCT(dFactor,tpSurvAxH,INDEX(tEIdxElec,13)*INDEX(elecAxH,stdCSL+1,1)*allOnes,OFFSET(tPrcElec,0,12,1,_maxLT))</f>
        <v>0</v>
      </c>
      <c r="R151" s="28">
        <f ca="1">SUMPRODUCT(dFactor,tpSurvAxH,INDEX(tEIdxElec,14)*INDEX(elecAxH,stdCSL+1,1)*allOnes,OFFSET(tPrcElec,0,13,1,_maxLT))</f>
        <v>0</v>
      </c>
      <c r="S151" s="28">
        <f ca="1">SUMPRODUCT(dFactor,tpSurvAxH,INDEX(tEIdxElec,15)*INDEX(elecAxH,stdCSL+1,1)*allOnes,OFFSET(tPrcElec,0,14,1,_maxLT))</f>
        <v>0</v>
      </c>
      <c r="T151" s="28">
        <f ca="1">SUMPRODUCT(dFactor,tpSurvAxH,INDEX(tEIdxElec,16)*INDEX(elecAxH,stdCSL+1,1)*allOnes,OFFSET(tPrcElec,0,15,1,_maxLT))</f>
        <v>0</v>
      </c>
      <c r="U151" s="28">
        <f ca="1">SUMPRODUCT(dFactor,tpSurvAxH,INDEX(tEIdxElec,17)*INDEX(elecAxH,stdCSL+1,1)*allOnes,OFFSET(tPrcElec,0,16,1,_maxLT))</f>
        <v>0</v>
      </c>
      <c r="V151" s="28">
        <f ca="1">SUMPRODUCT(dFactor,tpSurvAxH,INDEX(tEIdxElec,18)*INDEX(elecAxH,stdCSL+1,1)*allOnes,OFFSET(tPrcElec,0,17,1,_maxLT))</f>
        <v>0</v>
      </c>
      <c r="W151" s="28">
        <f ca="1">SUMPRODUCT(dFactor,tpSurvAxH,INDEX(tEIdxElec,19)*INDEX(elecAxH,stdCSL+1,1)*allOnes,OFFSET(tPrcElec,0,18,1,_maxLT))</f>
        <v>0</v>
      </c>
      <c r="X151" s="28">
        <f ca="1">SUMPRODUCT(dFactor,tpSurvAxH,INDEX(tEIdxElec,20)*INDEX(elecAxH,stdCSL+1,1)*allOnes,OFFSET(tPrcElec,0,19,1,_maxLT))</f>
        <v>0</v>
      </c>
      <c r="Y151" s="28">
        <f ca="1">SUMPRODUCT(dFactor,tpSurvAxH,INDEX(tEIdxElec,21)*INDEX(elecAxH,stdCSL+1,1)*allOnes,OFFSET(tPrcElec,0,20,1,_maxLT))</f>
        <v>0</v>
      </c>
      <c r="Z151" s="28">
        <f ca="1">SUMPRODUCT(dFactor,tpSurvAxH,INDEX(tEIdxElec,22)*INDEX(elecAxH,stdCSL+1,1)*allOnes,OFFSET(tPrcElec,0,21,1,_maxLT))</f>
        <v>0</v>
      </c>
      <c r="AA151" s="28">
        <f ca="1">SUMPRODUCT(dFactor,tpSurvAxH,INDEX(tEIdxElec,23)*INDEX(elecAxH,stdCSL+1,1)*allOnes,OFFSET(tPrcElec,0,22,1,_maxLT))</f>
        <v>0</v>
      </c>
      <c r="AB151" s="28">
        <f ca="1">SUMPRODUCT(dFactor,tpSurvAxH,INDEX(tEIdxElec,24)*INDEX(elecAxH,stdCSL+1,1)*allOnes,OFFSET(tPrcElec,0,23,1,_maxLT))</f>
        <v>0</v>
      </c>
      <c r="AC151" s="28">
        <f ca="1">SUMPRODUCT(dFactor,tpSurvAxH,INDEX(tEIdxElec,25)*INDEX(elecAxH,stdCSL+1,1)*allOnes,OFFSET(tPrcElec,0,24,1,_maxLT))</f>
        <v>0</v>
      </c>
      <c r="AD151" s="28">
        <f ca="1">SUMPRODUCT(dFactor,tpSurvAxH,INDEX(tEIdxElec,26)*INDEX(elecAxH,stdCSL+1,1)*allOnes,OFFSET(tPrcElec,0,25,1,_maxLT))</f>
        <v>0</v>
      </c>
      <c r="AE151" s="28">
        <f ca="1">SUMPRODUCT(dFactor,tpSurvAxH,INDEX(tEIdxElec,27)*INDEX(elecAxH,stdCSL+1,1)*allOnes,OFFSET(tPrcElec,0,26,1,_maxLT))</f>
        <v>0</v>
      </c>
      <c r="AF151" s="28">
        <f ca="1">SUMPRODUCT(dFactor,tpSurvAxH,INDEX(tEIdxElec,28)*INDEX(elecAxH,stdCSL+1,1)*allOnes,OFFSET(tPrcElec,0,27,1,_maxLT))</f>
        <v>0</v>
      </c>
      <c r="AG151" s="28">
        <f ca="1">SUMPRODUCT(dFactor,tpSurvAxH,INDEX(tEIdxElec,29)*INDEX(elecAxH,stdCSL+1,1)*allOnes,OFFSET(tPrcElec,0,28,1,_maxLT))</f>
        <v>0</v>
      </c>
      <c r="AH151" s="28">
        <f ca="1">SUMPRODUCT(dFactor,tpSurvAxH,INDEX(tEIdxElec,30)*INDEX(elecAxH,stdCSL+1,1)*allOnes,OFFSET(tPrcElec,0,29,1,_maxLT))</f>
        <v>0</v>
      </c>
      <c r="AI151" s="28">
        <f ca="1">SUMPRODUCT(dFactor,tpSurvAxH,INDEX(tEIdxElec,31)*INDEX(elecAxH,stdCSL+1,1)*allOnes,OFFSET(tPrcElec,0,30,1,_maxLT))</f>
        <v>0</v>
      </c>
      <c r="AJ151" s="28">
        <f ca="1">SUMPRODUCT(dFactor,tpSurvAxH,INDEX(tEIdxElec,32)*INDEX(elecAxH,stdCSL+1,1)*allOnes,OFFSET(tPrcElec,0,31,1,_maxLT))</f>
        <v>0</v>
      </c>
      <c r="AK151" s="29">
        <f ca="1">SUMPRODUCT(dFactor,tpSurvAxH,INDEX(tEIdxElec,33)*INDEX(elecAxH,stdCSL+1,1)*allOnes,OFFSET(tPrcElec,0,32,1,_maxLT))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ts2bElec*SUMPRODUCT(tpSurvAxH,INDEX(tEIdxElec,1)*INDEX(elecAxH,stdCSL+1,1)*convFactor)</f>
        <v>0</v>
      </c>
      <c r="F153" s="22">
        <f ca="1">ts2bElec*SUMPRODUCT(tpSurvAxH,INDEX(tEIdxElec,2)*INDEX(elecAxH,stdCSL+1,1)*convFactor)</f>
        <v>0</v>
      </c>
      <c r="G153" s="22">
        <f ca="1">ts2bElec*SUMPRODUCT(tpSurvAxH,INDEX(tEIdxElec,3)*INDEX(elecAxH,stdCSL+1,1)*convFactor)</f>
        <v>0</v>
      </c>
      <c r="H153" s="22">
        <f ca="1">ts2bElec*SUMPRODUCT(tpSurvAxH,INDEX(tEIdxElec,4)*INDEX(elecAxH,stdCSL+1,1)*convFactor)</f>
        <v>0</v>
      </c>
      <c r="I153" s="22">
        <f ca="1">ts2bElec*SUMPRODUCT(tpSurvAxH,INDEX(tEIdxElec,5)*INDEX(elecAxH,stdCSL+1,1)*convFactor)</f>
        <v>0</v>
      </c>
      <c r="J153" s="22">
        <f ca="1">ts2bElec*SUMPRODUCT(tpSurvAxH,INDEX(tEIdxElec,6)*INDEX(elecAxH,stdCSL+1,1)*convFactor)</f>
        <v>0</v>
      </c>
      <c r="K153" s="22">
        <f ca="1">ts2bElec*SUMPRODUCT(tpSurvAxH,INDEX(tEIdxElec,7)*INDEX(elecAxH,stdCSL+1,1)*convFactor)</f>
        <v>0</v>
      </c>
      <c r="L153" s="22">
        <f ca="1">ts2bElec*SUMPRODUCT(tpSurvAxH,INDEX(tEIdxElec,8)*INDEX(elecAxH,stdCSL+1,1)*convFactor)</f>
        <v>0</v>
      </c>
      <c r="M153" s="22">
        <f ca="1">ts2bElec*SUMPRODUCT(tpSurvAxH,INDEX(tEIdxElec,9)*INDEX(elecAxH,stdCSL+1,1)*convFactor)</f>
        <v>0</v>
      </c>
      <c r="N153" s="22">
        <f ca="1">ts2bElec*SUMPRODUCT(tpSurvAxH,INDEX(tEIdxElec,10)*INDEX(elecAxH,stdCSL+1,1)*convFactor)</f>
        <v>0</v>
      </c>
      <c r="O153" s="22">
        <f ca="1">ts2bElec*SUMPRODUCT(tpSurvAxH,INDEX(tEIdxElec,11)*INDEX(elecAxH,stdCSL+1,1)*convFactor)</f>
        <v>0</v>
      </c>
      <c r="P153" s="22">
        <f ca="1">ts2bElec*SUMPRODUCT(tpSurvAxH,INDEX(tEIdxElec,12)*INDEX(elecAxH,stdCSL+1,1)*convFactor)</f>
        <v>0</v>
      </c>
      <c r="Q153" s="22">
        <f ca="1">ts2bElec*SUMPRODUCT(tpSurvAxH,INDEX(tEIdxElec,13)*INDEX(elecAxH,stdCSL+1,1)*convFactor)</f>
        <v>0</v>
      </c>
      <c r="R153" s="22">
        <f ca="1">ts2bElec*SUMPRODUCT(tpSurvAxH,INDEX(tEIdxElec,14)*INDEX(elecAxH,stdCSL+1,1)*convFactor)</f>
        <v>0</v>
      </c>
      <c r="S153" s="22">
        <f ca="1">ts2bElec*SUMPRODUCT(tpSurvAxH,INDEX(tEIdxElec,15)*INDEX(elecAxH,stdCSL+1,1)*convFactor)</f>
        <v>0</v>
      </c>
      <c r="T153" s="22">
        <f ca="1">ts2bElec*SUMPRODUCT(tpSurvAxH,INDEX(tEIdxElec,16)*INDEX(elecAxH,stdCSL+1,1)*convFactor)</f>
        <v>0</v>
      </c>
      <c r="U153" s="22">
        <f ca="1">ts2bElec*SUMPRODUCT(tpSurvAxH,INDEX(tEIdxElec,17)*INDEX(elecAxH,stdCSL+1,1)*convFactor)</f>
        <v>0</v>
      </c>
      <c r="V153" s="22">
        <f ca="1">ts2bElec*SUMPRODUCT(tpSurvAxH,INDEX(tEIdxElec,18)*INDEX(elecAxH,stdCSL+1,1)*convFactor)</f>
        <v>0</v>
      </c>
      <c r="W153" s="22">
        <f ca="1">ts2bElec*SUMPRODUCT(tpSurvAxH,INDEX(tEIdxElec,19)*INDEX(elecAxH,stdCSL+1,1)*convFactor)</f>
        <v>0</v>
      </c>
      <c r="X153" s="22">
        <f ca="1">ts2bElec*SUMPRODUCT(tpSurvAxH,INDEX(tEIdxElec,20)*INDEX(elecAxH,stdCSL+1,1)*convFactor)</f>
        <v>0</v>
      </c>
      <c r="Y153" s="22">
        <f ca="1">ts2bElec*SUMPRODUCT(tpSurvAxH,INDEX(tEIdxElec,21)*INDEX(elecAxH,stdCSL+1,1)*convFactor)</f>
        <v>0</v>
      </c>
      <c r="Z153" s="22">
        <f ca="1">ts2bElec*SUMPRODUCT(tpSurvAxH,INDEX(tEIdxElec,22)*INDEX(elecAxH,stdCSL+1,1)*convFactor)</f>
        <v>0</v>
      </c>
      <c r="AA153" s="22">
        <f ca="1">ts2bElec*SUMPRODUCT(tpSurvAxH,INDEX(tEIdxElec,23)*INDEX(elecAxH,stdCSL+1,1)*convFactor)</f>
        <v>0</v>
      </c>
      <c r="AB153" s="22">
        <f ca="1">ts2bElec*SUMPRODUCT(tpSurvAxH,INDEX(tEIdxElec,24)*INDEX(elecAxH,stdCSL+1,1)*convFactor)</f>
        <v>0</v>
      </c>
      <c r="AC153" s="22">
        <f ca="1">ts2bElec*SUMPRODUCT(tpSurvAxH,INDEX(tEIdxElec,25)*INDEX(elecAxH,stdCSL+1,1)*convFactor)</f>
        <v>0</v>
      </c>
      <c r="AD153" s="22">
        <f ca="1">ts2bElec*SUMPRODUCT(tpSurvAxH,INDEX(tEIdxElec,26)*INDEX(elecAxH,stdCSL+1,1)*convFactor)</f>
        <v>0</v>
      </c>
      <c r="AE153" s="22">
        <f ca="1">ts2bElec*SUMPRODUCT(tpSurvAxH,INDEX(tEIdxElec,27)*INDEX(elecAxH,stdCSL+1,1)*convFactor)</f>
        <v>0</v>
      </c>
      <c r="AF153" s="22">
        <f ca="1">ts2bElec*SUMPRODUCT(tpSurvAxH,INDEX(tEIdxElec,28)*INDEX(elecAxH,stdCSL+1,1)*convFactor)</f>
        <v>0</v>
      </c>
      <c r="AG153" s="22">
        <f ca="1">ts2bElec*SUMPRODUCT(tpSurvAxH,INDEX(tEIdxElec,29)*INDEX(elecAxH,stdCSL+1,1)*convFactor)</f>
        <v>0</v>
      </c>
      <c r="AH153" s="22">
        <f ca="1">ts2bElec*SUMPRODUCT(tpSurvAxH,INDEX(tEIdxElec,30)*INDEX(elecAxH,stdCSL+1,1)*convFactor)</f>
        <v>0</v>
      </c>
      <c r="AI153" s="22">
        <f ca="1">ts2bElec*SUMPRODUCT(tpSurvAxH,INDEX(tEIdxElec,31)*INDEX(elecAxH,stdCSL+1,1)*convFactor)</f>
        <v>0</v>
      </c>
      <c r="AJ153" s="22">
        <f ca="1">ts2bElec*SUMPRODUCT(tpSurvAxH,INDEX(tEIdxElec,32)*INDEX(elecAxH,stdCSL+1,1)*convFactor)</f>
        <v>0</v>
      </c>
      <c r="AK153" s="25">
        <f ca="1">ts2bElec*SUMPRODUCT(tpSurvAxH,INDEX(tEIdxElec,33)*INDEX(elecAxH,stdCSL+1,1)*convFactor)</f>
        <v>0</v>
      </c>
      <c r="AL153" s="3"/>
    </row>
    <row r="154" spans="2:38">
      <c r="B154" s="3"/>
      <c r="C154" s="30" t="str">
        <f>"EL 1: " &amp; INDEX(_doName,1,2)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(1+INDEX(vadAxH,stdCSL+1,2))*INDEX(mspAxH,stdCSL+1,2)*tPIdxAll + INDEX(instAxH,stdCSL+1,2) + SUMPRODUCT(dFactor,tpSurvAxH,INDEX(mrAxH,stdCSL+1,2)*allOnes)</f>
        <v>3390.3034720000001</v>
      </c>
      <c r="F155" s="28">
        <f ca="1"/>
        <v>3390.3034720000001</v>
      </c>
      <c r="G155" s="28">
        <f ca="1"/>
        <v>3390.3034720000001</v>
      </c>
      <c r="H155" s="28">
        <f ca="1"/>
        <v>3390.3034720000001</v>
      </c>
      <c r="I155" s="28">
        <f ca="1"/>
        <v>3390.3034720000001</v>
      </c>
      <c r="J155" s="28">
        <f ca="1"/>
        <v>3390.3034720000001</v>
      </c>
      <c r="K155" s="28">
        <f ca="1"/>
        <v>3390.3034720000001</v>
      </c>
      <c r="L155" s="28">
        <f ca="1"/>
        <v>3390.3034720000001</v>
      </c>
      <c r="M155" s="28">
        <f ca="1"/>
        <v>3390.3034720000001</v>
      </c>
      <c r="N155" s="28">
        <f ca="1"/>
        <v>3390.3034720000001</v>
      </c>
      <c r="O155" s="28">
        <f ca="1"/>
        <v>3390.3034720000001</v>
      </c>
      <c r="P155" s="28">
        <f ca="1"/>
        <v>3390.3034720000001</v>
      </c>
      <c r="Q155" s="28">
        <f ca="1"/>
        <v>3390.3034720000001</v>
      </c>
      <c r="R155" s="28">
        <f ca="1"/>
        <v>3390.3034720000001</v>
      </c>
      <c r="S155" s="28">
        <f ca="1"/>
        <v>3390.3034720000001</v>
      </c>
      <c r="T155" s="28">
        <f ca="1"/>
        <v>3390.3034720000001</v>
      </c>
      <c r="U155" s="28">
        <f ca="1"/>
        <v>3390.3034720000001</v>
      </c>
      <c r="V155" s="28">
        <f ca="1"/>
        <v>3390.3034720000001</v>
      </c>
      <c r="W155" s="28">
        <f ca="1"/>
        <v>3390.3034720000001</v>
      </c>
      <c r="X155" s="28">
        <f ca="1"/>
        <v>3390.3034720000001</v>
      </c>
      <c r="Y155" s="28">
        <f ca="1"/>
        <v>3390.3034720000001</v>
      </c>
      <c r="Z155" s="28">
        <f ca="1"/>
        <v>3390.3034720000001</v>
      </c>
      <c r="AA155" s="28">
        <f ca="1"/>
        <v>3390.3034720000001</v>
      </c>
      <c r="AB155" s="28">
        <f ca="1"/>
        <v>3390.3034720000001</v>
      </c>
      <c r="AC155" s="28">
        <f ca="1"/>
        <v>3390.3034720000001</v>
      </c>
      <c r="AD155" s="28">
        <f ca="1"/>
        <v>3390.3034720000001</v>
      </c>
      <c r="AE155" s="28">
        <f ca="1"/>
        <v>3390.3034720000001</v>
      </c>
      <c r="AF155" s="28">
        <f ca="1"/>
        <v>3390.3034720000001</v>
      </c>
      <c r="AG155" s="28">
        <f ca="1"/>
        <v>3390.3034720000001</v>
      </c>
      <c r="AH155" s="28">
        <f ca="1"/>
        <v>3390.3034720000001</v>
      </c>
      <c r="AI155" s="28">
        <f ca="1"/>
        <v>3390.3034720000001</v>
      </c>
      <c r="AJ155" s="28">
        <f ca="1"/>
        <v>3390.3034720000001</v>
      </c>
      <c r="AK155" s="29">
        <f ca="1"/>
        <v>3390.3034720000001</v>
      </c>
      <c r="AL155" s="3"/>
    </row>
    <row r="156" spans="2:38">
      <c r="B156" s="3"/>
      <c r="C156" s="23" t="s">
        <v>47</v>
      </c>
      <c r="D156" s="16" t="str">
        <f>_yearDol &amp; "$"</f>
        <v>2013$</v>
      </c>
      <c r="E156" s="141">
        <f t="array" aca="1" ref="E156:AK156" ca="1">(tlccEFupolElec1)</f>
        <v>35741.821773048752</v>
      </c>
      <c r="F156" s="28">
        <f ca="1"/>
        <v>35899.154973104181</v>
      </c>
      <c r="G156" s="28">
        <f ca="1"/>
        <v>36038.454403017859</v>
      </c>
      <c r="H156" s="28">
        <f ca="1"/>
        <v>36190.282088083368</v>
      </c>
      <c r="I156" s="28">
        <f ca="1"/>
        <v>36323.712427604667</v>
      </c>
      <c r="J156" s="28">
        <f ca="1"/>
        <v>36469.296914088322</v>
      </c>
      <c r="K156" s="28">
        <f ca="1"/>
        <v>36596.097747691791</v>
      </c>
      <c r="L156" s="28">
        <f ca="1"/>
        <v>36734.59261555969</v>
      </c>
      <c r="M156" s="28">
        <f ca="1"/>
        <v>36885.604066290354</v>
      </c>
      <c r="N156" s="28">
        <f ca="1"/>
        <v>37018.232308199069</v>
      </c>
      <c r="O156" s="28">
        <f ca="1"/>
        <v>37162.985716525101</v>
      </c>
      <c r="P156" s="28">
        <f ca="1"/>
        <v>37320.785332474385</v>
      </c>
      <c r="Q156" s="28">
        <f ca="1"/>
        <v>37460.688515516253</v>
      </c>
      <c r="R156" s="28">
        <f ca="1"/>
        <v>37613.255331412998</v>
      </c>
      <c r="S156" s="28">
        <f ca="1"/>
        <v>37747.620364969407</v>
      </c>
      <c r="T156" s="28">
        <f ca="1"/>
        <v>37894.284143217199</v>
      </c>
      <c r="U156" s="28">
        <f ca="1"/>
        <v>38054.251335203167</v>
      </c>
      <c r="V156" s="28">
        <f ca="1"/>
        <v>38196.513919797457</v>
      </c>
      <c r="W156" s="28">
        <f ca="1"/>
        <v>38351.735908004499</v>
      </c>
      <c r="X156" s="28">
        <f ca="1"/>
        <v>38488.969210483265</v>
      </c>
      <c r="Y156" s="28">
        <f ca="1"/>
        <v>38638.747397799518</v>
      </c>
      <c r="Z156" s="28">
        <f ca="1"/>
        <v>38802.127646827124</v>
      </c>
      <c r="AA156" s="28">
        <f ca="1"/>
        <v>38948.059537211302</v>
      </c>
      <c r="AB156" s="28">
        <f ca="1"/>
        <v>39107.336219969613</v>
      </c>
      <c r="AC156" s="28">
        <f ca="1"/>
        <v>39248.898527898556</v>
      </c>
      <c r="AD156" s="28">
        <f ca="1"/>
        <v>39403.45952092122</v>
      </c>
      <c r="AE156" s="28">
        <f ca="1"/>
        <v>39571.794595572435</v>
      </c>
      <c r="AF156" s="28">
        <f ca="1"/>
        <v>39723.183492685217</v>
      </c>
      <c r="AG156" s="28">
        <f ca="1"/>
        <v>39888.348014442105</v>
      </c>
      <c r="AH156" s="28">
        <f ca="1"/>
        <v>40036.301161783536</v>
      </c>
      <c r="AI156" s="28">
        <f ca="1"/>
        <v>40197.798358543907</v>
      </c>
      <c r="AJ156" s="28">
        <f ca="1"/>
        <v>40341.839650639609</v>
      </c>
      <c r="AK156" s="29">
        <f ca="1"/>
        <v>40499.19393071856</v>
      </c>
      <c r="AL156" s="3"/>
    </row>
    <row r="157" spans="2:38">
      <c r="B157" s="3"/>
      <c r="C157" s="27" t="str">
        <f>INDEX(_fuel,1)</f>
        <v>Electricity</v>
      </c>
      <c r="D157" s="16" t="str">
        <f>_yearDol &amp; "$"</f>
        <v>2013$</v>
      </c>
      <c r="E157" s="141">
        <f ca="1">SUMPRODUCT(dFactor,tpSurvAxH,INDEX(tEIdxElec,1)*INDEX(elecAxH,stdCSL+1,2)*allOnes,OFFSET(tPrcElec,0,0,1,_maxLT))</f>
        <v>35741.821773048752</v>
      </c>
      <c r="F157" s="28">
        <f ca="1">SUMPRODUCT(dFactor,tpSurvAxH,INDEX(tEIdxElec,2)*INDEX(elecAxH,stdCSL+1,2)*allOnes,OFFSET(tPrcElec,0,1,1,_maxLT))</f>
        <v>35899.154973104181</v>
      </c>
      <c r="G157" s="28">
        <f ca="1">SUMPRODUCT(dFactor,tpSurvAxH,INDEX(tEIdxElec,3)*INDEX(elecAxH,stdCSL+1,2)*allOnes,OFFSET(tPrcElec,0,2,1,_maxLT))</f>
        <v>36038.454403017859</v>
      </c>
      <c r="H157" s="28">
        <f ca="1">SUMPRODUCT(dFactor,tpSurvAxH,INDEX(tEIdxElec,4)*INDEX(elecAxH,stdCSL+1,2)*allOnes,OFFSET(tPrcElec,0,3,1,_maxLT))</f>
        <v>36190.282088083368</v>
      </c>
      <c r="I157" s="28">
        <f ca="1">SUMPRODUCT(dFactor,tpSurvAxH,INDEX(tEIdxElec,5)*INDEX(elecAxH,stdCSL+1,2)*allOnes,OFFSET(tPrcElec,0,4,1,_maxLT))</f>
        <v>36323.712427604667</v>
      </c>
      <c r="J157" s="28">
        <f ca="1">SUMPRODUCT(dFactor,tpSurvAxH,INDEX(tEIdxElec,6)*INDEX(elecAxH,stdCSL+1,2)*allOnes,OFFSET(tPrcElec,0,5,1,_maxLT))</f>
        <v>36469.296914088322</v>
      </c>
      <c r="K157" s="28">
        <f ca="1">SUMPRODUCT(dFactor,tpSurvAxH,INDEX(tEIdxElec,7)*INDEX(elecAxH,stdCSL+1,2)*allOnes,OFFSET(tPrcElec,0,6,1,_maxLT))</f>
        <v>36596.097747691791</v>
      </c>
      <c r="L157" s="28">
        <f ca="1">SUMPRODUCT(dFactor,tpSurvAxH,INDEX(tEIdxElec,8)*INDEX(elecAxH,stdCSL+1,2)*allOnes,OFFSET(tPrcElec,0,7,1,_maxLT))</f>
        <v>36734.59261555969</v>
      </c>
      <c r="M157" s="28">
        <f ca="1">SUMPRODUCT(dFactor,tpSurvAxH,INDEX(tEIdxElec,9)*INDEX(elecAxH,stdCSL+1,2)*allOnes,OFFSET(tPrcElec,0,8,1,_maxLT))</f>
        <v>36885.604066290354</v>
      </c>
      <c r="N157" s="28">
        <f ca="1">SUMPRODUCT(dFactor,tpSurvAxH,INDEX(tEIdxElec,10)*INDEX(elecAxH,stdCSL+1,2)*allOnes,OFFSET(tPrcElec,0,9,1,_maxLT))</f>
        <v>37018.232308199069</v>
      </c>
      <c r="O157" s="28">
        <f ca="1">SUMPRODUCT(dFactor,tpSurvAxH,INDEX(tEIdxElec,11)*INDEX(elecAxH,stdCSL+1,2)*allOnes,OFFSET(tPrcElec,0,10,1,_maxLT))</f>
        <v>37162.985716525101</v>
      </c>
      <c r="P157" s="28">
        <f ca="1">SUMPRODUCT(dFactor,tpSurvAxH,INDEX(tEIdxElec,12)*INDEX(elecAxH,stdCSL+1,2)*allOnes,OFFSET(tPrcElec,0,11,1,_maxLT))</f>
        <v>37320.785332474385</v>
      </c>
      <c r="Q157" s="28">
        <f ca="1">SUMPRODUCT(dFactor,tpSurvAxH,INDEX(tEIdxElec,13)*INDEX(elecAxH,stdCSL+1,2)*allOnes,OFFSET(tPrcElec,0,12,1,_maxLT))</f>
        <v>37460.688515516253</v>
      </c>
      <c r="R157" s="28">
        <f ca="1">SUMPRODUCT(dFactor,tpSurvAxH,INDEX(tEIdxElec,14)*INDEX(elecAxH,stdCSL+1,2)*allOnes,OFFSET(tPrcElec,0,13,1,_maxLT))</f>
        <v>37613.255331412998</v>
      </c>
      <c r="S157" s="28">
        <f ca="1">SUMPRODUCT(dFactor,tpSurvAxH,INDEX(tEIdxElec,15)*INDEX(elecAxH,stdCSL+1,2)*allOnes,OFFSET(tPrcElec,0,14,1,_maxLT))</f>
        <v>37747.620364969407</v>
      </c>
      <c r="T157" s="28">
        <f ca="1">SUMPRODUCT(dFactor,tpSurvAxH,INDEX(tEIdxElec,16)*INDEX(elecAxH,stdCSL+1,2)*allOnes,OFFSET(tPrcElec,0,15,1,_maxLT))</f>
        <v>37894.284143217199</v>
      </c>
      <c r="U157" s="28">
        <f ca="1">SUMPRODUCT(dFactor,tpSurvAxH,INDEX(tEIdxElec,17)*INDEX(elecAxH,stdCSL+1,2)*allOnes,OFFSET(tPrcElec,0,16,1,_maxLT))</f>
        <v>38054.251335203167</v>
      </c>
      <c r="V157" s="28">
        <f ca="1">SUMPRODUCT(dFactor,tpSurvAxH,INDEX(tEIdxElec,18)*INDEX(elecAxH,stdCSL+1,2)*allOnes,OFFSET(tPrcElec,0,17,1,_maxLT))</f>
        <v>38196.513919797457</v>
      </c>
      <c r="W157" s="28">
        <f ca="1">SUMPRODUCT(dFactor,tpSurvAxH,INDEX(tEIdxElec,19)*INDEX(elecAxH,stdCSL+1,2)*allOnes,OFFSET(tPrcElec,0,18,1,_maxLT))</f>
        <v>38351.735908004499</v>
      </c>
      <c r="X157" s="28">
        <f ca="1">SUMPRODUCT(dFactor,tpSurvAxH,INDEX(tEIdxElec,20)*INDEX(elecAxH,stdCSL+1,2)*allOnes,OFFSET(tPrcElec,0,19,1,_maxLT))</f>
        <v>38488.969210483265</v>
      </c>
      <c r="Y157" s="28">
        <f ca="1">SUMPRODUCT(dFactor,tpSurvAxH,INDEX(tEIdxElec,21)*INDEX(elecAxH,stdCSL+1,2)*allOnes,OFFSET(tPrcElec,0,20,1,_maxLT))</f>
        <v>38638.747397799518</v>
      </c>
      <c r="Z157" s="28">
        <f ca="1">SUMPRODUCT(dFactor,tpSurvAxH,INDEX(tEIdxElec,22)*INDEX(elecAxH,stdCSL+1,2)*allOnes,OFFSET(tPrcElec,0,21,1,_maxLT))</f>
        <v>38802.127646827124</v>
      </c>
      <c r="AA157" s="28">
        <f ca="1">SUMPRODUCT(dFactor,tpSurvAxH,INDEX(tEIdxElec,23)*INDEX(elecAxH,stdCSL+1,2)*allOnes,OFFSET(tPrcElec,0,22,1,_maxLT))</f>
        <v>38948.059537211302</v>
      </c>
      <c r="AB157" s="28">
        <f ca="1">SUMPRODUCT(dFactor,tpSurvAxH,INDEX(tEIdxElec,24)*INDEX(elecAxH,stdCSL+1,2)*allOnes,OFFSET(tPrcElec,0,23,1,_maxLT))</f>
        <v>39107.336219969613</v>
      </c>
      <c r="AC157" s="28">
        <f ca="1">SUMPRODUCT(dFactor,tpSurvAxH,INDEX(tEIdxElec,25)*INDEX(elecAxH,stdCSL+1,2)*allOnes,OFFSET(tPrcElec,0,24,1,_maxLT))</f>
        <v>39248.898527898556</v>
      </c>
      <c r="AD157" s="28">
        <f ca="1">SUMPRODUCT(dFactor,tpSurvAxH,INDEX(tEIdxElec,26)*INDEX(elecAxH,stdCSL+1,2)*allOnes,OFFSET(tPrcElec,0,25,1,_maxLT))</f>
        <v>39403.45952092122</v>
      </c>
      <c r="AE157" s="28">
        <f ca="1">SUMPRODUCT(dFactor,tpSurvAxH,INDEX(tEIdxElec,27)*INDEX(elecAxH,stdCSL+1,2)*allOnes,OFFSET(tPrcElec,0,26,1,_maxLT))</f>
        <v>39571.794595572435</v>
      </c>
      <c r="AF157" s="28">
        <f ca="1">SUMPRODUCT(dFactor,tpSurvAxH,INDEX(tEIdxElec,28)*INDEX(elecAxH,stdCSL+1,2)*allOnes,OFFSET(tPrcElec,0,27,1,_maxLT))</f>
        <v>39723.183492685217</v>
      </c>
      <c r="AG157" s="28">
        <f ca="1">SUMPRODUCT(dFactor,tpSurvAxH,INDEX(tEIdxElec,29)*INDEX(elecAxH,stdCSL+1,2)*allOnes,OFFSET(tPrcElec,0,28,1,_maxLT))</f>
        <v>39888.348014442105</v>
      </c>
      <c r="AH157" s="28">
        <f ca="1">SUMPRODUCT(dFactor,tpSurvAxH,INDEX(tEIdxElec,30)*INDEX(elecAxH,stdCSL+1,2)*allOnes,OFFSET(tPrcElec,0,29,1,_maxLT))</f>
        <v>40036.301161783536</v>
      </c>
      <c r="AI157" s="28">
        <f ca="1">SUMPRODUCT(dFactor,tpSurvAxH,INDEX(tEIdxElec,31)*INDEX(elecAxH,stdCSL+1,2)*allOnes,OFFSET(tPrcElec,0,30,1,_maxLT))</f>
        <v>40197.798358543907</v>
      </c>
      <c r="AJ157" s="28">
        <f ca="1">SUMPRODUCT(dFactor,tpSurvAxH,INDEX(tEIdxElec,32)*INDEX(elecAxH,stdCSL+1,2)*allOnes,OFFSET(tPrcElec,0,31,1,_maxLT))</f>
        <v>40341.839650639609</v>
      </c>
      <c r="AK157" s="29">
        <f ca="1">SUMPRODUCT(dFactor,tpSurvAxH,INDEX(tEIdxElec,33)*INDEX(elecAxH,stdCSL+1,2)*allOnes,OFFSET(tPrcElec,0,32,1,_maxLT))</f>
        <v>40499.19393071856</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ts2bElec*SUMPRODUCT(tpSurvAxH,INDEX(tEIdxElec,1)*INDEX(elecAxH,stdCSL+1,2)*convFactor)</f>
        <v>7952.4943268771167</v>
      </c>
      <c r="F159" s="22">
        <f ca="1">ts2bElec*SUMPRODUCT(tpSurvAxH,INDEX(tEIdxElec,2)*INDEX(elecAxH,stdCSL+1,2)*convFactor)</f>
        <v>7896.2303528503708</v>
      </c>
      <c r="G159" s="22">
        <f ca="1">ts2bElec*SUMPRODUCT(tpSurvAxH,INDEX(tEIdxElec,3)*INDEX(elecAxH,stdCSL+1,2)*convFactor)</f>
        <v>7839.5034572089171</v>
      </c>
      <c r="H159" s="22">
        <f ca="1">ts2bElec*SUMPRODUCT(tpSurvAxH,INDEX(tEIdxElec,4)*INDEX(elecAxH,stdCSL+1,2)*convFactor)</f>
        <v>7789.6695872103883</v>
      </c>
      <c r="I159" s="22">
        <f ca="1">ts2bElec*SUMPRODUCT(tpSurvAxH,INDEX(tEIdxElec,5)*INDEX(elecAxH,stdCSL+1,2)*convFactor)</f>
        <v>7742.3913827218803</v>
      </c>
      <c r="J159" s="22">
        <f ca="1">ts2bElec*SUMPRODUCT(tpSurvAxH,INDEX(tEIdxElec,6)*INDEX(elecAxH,stdCSL+1,2)*convFactor)</f>
        <v>7701.2103421519969</v>
      </c>
      <c r="K159" s="22">
        <f ca="1">ts2bElec*SUMPRODUCT(tpSurvAxH,INDEX(tEIdxElec,7)*INDEX(elecAxH,stdCSL+1,2)*convFactor)</f>
        <v>7669.2708434682354</v>
      </c>
      <c r="L159" s="22">
        <f ca="1">ts2bElec*SUMPRODUCT(tpSurvAxH,INDEX(tEIdxElec,8)*INDEX(elecAxH,stdCSL+1,2)*convFactor)</f>
        <v>7642.7897499806659</v>
      </c>
      <c r="M159" s="22">
        <f ca="1">ts2bElec*SUMPRODUCT(tpSurvAxH,INDEX(tEIdxElec,9)*INDEX(elecAxH,stdCSL+1,2)*convFactor)</f>
        <v>7616.1847262482315</v>
      </c>
      <c r="N159" s="22">
        <f ca="1">ts2bElec*SUMPRODUCT(tpSurvAxH,INDEX(tEIdxElec,10)*INDEX(elecAxH,stdCSL+1,2)*convFactor)</f>
        <v>7594.895780278408</v>
      </c>
      <c r="O159" s="22">
        <f ca="1">ts2bElec*SUMPRODUCT(tpSurvAxH,INDEX(tEIdxElec,11)*INDEX(elecAxH,stdCSL+1,2)*convFactor)</f>
        <v>7580.22943808944</v>
      </c>
      <c r="P159" s="22">
        <f ca="1">ts2bElec*SUMPRODUCT(tpSurvAxH,INDEX(tEIdxElec,12)*INDEX(elecAxH,stdCSL+1,2)*convFactor)</f>
        <v>7569.4917219394047</v>
      </c>
      <c r="Q159" s="22">
        <f ca="1">ts2bElec*SUMPRODUCT(tpSurvAxH,INDEX(tEIdxElec,13)*INDEX(elecAxH,stdCSL+1,2)*convFactor)</f>
        <v>7560.4545535856123</v>
      </c>
      <c r="R159" s="22">
        <f ca="1">ts2bElec*SUMPRODUCT(tpSurvAxH,INDEX(tEIdxElec,14)*INDEX(elecAxH,stdCSL+1,2)*convFactor)</f>
        <v>7553.7865731647726</v>
      </c>
      <c r="S159" s="22">
        <f ca="1">ts2bElec*SUMPRODUCT(tpSurvAxH,INDEX(tEIdxElec,15)*INDEX(elecAxH,stdCSL+1,2)*convFactor)</f>
        <v>7548.7050042386873</v>
      </c>
      <c r="T159" s="22">
        <f ca="1">ts2bElec*SUMPRODUCT(tpSurvAxH,INDEX(tEIdxElec,16)*INDEX(elecAxH,stdCSL+1,2)*convFactor)</f>
        <v>7548.0644749846251</v>
      </c>
      <c r="U159" s="22">
        <f ca="1">ts2bElec*SUMPRODUCT(tpSurvAxH,INDEX(tEIdxElec,17)*INDEX(elecAxH,stdCSL+1,2)*convFactor)</f>
        <v>7549.364795340909</v>
      </c>
      <c r="V159" s="22">
        <f ca="1">ts2bElec*SUMPRODUCT(tpSurvAxH,INDEX(tEIdxElec,18)*INDEX(elecAxH,stdCSL+1,2)*convFactor)</f>
        <v>7551.2786490924336</v>
      </c>
      <c r="W159" s="22">
        <f ca="1">ts2bElec*SUMPRODUCT(tpSurvAxH,INDEX(tEIdxElec,19)*INDEX(elecAxH,stdCSL+1,2)*convFactor)</f>
        <v>7554.01572511837</v>
      </c>
      <c r="X159" s="22">
        <f ca="1">ts2bElec*SUMPRODUCT(tpSurvAxH,INDEX(tEIdxElec,20)*INDEX(elecAxH,stdCSL+1,2)*convFactor)</f>
        <v>7556.6022325611448</v>
      </c>
      <c r="Y159" s="22">
        <f ca="1">ts2bElec*SUMPRODUCT(tpSurvAxH,INDEX(tEIdxElec,21)*INDEX(elecAxH,stdCSL+1,2)*convFactor)</f>
        <v>7558.7452922687789</v>
      </c>
      <c r="Z159" s="22">
        <f ca="1">ts2bElec*SUMPRODUCT(tpSurvAxH,INDEX(tEIdxElec,22)*INDEX(elecAxH,stdCSL+1,2)*convFactor)</f>
        <v>7560.1814452746148</v>
      </c>
      <c r="AA159" s="22">
        <f ca="1">ts2bElec*SUMPRODUCT(tpSurvAxH,INDEX(tEIdxElec,23)*INDEX(elecAxH,stdCSL+1,2)*convFactor)</f>
        <v>7561.1279657052946</v>
      </c>
      <c r="AB159" s="22">
        <f ca="1">ts2bElec*SUMPRODUCT(tpSurvAxH,INDEX(tEIdxElec,24)*INDEX(elecAxH,stdCSL+1,2)*convFactor)</f>
        <v>7561.1279657052946</v>
      </c>
      <c r="AC159" s="22">
        <f ca="1">ts2bElec*SUMPRODUCT(tpSurvAxH,INDEX(tEIdxElec,25)*INDEX(elecAxH,stdCSL+1,2)*convFactor)</f>
        <v>7561.1279657052946</v>
      </c>
      <c r="AD159" s="22">
        <f ca="1">ts2bElec*SUMPRODUCT(tpSurvAxH,INDEX(tEIdxElec,26)*INDEX(elecAxH,stdCSL+1,2)*convFactor)</f>
        <v>7561.1279657052946</v>
      </c>
      <c r="AE159" s="22">
        <f ca="1">ts2bElec*SUMPRODUCT(tpSurvAxH,INDEX(tEIdxElec,27)*INDEX(elecAxH,stdCSL+1,2)*convFactor)</f>
        <v>7561.1279657052946</v>
      </c>
      <c r="AF159" s="22">
        <f ca="1">ts2bElec*SUMPRODUCT(tpSurvAxH,INDEX(tEIdxElec,28)*INDEX(elecAxH,stdCSL+1,2)*convFactor)</f>
        <v>7561.1279657052946</v>
      </c>
      <c r="AG159" s="22">
        <f ca="1">ts2bElec*SUMPRODUCT(tpSurvAxH,INDEX(tEIdxElec,29)*INDEX(elecAxH,stdCSL+1,2)*convFactor)</f>
        <v>7561.1279657052946</v>
      </c>
      <c r="AH159" s="22">
        <f ca="1">ts2bElec*SUMPRODUCT(tpSurvAxH,INDEX(tEIdxElec,30)*INDEX(elecAxH,stdCSL+1,2)*convFactor)</f>
        <v>7561.1279657052946</v>
      </c>
      <c r="AI159" s="22">
        <f ca="1">ts2bElec*SUMPRODUCT(tpSurvAxH,INDEX(tEIdxElec,31)*INDEX(elecAxH,stdCSL+1,2)*convFactor)</f>
        <v>7561.1279657052946</v>
      </c>
      <c r="AJ159" s="22">
        <f ca="1">ts2bElec*SUMPRODUCT(tpSurvAxH,INDEX(tEIdxElec,32)*INDEX(elecAxH,stdCSL+1,2)*convFactor)</f>
        <v>7561.1279657052946</v>
      </c>
      <c r="AK159" s="25">
        <f ca="1">ts2bElec*SUMPRODUCT(tpSurvAxH,INDEX(tEIdxElec,33)*INDEX(elecAxH,stdCSL+1,2)*convFactor)</f>
        <v>7561.1279657052946</v>
      </c>
      <c r="AL159" s="3"/>
    </row>
    <row r="160" spans="2:38">
      <c r="B160" s="3"/>
      <c r="C160" s="30" t="str">
        <f>"EL 2: " &amp; INDEX(_doName,1,3)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(1+INDEX(vadAxH,stdCSL+1,3))*INDEX(mspAxH,stdCSL+1,3)*tPIdxAll + INDEX(instAxH,stdCSL+1,3) + SUMPRODUCT(dFactor,tpSurvAxH,INDEX(mrAxH,stdCSL+1,3)*allOnes)</f>
        <v>4118.9585079999997</v>
      </c>
      <c r="F161" s="28">
        <f ca="1"/>
        <v>4118.9585079999997</v>
      </c>
      <c r="G161" s="28">
        <f ca="1"/>
        <v>4118.9585079999997</v>
      </c>
      <c r="H161" s="28">
        <f ca="1"/>
        <v>4118.9585079999997</v>
      </c>
      <c r="I161" s="28">
        <f ca="1"/>
        <v>4118.9585079999997</v>
      </c>
      <c r="J161" s="28">
        <f ca="1"/>
        <v>4118.9585079999997</v>
      </c>
      <c r="K161" s="28">
        <f ca="1"/>
        <v>4118.9585079999997</v>
      </c>
      <c r="L161" s="28">
        <f ca="1"/>
        <v>4118.9585079999997</v>
      </c>
      <c r="M161" s="28">
        <f ca="1"/>
        <v>4118.9585079999997</v>
      </c>
      <c r="N161" s="28">
        <f ca="1"/>
        <v>4118.9585079999997</v>
      </c>
      <c r="O161" s="28">
        <f ca="1"/>
        <v>4118.9585079999997</v>
      </c>
      <c r="P161" s="28">
        <f ca="1"/>
        <v>4118.9585079999997</v>
      </c>
      <c r="Q161" s="28">
        <f ca="1"/>
        <v>4118.9585079999997</v>
      </c>
      <c r="R161" s="28">
        <f ca="1"/>
        <v>4118.9585079999997</v>
      </c>
      <c r="S161" s="28">
        <f ca="1"/>
        <v>4118.9585079999997</v>
      </c>
      <c r="T161" s="28">
        <f ca="1"/>
        <v>4118.9585079999997</v>
      </c>
      <c r="U161" s="28">
        <f ca="1"/>
        <v>4118.9585079999997</v>
      </c>
      <c r="V161" s="28">
        <f ca="1"/>
        <v>4118.9585079999997</v>
      </c>
      <c r="W161" s="28">
        <f ca="1"/>
        <v>4118.9585079999997</v>
      </c>
      <c r="X161" s="28">
        <f ca="1"/>
        <v>4118.9585079999997</v>
      </c>
      <c r="Y161" s="28">
        <f ca="1"/>
        <v>4118.9585079999997</v>
      </c>
      <c r="Z161" s="28">
        <f ca="1"/>
        <v>4118.9585079999997</v>
      </c>
      <c r="AA161" s="28">
        <f ca="1"/>
        <v>4118.9585079999997</v>
      </c>
      <c r="AB161" s="28">
        <f ca="1"/>
        <v>4118.9585079999997</v>
      </c>
      <c r="AC161" s="28">
        <f ca="1"/>
        <v>4118.9585079999997</v>
      </c>
      <c r="AD161" s="28">
        <f ca="1"/>
        <v>4118.9585079999997</v>
      </c>
      <c r="AE161" s="28">
        <f ca="1"/>
        <v>4118.9585079999997</v>
      </c>
      <c r="AF161" s="28">
        <f ca="1"/>
        <v>4118.9585079999997</v>
      </c>
      <c r="AG161" s="28">
        <f ca="1"/>
        <v>4118.9585079999997</v>
      </c>
      <c r="AH161" s="28">
        <f ca="1"/>
        <v>4118.9585079999997</v>
      </c>
      <c r="AI161" s="28">
        <f ca="1"/>
        <v>4118.9585079999997</v>
      </c>
      <c r="AJ161" s="28">
        <f ca="1"/>
        <v>4118.9585079999997</v>
      </c>
      <c r="AK161" s="29">
        <f ca="1"/>
        <v>4118.9585079999997</v>
      </c>
      <c r="AL161" s="3"/>
    </row>
    <row r="162" spans="2:38">
      <c r="B162" s="3"/>
      <c r="C162" s="23" t="s">
        <v>47</v>
      </c>
      <c r="D162" s="16" t="str">
        <f>_yearDol &amp; "$"</f>
        <v>2013$</v>
      </c>
      <c r="E162" s="141">
        <f t="array" aca="1" ref="E162:AK162" ca="1">(tlccEFupolElec2)</f>
        <v>38786.032735976762</v>
      </c>
      <c r="F162" s="28">
        <f ca="1"/>
        <v>38956.766356846849</v>
      </c>
      <c r="G162" s="28">
        <f ca="1"/>
        <v>39107.930231006401</v>
      </c>
      <c r="H162" s="28">
        <f ca="1"/>
        <v>39272.689419851602</v>
      </c>
      <c r="I162" s="28">
        <f ca="1"/>
        <v>39417.48432005303</v>
      </c>
      <c r="J162" s="28">
        <f ca="1"/>
        <v>39575.468563118782</v>
      </c>
      <c r="K162" s="28">
        <f ca="1"/>
        <v>39713.069307544283</v>
      </c>
      <c r="L162" s="28">
        <f ca="1"/>
        <v>39863.36009330774</v>
      </c>
      <c r="M162" s="28">
        <f ca="1"/>
        <v>40027.233527312797</v>
      </c>
      <c r="N162" s="28">
        <f ca="1"/>
        <v>40171.158013452572</v>
      </c>
      <c r="O162" s="28">
        <f ca="1"/>
        <v>40328.240393573775</v>
      </c>
      <c r="P162" s="28">
        <f ca="1"/>
        <v>40499.480156023375</v>
      </c>
      <c r="Q162" s="28">
        <f ca="1"/>
        <v>40651.299206316493</v>
      </c>
      <c r="R162" s="28">
        <f ca="1"/>
        <v>40816.860479420277</v>
      </c>
      <c r="S162" s="28">
        <f ca="1"/>
        <v>40962.66968363995</v>
      </c>
      <c r="T162" s="28">
        <f ca="1"/>
        <v>41121.825144165166</v>
      </c>
      <c r="U162" s="28">
        <f ca="1"/>
        <v>41295.417099954284</v>
      </c>
      <c r="V162" s="28">
        <f ca="1"/>
        <v>41449.796507311177</v>
      </c>
      <c r="W162" s="28">
        <f ca="1"/>
        <v>41618.239099694132</v>
      </c>
      <c r="X162" s="28">
        <f ca="1"/>
        <v>41767.160869720465</v>
      </c>
      <c r="Y162" s="28">
        <f ca="1"/>
        <v>41929.696000505675</v>
      </c>
      <c r="Z162" s="28">
        <f ca="1"/>
        <v>42106.991711044277</v>
      </c>
      <c r="AA162" s="28">
        <f ca="1"/>
        <v>42265.35294717834</v>
      </c>
      <c r="AB162" s="28">
        <f ca="1"/>
        <v>42438.195581523294</v>
      </c>
      <c r="AC162" s="28">
        <f ca="1"/>
        <v>42591.815068083779</v>
      </c>
      <c r="AD162" s="28">
        <f ca="1"/>
        <v>42759.540366842979</v>
      </c>
      <c r="AE162" s="28">
        <f ca="1"/>
        <v>42942.212916594122</v>
      </c>
      <c r="AF162" s="28">
        <f ca="1"/>
        <v>43106.495944934526</v>
      </c>
      <c r="AG162" s="28">
        <f ca="1"/>
        <v>43285.727898704594</v>
      </c>
      <c r="AH162" s="28">
        <f ca="1"/>
        <v>43446.282546775263</v>
      </c>
      <c r="AI162" s="28">
        <f ca="1"/>
        <v>43621.534821270165</v>
      </c>
      <c r="AJ162" s="28">
        <f ca="1"/>
        <v>43777.844432627709</v>
      </c>
      <c r="AK162" s="29">
        <f ca="1"/>
        <v>43948.600928954045</v>
      </c>
      <c r="AL162" s="3"/>
    </row>
    <row r="163" spans="2:38">
      <c r="B163" s="3"/>
      <c r="C163" s="27" t="str">
        <f>INDEX(_fuel,1)</f>
        <v>Electricity</v>
      </c>
      <c r="D163" s="16" t="str">
        <f>_yearDol &amp; "$"</f>
        <v>2013$</v>
      </c>
      <c r="E163" s="141">
        <f ca="1">SUMPRODUCT(dFactor,tpSurvAxH,INDEX(tEIdxElec,1)*INDEX(elecAxH,stdCSL+1,3)*allOnes,OFFSET(tPrcElec,0,0,1,_maxLT))</f>
        <v>38786.032735976762</v>
      </c>
      <c r="F163" s="28">
        <f ca="1">SUMPRODUCT(dFactor,tpSurvAxH,INDEX(tEIdxElec,2)*INDEX(elecAxH,stdCSL+1,3)*allOnes,OFFSET(tPrcElec,0,1,1,_maxLT))</f>
        <v>38956.766356846849</v>
      </c>
      <c r="G163" s="28">
        <f ca="1">SUMPRODUCT(dFactor,tpSurvAxH,INDEX(tEIdxElec,3)*INDEX(elecAxH,stdCSL+1,3)*allOnes,OFFSET(tPrcElec,0,2,1,_maxLT))</f>
        <v>39107.930231006401</v>
      </c>
      <c r="H163" s="28">
        <f ca="1">SUMPRODUCT(dFactor,tpSurvAxH,INDEX(tEIdxElec,4)*INDEX(elecAxH,stdCSL+1,3)*allOnes,OFFSET(tPrcElec,0,3,1,_maxLT))</f>
        <v>39272.689419851602</v>
      </c>
      <c r="I163" s="28">
        <f ca="1">SUMPRODUCT(dFactor,tpSurvAxH,INDEX(tEIdxElec,5)*INDEX(elecAxH,stdCSL+1,3)*allOnes,OFFSET(tPrcElec,0,4,1,_maxLT))</f>
        <v>39417.48432005303</v>
      </c>
      <c r="J163" s="28">
        <f ca="1">SUMPRODUCT(dFactor,tpSurvAxH,INDEX(tEIdxElec,6)*INDEX(elecAxH,stdCSL+1,3)*allOnes,OFFSET(tPrcElec,0,5,1,_maxLT))</f>
        <v>39575.468563118782</v>
      </c>
      <c r="K163" s="28">
        <f ca="1">SUMPRODUCT(dFactor,tpSurvAxH,INDEX(tEIdxElec,7)*INDEX(elecAxH,stdCSL+1,3)*allOnes,OFFSET(tPrcElec,0,6,1,_maxLT))</f>
        <v>39713.069307544283</v>
      </c>
      <c r="L163" s="28">
        <f ca="1">SUMPRODUCT(dFactor,tpSurvAxH,INDEX(tEIdxElec,8)*INDEX(elecAxH,stdCSL+1,3)*allOnes,OFFSET(tPrcElec,0,7,1,_maxLT))</f>
        <v>39863.36009330774</v>
      </c>
      <c r="M163" s="28">
        <f ca="1">SUMPRODUCT(dFactor,tpSurvAxH,INDEX(tEIdxElec,9)*INDEX(elecAxH,stdCSL+1,3)*allOnes,OFFSET(tPrcElec,0,8,1,_maxLT))</f>
        <v>40027.233527312797</v>
      </c>
      <c r="N163" s="28">
        <f ca="1">SUMPRODUCT(dFactor,tpSurvAxH,INDEX(tEIdxElec,10)*INDEX(elecAxH,stdCSL+1,3)*allOnes,OFFSET(tPrcElec,0,9,1,_maxLT))</f>
        <v>40171.158013452572</v>
      </c>
      <c r="O163" s="28">
        <f ca="1">SUMPRODUCT(dFactor,tpSurvAxH,INDEX(tEIdxElec,11)*INDEX(elecAxH,stdCSL+1,3)*allOnes,OFFSET(tPrcElec,0,10,1,_maxLT))</f>
        <v>40328.240393573775</v>
      </c>
      <c r="P163" s="28">
        <f ca="1">SUMPRODUCT(dFactor,tpSurvAxH,INDEX(tEIdxElec,12)*INDEX(elecAxH,stdCSL+1,3)*allOnes,OFFSET(tPrcElec,0,11,1,_maxLT))</f>
        <v>40499.480156023375</v>
      </c>
      <c r="Q163" s="28">
        <f ca="1">SUMPRODUCT(dFactor,tpSurvAxH,INDEX(tEIdxElec,13)*INDEX(elecAxH,stdCSL+1,3)*allOnes,OFFSET(tPrcElec,0,12,1,_maxLT))</f>
        <v>40651.299206316493</v>
      </c>
      <c r="R163" s="28">
        <f ca="1">SUMPRODUCT(dFactor,tpSurvAxH,INDEX(tEIdxElec,14)*INDEX(elecAxH,stdCSL+1,3)*allOnes,OFFSET(tPrcElec,0,13,1,_maxLT))</f>
        <v>40816.860479420277</v>
      </c>
      <c r="S163" s="28">
        <f ca="1">SUMPRODUCT(dFactor,tpSurvAxH,INDEX(tEIdxElec,15)*INDEX(elecAxH,stdCSL+1,3)*allOnes,OFFSET(tPrcElec,0,14,1,_maxLT))</f>
        <v>40962.66968363995</v>
      </c>
      <c r="T163" s="28">
        <f ca="1">SUMPRODUCT(dFactor,tpSurvAxH,INDEX(tEIdxElec,16)*INDEX(elecAxH,stdCSL+1,3)*allOnes,OFFSET(tPrcElec,0,15,1,_maxLT))</f>
        <v>41121.825144165166</v>
      </c>
      <c r="U163" s="28">
        <f ca="1">SUMPRODUCT(dFactor,tpSurvAxH,INDEX(tEIdxElec,17)*INDEX(elecAxH,stdCSL+1,3)*allOnes,OFFSET(tPrcElec,0,16,1,_maxLT))</f>
        <v>41295.417099954284</v>
      </c>
      <c r="V163" s="28">
        <f ca="1">SUMPRODUCT(dFactor,tpSurvAxH,INDEX(tEIdxElec,18)*INDEX(elecAxH,stdCSL+1,3)*allOnes,OFFSET(tPrcElec,0,17,1,_maxLT))</f>
        <v>41449.796507311177</v>
      </c>
      <c r="W163" s="28">
        <f ca="1">SUMPRODUCT(dFactor,tpSurvAxH,INDEX(tEIdxElec,19)*INDEX(elecAxH,stdCSL+1,3)*allOnes,OFFSET(tPrcElec,0,18,1,_maxLT))</f>
        <v>41618.239099694132</v>
      </c>
      <c r="X163" s="28">
        <f ca="1">SUMPRODUCT(dFactor,tpSurvAxH,INDEX(tEIdxElec,20)*INDEX(elecAxH,stdCSL+1,3)*allOnes,OFFSET(tPrcElec,0,19,1,_maxLT))</f>
        <v>41767.160869720465</v>
      </c>
      <c r="Y163" s="28">
        <f ca="1">SUMPRODUCT(dFactor,tpSurvAxH,INDEX(tEIdxElec,21)*INDEX(elecAxH,stdCSL+1,3)*allOnes,OFFSET(tPrcElec,0,20,1,_maxLT))</f>
        <v>41929.696000505675</v>
      </c>
      <c r="Z163" s="28">
        <f ca="1">SUMPRODUCT(dFactor,tpSurvAxH,INDEX(tEIdxElec,22)*INDEX(elecAxH,stdCSL+1,3)*allOnes,OFFSET(tPrcElec,0,21,1,_maxLT))</f>
        <v>42106.991711044277</v>
      </c>
      <c r="AA163" s="28">
        <f ca="1">SUMPRODUCT(dFactor,tpSurvAxH,INDEX(tEIdxElec,23)*INDEX(elecAxH,stdCSL+1,3)*allOnes,OFFSET(tPrcElec,0,22,1,_maxLT))</f>
        <v>42265.35294717834</v>
      </c>
      <c r="AB163" s="28">
        <f ca="1">SUMPRODUCT(dFactor,tpSurvAxH,INDEX(tEIdxElec,24)*INDEX(elecAxH,stdCSL+1,3)*allOnes,OFFSET(tPrcElec,0,23,1,_maxLT))</f>
        <v>42438.195581523294</v>
      </c>
      <c r="AC163" s="28">
        <f ca="1">SUMPRODUCT(dFactor,tpSurvAxH,INDEX(tEIdxElec,25)*INDEX(elecAxH,stdCSL+1,3)*allOnes,OFFSET(tPrcElec,0,24,1,_maxLT))</f>
        <v>42591.815068083779</v>
      </c>
      <c r="AD163" s="28">
        <f ca="1">SUMPRODUCT(dFactor,tpSurvAxH,INDEX(tEIdxElec,26)*INDEX(elecAxH,stdCSL+1,3)*allOnes,OFFSET(tPrcElec,0,25,1,_maxLT))</f>
        <v>42759.540366842979</v>
      </c>
      <c r="AE163" s="28">
        <f ca="1">SUMPRODUCT(dFactor,tpSurvAxH,INDEX(tEIdxElec,27)*INDEX(elecAxH,stdCSL+1,3)*allOnes,OFFSET(tPrcElec,0,26,1,_maxLT))</f>
        <v>42942.212916594122</v>
      </c>
      <c r="AF163" s="28">
        <f ca="1">SUMPRODUCT(dFactor,tpSurvAxH,INDEX(tEIdxElec,28)*INDEX(elecAxH,stdCSL+1,3)*allOnes,OFFSET(tPrcElec,0,27,1,_maxLT))</f>
        <v>43106.495944934526</v>
      </c>
      <c r="AG163" s="28">
        <f ca="1">SUMPRODUCT(dFactor,tpSurvAxH,INDEX(tEIdxElec,29)*INDEX(elecAxH,stdCSL+1,3)*allOnes,OFFSET(tPrcElec,0,28,1,_maxLT))</f>
        <v>43285.727898704594</v>
      </c>
      <c r="AH163" s="28">
        <f ca="1">SUMPRODUCT(dFactor,tpSurvAxH,INDEX(tEIdxElec,30)*INDEX(elecAxH,stdCSL+1,3)*allOnes,OFFSET(tPrcElec,0,29,1,_maxLT))</f>
        <v>43446.282546775263</v>
      </c>
      <c r="AI163" s="28">
        <f ca="1">SUMPRODUCT(dFactor,tpSurvAxH,INDEX(tEIdxElec,31)*INDEX(elecAxH,stdCSL+1,3)*allOnes,OFFSET(tPrcElec,0,30,1,_maxLT))</f>
        <v>43621.534821270165</v>
      </c>
      <c r="AJ163" s="28">
        <f ca="1">SUMPRODUCT(dFactor,tpSurvAxH,INDEX(tEIdxElec,32)*INDEX(elecAxH,stdCSL+1,3)*allOnes,OFFSET(tPrcElec,0,31,1,_maxLT))</f>
        <v>43777.844432627709</v>
      </c>
      <c r="AK163" s="29">
        <f ca="1">SUMPRODUCT(dFactor,tpSurvAxH,INDEX(tEIdxElec,33)*INDEX(elecAxH,stdCSL+1,3)*allOnes,OFFSET(tPrcElec,0,32,1,_maxLT))</f>
        <v>43948.600928954045</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ts2bElec*SUMPRODUCT(tpSurvAxH,INDEX(tEIdxElec,1)*INDEX(elecAxH,stdCSL+1,3)*convFactor)</f>
        <v>8629.8260691207906</v>
      </c>
      <c r="F165" s="22">
        <f ca="1">ts2bElec*SUMPRODUCT(tpSurvAxH,INDEX(tEIdxElec,2)*INDEX(elecAxH,stdCSL+1,3)*convFactor)</f>
        <v>8568.7699664880165</v>
      </c>
      <c r="G165" s="22">
        <f ca="1">ts2bElec*SUMPRODUCT(tpSurvAxH,INDEX(tEIdxElec,3)*INDEX(elecAxH,stdCSL+1,3)*convFactor)</f>
        <v>8507.2115141704326</v>
      </c>
      <c r="H165" s="22">
        <f ca="1">ts2bElec*SUMPRODUCT(tpSurvAxH,INDEX(tEIdxElec,4)*INDEX(elecAxH,stdCSL+1,3)*convFactor)</f>
        <v>8453.1331819187508</v>
      </c>
      <c r="I165" s="22">
        <f ca="1">ts2bElec*SUMPRODUCT(tpSurvAxH,INDEX(tEIdxElec,5)*INDEX(elecAxH,stdCSL+1,3)*convFactor)</f>
        <v>8401.8281869290367</v>
      </c>
      <c r="J165" s="22">
        <f ca="1">ts2bElec*SUMPRODUCT(tpSurvAxH,INDEX(tEIdxElec,6)*INDEX(elecAxH,stdCSL+1,3)*convFactor)</f>
        <v>8357.1396649564522</v>
      </c>
      <c r="K165" s="22">
        <f ca="1">ts2bElec*SUMPRODUCT(tpSurvAxH,INDEX(tEIdxElec,7)*INDEX(elecAxH,stdCSL+1,3)*convFactor)</f>
        <v>8322.4798076781881</v>
      </c>
      <c r="L165" s="22">
        <f ca="1">ts2bElec*SUMPRODUCT(tpSurvAxH,INDEX(tEIdxElec,8)*INDEX(elecAxH,stdCSL+1,3)*convFactor)</f>
        <v>8293.7432601844703</v>
      </c>
      <c r="M165" s="22">
        <f ca="1">ts2bElec*SUMPRODUCT(tpSurvAxH,INDEX(tEIdxElec,9)*INDEX(elecAxH,stdCSL+1,3)*convFactor)</f>
        <v>8264.8722270295275</v>
      </c>
      <c r="N165" s="22">
        <f ca="1">ts2bElec*SUMPRODUCT(tpSurvAxH,INDEX(tEIdxElec,10)*INDEX(elecAxH,stdCSL+1,3)*convFactor)</f>
        <v>8241.7700538794561</v>
      </c>
      <c r="O165" s="22">
        <f ca="1">ts2bElec*SUMPRODUCT(tpSurvAxH,INDEX(tEIdxElec,11)*INDEX(elecAxH,stdCSL+1,3)*convFactor)</f>
        <v>8225.8545464979234</v>
      </c>
      <c r="P165" s="22">
        <f ca="1">ts2bElec*SUMPRODUCT(tpSurvAxH,INDEX(tEIdxElec,12)*INDEX(elecAxH,stdCSL+1,3)*convFactor)</f>
        <v>8214.2022750286815</v>
      </c>
      <c r="Q165" s="22">
        <f ca="1">ts2bElec*SUMPRODUCT(tpSurvAxH,INDEX(tEIdxElec,13)*INDEX(elecAxH,stdCSL+1,3)*convFactor)</f>
        <v>8204.3953908178974</v>
      </c>
      <c r="R165" s="22">
        <f ca="1">ts2bElec*SUMPRODUCT(tpSurvAxH,INDEX(tEIdxElec,14)*INDEX(elecAxH,stdCSL+1,3)*convFactor)</f>
        <v>8197.1594835793767</v>
      </c>
      <c r="S165" s="22">
        <f ca="1">ts2bElec*SUMPRODUCT(tpSurvAxH,INDEX(tEIdxElec,15)*INDEX(elecAxH,stdCSL+1,3)*convFactor)</f>
        <v>8191.6451060535546</v>
      </c>
      <c r="T165" s="22">
        <f ca="1">ts2bElec*SUMPRODUCT(tpSurvAxH,INDEX(tEIdxElec,16)*INDEX(elecAxH,stdCSL+1,3)*convFactor)</f>
        <v>8190.9500214891996</v>
      </c>
      <c r="U165" s="22">
        <f ca="1">ts2bElec*SUMPRODUCT(tpSurvAxH,INDEX(tEIdxElec,17)*INDEX(elecAxH,stdCSL+1,3)*convFactor)</f>
        <v>8192.3610930407922</v>
      </c>
      <c r="V165" s="22">
        <f ca="1">ts2bElec*SUMPRODUCT(tpSurvAxH,INDEX(tEIdxElec,18)*INDEX(elecAxH,stdCSL+1,3)*convFactor)</f>
        <v>8194.4379540001992</v>
      </c>
      <c r="W165" s="22">
        <f ca="1">ts2bElec*SUMPRODUCT(tpSurvAxH,INDEX(tEIdxElec,19)*INDEX(elecAxH,stdCSL+1,3)*convFactor)</f>
        <v>8197.4081529177838</v>
      </c>
      <c r="X165" s="22">
        <f ca="1">ts2bElec*SUMPRODUCT(tpSurvAxH,INDEX(tEIdxElec,20)*INDEX(elecAxH,stdCSL+1,3)*convFactor)</f>
        <v>8200.2149589889559</v>
      </c>
      <c r="Y165" s="22">
        <f ca="1">ts2bElec*SUMPRODUCT(tpSurvAxH,INDEX(tEIdxElec,21)*INDEX(elecAxH,stdCSL+1,3)*convFactor)</f>
        <v>8202.5405478887933</v>
      </c>
      <c r="Z165" s="22">
        <f ca="1">ts2bElec*SUMPRODUCT(tpSurvAxH,INDEX(tEIdxElec,22)*INDEX(elecAxH,stdCSL+1,3)*convFactor)</f>
        <v>8204.099021260743</v>
      </c>
      <c r="AA165" s="22">
        <f ca="1">ts2bElec*SUMPRODUCT(tpSurvAxH,INDEX(tEIdxElec,23)*INDEX(elecAxH,stdCSL+1,3)*convFactor)</f>
        <v>8205.1261589551414</v>
      </c>
      <c r="AB165" s="22">
        <f ca="1">ts2bElec*SUMPRODUCT(tpSurvAxH,INDEX(tEIdxElec,24)*INDEX(elecAxH,stdCSL+1,3)*convFactor)</f>
        <v>8205.1261589551414</v>
      </c>
      <c r="AC165" s="22">
        <f ca="1">ts2bElec*SUMPRODUCT(tpSurvAxH,INDEX(tEIdxElec,25)*INDEX(elecAxH,stdCSL+1,3)*convFactor)</f>
        <v>8205.1261589551414</v>
      </c>
      <c r="AD165" s="22">
        <f ca="1">ts2bElec*SUMPRODUCT(tpSurvAxH,INDEX(tEIdxElec,26)*INDEX(elecAxH,stdCSL+1,3)*convFactor)</f>
        <v>8205.1261589551414</v>
      </c>
      <c r="AE165" s="22">
        <f ca="1">ts2bElec*SUMPRODUCT(tpSurvAxH,INDEX(tEIdxElec,27)*INDEX(elecAxH,stdCSL+1,3)*convFactor)</f>
        <v>8205.1261589551414</v>
      </c>
      <c r="AF165" s="22">
        <f ca="1">ts2bElec*SUMPRODUCT(tpSurvAxH,INDEX(tEIdxElec,28)*INDEX(elecAxH,stdCSL+1,3)*convFactor)</f>
        <v>8205.1261589551414</v>
      </c>
      <c r="AG165" s="22">
        <f ca="1">ts2bElec*SUMPRODUCT(tpSurvAxH,INDEX(tEIdxElec,29)*INDEX(elecAxH,stdCSL+1,3)*convFactor)</f>
        <v>8205.1261589551414</v>
      </c>
      <c r="AH165" s="22">
        <f ca="1">ts2bElec*SUMPRODUCT(tpSurvAxH,INDEX(tEIdxElec,30)*INDEX(elecAxH,stdCSL+1,3)*convFactor)</f>
        <v>8205.1261589551414</v>
      </c>
      <c r="AI165" s="22">
        <f ca="1">ts2bElec*SUMPRODUCT(tpSurvAxH,INDEX(tEIdxElec,31)*INDEX(elecAxH,stdCSL+1,3)*convFactor)</f>
        <v>8205.1261589551414</v>
      </c>
      <c r="AJ165" s="22">
        <f ca="1">ts2bElec*SUMPRODUCT(tpSurvAxH,INDEX(tEIdxElec,32)*INDEX(elecAxH,stdCSL+1,3)*convFactor)</f>
        <v>8205.1261589551414</v>
      </c>
      <c r="AK165" s="25">
        <f ca="1">ts2bElec*SUMPRODUCT(tpSurvAxH,INDEX(tEIdxElec,33)*INDEX(elecAxH,stdCSL+1,3)*convFactor)</f>
        <v>8205.1261589551414</v>
      </c>
      <c r="AL165" s="3"/>
    </row>
    <row r="166" spans="2:38">
      <c r="B166" s="3"/>
      <c r="C166" s="30" t="str">
        <f>"EL 3: " &amp; INDEX(_doName,1,4)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(1+INDEX(vadAxH,stdCSL+1,4))*INDEX(mspAxH,stdCSL+1,4)*tPIdxAll + INDEX(instAxH,stdCSL+1,4) + SUMPRODUCT(dFactor,tpSurvAxH,INDEX(mrAxH,stdCSL+1,4)*allOnes)</f>
        <v>5736.9743870000002</v>
      </c>
      <c r="F167" s="28">
        <f ca="1"/>
        <v>5736.9743870000002</v>
      </c>
      <c r="G167" s="28">
        <f ca="1"/>
        <v>5736.9743870000002</v>
      </c>
      <c r="H167" s="28">
        <f ca="1"/>
        <v>5736.9743870000002</v>
      </c>
      <c r="I167" s="28">
        <f ca="1"/>
        <v>5736.9743870000002</v>
      </c>
      <c r="J167" s="28">
        <f ca="1"/>
        <v>5736.9743870000002</v>
      </c>
      <c r="K167" s="28">
        <f ca="1"/>
        <v>5736.9743870000002</v>
      </c>
      <c r="L167" s="28">
        <f ca="1"/>
        <v>5736.9743870000002</v>
      </c>
      <c r="M167" s="28">
        <f ca="1"/>
        <v>5736.9743870000002</v>
      </c>
      <c r="N167" s="28">
        <f ca="1"/>
        <v>5736.9743870000002</v>
      </c>
      <c r="O167" s="28">
        <f ca="1"/>
        <v>5736.9743870000002</v>
      </c>
      <c r="P167" s="28">
        <f ca="1"/>
        <v>5736.9743870000002</v>
      </c>
      <c r="Q167" s="28">
        <f ca="1"/>
        <v>5736.9743870000002</v>
      </c>
      <c r="R167" s="28">
        <f ca="1"/>
        <v>5736.9743870000002</v>
      </c>
      <c r="S167" s="28">
        <f ca="1"/>
        <v>5736.9743870000002</v>
      </c>
      <c r="T167" s="28">
        <f ca="1"/>
        <v>5736.9743870000002</v>
      </c>
      <c r="U167" s="28">
        <f ca="1"/>
        <v>5736.9743870000002</v>
      </c>
      <c r="V167" s="28">
        <f ca="1"/>
        <v>5736.9743870000002</v>
      </c>
      <c r="W167" s="28">
        <f ca="1"/>
        <v>5736.9743870000002</v>
      </c>
      <c r="X167" s="28">
        <f ca="1"/>
        <v>5736.9743870000002</v>
      </c>
      <c r="Y167" s="28">
        <f ca="1"/>
        <v>5736.9743870000002</v>
      </c>
      <c r="Z167" s="28">
        <f ca="1"/>
        <v>5736.9743870000002</v>
      </c>
      <c r="AA167" s="28">
        <f ca="1"/>
        <v>5736.9743870000002</v>
      </c>
      <c r="AB167" s="28">
        <f ca="1"/>
        <v>5736.9743870000002</v>
      </c>
      <c r="AC167" s="28">
        <f ca="1"/>
        <v>5736.9743870000002</v>
      </c>
      <c r="AD167" s="28">
        <f ca="1"/>
        <v>5736.9743870000002</v>
      </c>
      <c r="AE167" s="28">
        <f ca="1"/>
        <v>5736.9743870000002</v>
      </c>
      <c r="AF167" s="28">
        <f ca="1"/>
        <v>5736.9743870000002</v>
      </c>
      <c r="AG167" s="28">
        <f ca="1"/>
        <v>5736.9743870000002</v>
      </c>
      <c r="AH167" s="28">
        <f ca="1"/>
        <v>5736.9743870000002</v>
      </c>
      <c r="AI167" s="28">
        <f ca="1"/>
        <v>5736.9743870000002</v>
      </c>
      <c r="AJ167" s="28">
        <f ca="1"/>
        <v>5736.9743870000002</v>
      </c>
      <c r="AK167" s="29">
        <f ca="1"/>
        <v>5736.9743870000002</v>
      </c>
      <c r="AL167" s="3"/>
    </row>
    <row r="168" spans="2:38">
      <c r="B168" s="3"/>
      <c r="C168" s="23" t="s">
        <v>47</v>
      </c>
      <c r="D168" s="16" t="str">
        <f>_yearDol &amp; "$"</f>
        <v>2013$</v>
      </c>
      <c r="E168" s="141">
        <f t="array" aca="1" ref="E168:AK168" ca="1">(tlccEFupolElec3)</f>
        <v>153760.79777953654</v>
      </c>
      <c r="F168" s="28">
        <f ca="1"/>
        <v>154437.64291942169</v>
      </c>
      <c r="G168" s="28">
        <f ca="1"/>
        <v>155036.90704226811</v>
      </c>
      <c r="H168" s="28">
        <f ca="1"/>
        <v>155690.06753668629</v>
      </c>
      <c r="I168" s="28">
        <f ca="1"/>
        <v>156264.08291796883</v>
      </c>
      <c r="J168" s="28">
        <f ca="1"/>
        <v>156890.3852628296</v>
      </c>
      <c r="K168" s="28">
        <f ca="1"/>
        <v>157435.88060600997</v>
      </c>
      <c r="L168" s="28">
        <f ca="1"/>
        <v>158031.6835146294</v>
      </c>
      <c r="M168" s="28">
        <f ca="1"/>
        <v>158681.33258080261</v>
      </c>
      <c r="N168" s="28">
        <f ca="1"/>
        <v>159251.89734981375</v>
      </c>
      <c r="O168" s="28">
        <f ca="1"/>
        <v>159874.62440851968</v>
      </c>
      <c r="P168" s="28">
        <f ca="1"/>
        <v>160553.47606280106</v>
      </c>
      <c r="Q168" s="28">
        <f ca="1"/>
        <v>161155.3375228298</v>
      </c>
      <c r="R168" s="28">
        <f ca="1"/>
        <v>161811.67774734116</v>
      </c>
      <c r="S168" s="28">
        <f ca="1"/>
        <v>162389.71416877743</v>
      </c>
      <c r="T168" s="28">
        <f ca="1"/>
        <v>163020.6596111203</v>
      </c>
      <c r="U168" s="28">
        <f ca="1"/>
        <v>163708.83614600697</v>
      </c>
      <c r="V168" s="28">
        <f ca="1"/>
        <v>164320.84771722165</v>
      </c>
      <c r="W168" s="28">
        <f ca="1"/>
        <v>164988.61045442044</v>
      </c>
      <c r="X168" s="28">
        <f ca="1"/>
        <v>165578.98612707216</v>
      </c>
      <c r="Y168" s="28">
        <f ca="1"/>
        <v>166223.32971196153</v>
      </c>
      <c r="Z168" s="28">
        <f ca="1"/>
        <v>166926.18916863433</v>
      </c>
      <c r="AA168" s="28">
        <f ca="1"/>
        <v>167553.9860400256</v>
      </c>
      <c r="AB168" s="28">
        <f ca="1"/>
        <v>168239.19201425099</v>
      </c>
      <c r="AC168" s="28">
        <f ca="1"/>
        <v>168848.19100542946</v>
      </c>
      <c r="AD168" s="28">
        <f ca="1"/>
        <v>169513.11015095242</v>
      </c>
      <c r="AE168" s="28">
        <f ca="1"/>
        <v>170237.28519544238</v>
      </c>
      <c r="AF168" s="28">
        <f ca="1"/>
        <v>170888.55803046536</v>
      </c>
      <c r="AG168" s="28">
        <f ca="1"/>
        <v>171599.09340248612</v>
      </c>
      <c r="AH168" s="28">
        <f ca="1"/>
        <v>172235.58569192982</v>
      </c>
      <c r="AI168" s="28">
        <f ca="1"/>
        <v>172930.34428511819</v>
      </c>
      <c r="AJ168" s="28">
        <f ca="1"/>
        <v>173550.0078301513</v>
      </c>
      <c r="AK168" s="29">
        <f ca="1"/>
        <v>174226.9436559912</v>
      </c>
      <c r="AL168" s="3"/>
    </row>
    <row r="169" spans="2:38">
      <c r="B169" s="3"/>
      <c r="C169" s="27" t="str">
        <f>INDEX(_fuel,1)</f>
        <v>Electricity</v>
      </c>
      <c r="D169" s="16" t="str">
        <f>_yearDol &amp; "$"</f>
        <v>2013$</v>
      </c>
      <c r="E169" s="141">
        <f ca="1">SUMPRODUCT(dFactor,tpSurvAxH,INDEX(tEIdxElec,1)*INDEX(elecAxH,stdCSL+1,4)*allOnes,OFFSET(tPrcElec,0,0,1,_maxLT))</f>
        <v>153760.79777953654</v>
      </c>
      <c r="F169" s="28">
        <f ca="1">SUMPRODUCT(dFactor,tpSurvAxH,INDEX(tEIdxElec,2)*INDEX(elecAxH,stdCSL+1,4)*allOnes,OFFSET(tPrcElec,0,1,1,_maxLT))</f>
        <v>154437.64291942169</v>
      </c>
      <c r="G169" s="28">
        <f ca="1">SUMPRODUCT(dFactor,tpSurvAxH,INDEX(tEIdxElec,3)*INDEX(elecAxH,stdCSL+1,4)*allOnes,OFFSET(tPrcElec,0,2,1,_maxLT))</f>
        <v>155036.90704226811</v>
      </c>
      <c r="H169" s="28">
        <f ca="1">SUMPRODUCT(dFactor,tpSurvAxH,INDEX(tEIdxElec,4)*INDEX(elecAxH,stdCSL+1,4)*allOnes,OFFSET(tPrcElec,0,3,1,_maxLT))</f>
        <v>155690.06753668629</v>
      </c>
      <c r="I169" s="28">
        <f ca="1">SUMPRODUCT(dFactor,tpSurvAxH,INDEX(tEIdxElec,5)*INDEX(elecAxH,stdCSL+1,4)*allOnes,OFFSET(tPrcElec,0,4,1,_maxLT))</f>
        <v>156264.08291796883</v>
      </c>
      <c r="J169" s="28">
        <f ca="1">SUMPRODUCT(dFactor,tpSurvAxH,INDEX(tEIdxElec,6)*INDEX(elecAxH,stdCSL+1,4)*allOnes,OFFSET(tPrcElec,0,5,1,_maxLT))</f>
        <v>156890.3852628296</v>
      </c>
      <c r="K169" s="28">
        <f ca="1">SUMPRODUCT(dFactor,tpSurvAxH,INDEX(tEIdxElec,7)*INDEX(elecAxH,stdCSL+1,4)*allOnes,OFFSET(tPrcElec,0,6,1,_maxLT))</f>
        <v>157435.88060600997</v>
      </c>
      <c r="L169" s="28">
        <f ca="1">SUMPRODUCT(dFactor,tpSurvAxH,INDEX(tEIdxElec,8)*INDEX(elecAxH,stdCSL+1,4)*allOnes,OFFSET(tPrcElec,0,7,1,_maxLT))</f>
        <v>158031.6835146294</v>
      </c>
      <c r="M169" s="28">
        <f ca="1">SUMPRODUCT(dFactor,tpSurvAxH,INDEX(tEIdxElec,9)*INDEX(elecAxH,stdCSL+1,4)*allOnes,OFFSET(tPrcElec,0,8,1,_maxLT))</f>
        <v>158681.33258080261</v>
      </c>
      <c r="N169" s="28">
        <f ca="1">SUMPRODUCT(dFactor,tpSurvAxH,INDEX(tEIdxElec,10)*INDEX(elecAxH,stdCSL+1,4)*allOnes,OFFSET(tPrcElec,0,9,1,_maxLT))</f>
        <v>159251.89734981375</v>
      </c>
      <c r="O169" s="28">
        <f ca="1">SUMPRODUCT(dFactor,tpSurvAxH,INDEX(tEIdxElec,11)*INDEX(elecAxH,stdCSL+1,4)*allOnes,OFFSET(tPrcElec,0,10,1,_maxLT))</f>
        <v>159874.62440851968</v>
      </c>
      <c r="P169" s="28">
        <f ca="1">SUMPRODUCT(dFactor,tpSurvAxH,INDEX(tEIdxElec,12)*INDEX(elecAxH,stdCSL+1,4)*allOnes,OFFSET(tPrcElec,0,11,1,_maxLT))</f>
        <v>160553.47606280106</v>
      </c>
      <c r="Q169" s="28">
        <f ca="1">SUMPRODUCT(dFactor,tpSurvAxH,INDEX(tEIdxElec,13)*INDEX(elecAxH,stdCSL+1,4)*allOnes,OFFSET(tPrcElec,0,12,1,_maxLT))</f>
        <v>161155.3375228298</v>
      </c>
      <c r="R169" s="28">
        <f ca="1">SUMPRODUCT(dFactor,tpSurvAxH,INDEX(tEIdxElec,14)*INDEX(elecAxH,stdCSL+1,4)*allOnes,OFFSET(tPrcElec,0,13,1,_maxLT))</f>
        <v>161811.67774734116</v>
      </c>
      <c r="S169" s="28">
        <f ca="1">SUMPRODUCT(dFactor,tpSurvAxH,INDEX(tEIdxElec,15)*INDEX(elecAxH,stdCSL+1,4)*allOnes,OFFSET(tPrcElec,0,14,1,_maxLT))</f>
        <v>162389.71416877743</v>
      </c>
      <c r="T169" s="28">
        <f ca="1">SUMPRODUCT(dFactor,tpSurvAxH,INDEX(tEIdxElec,16)*INDEX(elecAxH,stdCSL+1,4)*allOnes,OFFSET(tPrcElec,0,15,1,_maxLT))</f>
        <v>163020.6596111203</v>
      </c>
      <c r="U169" s="28">
        <f ca="1">SUMPRODUCT(dFactor,tpSurvAxH,INDEX(tEIdxElec,17)*INDEX(elecAxH,stdCSL+1,4)*allOnes,OFFSET(tPrcElec,0,16,1,_maxLT))</f>
        <v>163708.83614600697</v>
      </c>
      <c r="V169" s="28">
        <f ca="1">SUMPRODUCT(dFactor,tpSurvAxH,INDEX(tEIdxElec,18)*INDEX(elecAxH,stdCSL+1,4)*allOnes,OFFSET(tPrcElec,0,17,1,_maxLT))</f>
        <v>164320.84771722165</v>
      </c>
      <c r="W169" s="28">
        <f ca="1">SUMPRODUCT(dFactor,tpSurvAxH,INDEX(tEIdxElec,19)*INDEX(elecAxH,stdCSL+1,4)*allOnes,OFFSET(tPrcElec,0,18,1,_maxLT))</f>
        <v>164988.61045442044</v>
      </c>
      <c r="X169" s="28">
        <f ca="1">SUMPRODUCT(dFactor,tpSurvAxH,INDEX(tEIdxElec,20)*INDEX(elecAxH,stdCSL+1,4)*allOnes,OFFSET(tPrcElec,0,19,1,_maxLT))</f>
        <v>165578.98612707216</v>
      </c>
      <c r="Y169" s="28">
        <f ca="1">SUMPRODUCT(dFactor,tpSurvAxH,INDEX(tEIdxElec,21)*INDEX(elecAxH,stdCSL+1,4)*allOnes,OFFSET(tPrcElec,0,20,1,_maxLT))</f>
        <v>166223.32971196153</v>
      </c>
      <c r="Z169" s="28">
        <f ca="1">SUMPRODUCT(dFactor,tpSurvAxH,INDEX(tEIdxElec,22)*INDEX(elecAxH,stdCSL+1,4)*allOnes,OFFSET(tPrcElec,0,21,1,_maxLT))</f>
        <v>166926.18916863433</v>
      </c>
      <c r="AA169" s="28">
        <f ca="1">SUMPRODUCT(dFactor,tpSurvAxH,INDEX(tEIdxElec,23)*INDEX(elecAxH,stdCSL+1,4)*allOnes,OFFSET(tPrcElec,0,22,1,_maxLT))</f>
        <v>167553.9860400256</v>
      </c>
      <c r="AB169" s="28">
        <f ca="1">SUMPRODUCT(dFactor,tpSurvAxH,INDEX(tEIdxElec,24)*INDEX(elecAxH,stdCSL+1,4)*allOnes,OFFSET(tPrcElec,0,23,1,_maxLT))</f>
        <v>168239.19201425099</v>
      </c>
      <c r="AC169" s="28">
        <f ca="1">SUMPRODUCT(dFactor,tpSurvAxH,INDEX(tEIdxElec,25)*INDEX(elecAxH,stdCSL+1,4)*allOnes,OFFSET(tPrcElec,0,24,1,_maxLT))</f>
        <v>168848.19100542946</v>
      </c>
      <c r="AD169" s="28">
        <f ca="1">SUMPRODUCT(dFactor,tpSurvAxH,INDEX(tEIdxElec,26)*INDEX(elecAxH,stdCSL+1,4)*allOnes,OFFSET(tPrcElec,0,25,1,_maxLT))</f>
        <v>169513.11015095242</v>
      </c>
      <c r="AE169" s="28">
        <f ca="1">SUMPRODUCT(dFactor,tpSurvAxH,INDEX(tEIdxElec,27)*INDEX(elecAxH,stdCSL+1,4)*allOnes,OFFSET(tPrcElec,0,26,1,_maxLT))</f>
        <v>170237.28519544238</v>
      </c>
      <c r="AF169" s="28">
        <f ca="1">SUMPRODUCT(dFactor,tpSurvAxH,INDEX(tEIdxElec,28)*INDEX(elecAxH,stdCSL+1,4)*allOnes,OFFSET(tPrcElec,0,27,1,_maxLT))</f>
        <v>170888.55803046536</v>
      </c>
      <c r="AG169" s="28">
        <f ca="1">SUMPRODUCT(dFactor,tpSurvAxH,INDEX(tEIdxElec,29)*INDEX(elecAxH,stdCSL+1,4)*allOnes,OFFSET(tPrcElec,0,28,1,_maxLT))</f>
        <v>171599.09340248612</v>
      </c>
      <c r="AH169" s="28">
        <f ca="1">SUMPRODUCT(dFactor,tpSurvAxH,INDEX(tEIdxElec,30)*INDEX(elecAxH,stdCSL+1,4)*allOnes,OFFSET(tPrcElec,0,29,1,_maxLT))</f>
        <v>172235.58569192982</v>
      </c>
      <c r="AI169" s="28">
        <f ca="1">SUMPRODUCT(dFactor,tpSurvAxH,INDEX(tEIdxElec,31)*INDEX(elecAxH,stdCSL+1,4)*allOnes,OFFSET(tPrcElec,0,30,1,_maxLT))</f>
        <v>172930.34428511819</v>
      </c>
      <c r="AJ169" s="28">
        <f ca="1">SUMPRODUCT(dFactor,tpSurvAxH,INDEX(tEIdxElec,32)*INDEX(elecAxH,stdCSL+1,4)*allOnes,OFFSET(tPrcElec,0,31,1,_maxLT))</f>
        <v>173550.0078301513</v>
      </c>
      <c r="AK169" s="29">
        <f ca="1">SUMPRODUCT(dFactor,tpSurvAxH,INDEX(tEIdxElec,33)*INDEX(elecAxH,stdCSL+1,4)*allOnes,OFFSET(tPrcElec,0,32,1,_maxLT))</f>
        <v>174226.9436559912</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ts2bElec*SUMPRODUCT(tpSurvAxH,INDEX(tEIdxElec,1)*INDEX(elecAxH,stdCSL+1,4)*convFactor)</f>
        <v>34211.51500900567</v>
      </c>
      <c r="F171" s="22">
        <f ca="1">ts2bElec*SUMPRODUCT(tpSurvAxH,INDEX(tEIdxElec,2)*INDEX(elecAxH,stdCSL+1,4)*convFactor)</f>
        <v>33969.468210509149</v>
      </c>
      <c r="G171" s="22">
        <f ca="1">ts2bElec*SUMPRODUCT(tpSurvAxH,INDEX(tEIdxElec,3)*INDEX(elecAxH,stdCSL+1,4)*convFactor)</f>
        <v>33725.42992995448</v>
      </c>
      <c r="H171" s="22">
        <f ca="1">ts2bElec*SUMPRODUCT(tpSurvAxH,INDEX(tEIdxElec,4)*INDEX(elecAxH,stdCSL+1,4)*convFactor)</f>
        <v>33511.045345529252</v>
      </c>
      <c r="I171" s="22">
        <f ca="1">ts2bElec*SUMPRODUCT(tpSurvAxH,INDEX(tEIdxElec,5)*INDEX(elecAxH,stdCSL+1,4)*convFactor)</f>
        <v>33307.655196982923</v>
      </c>
      <c r="J171" s="22">
        <f ca="1">ts2bElec*SUMPRODUCT(tpSurvAxH,INDEX(tEIdxElec,6)*INDEX(elecAxH,stdCSL+1,4)*convFactor)</f>
        <v>33130.494958995514</v>
      </c>
      <c r="K171" s="22">
        <f ca="1">ts2bElec*SUMPRODUCT(tpSurvAxH,INDEX(tEIdxElec,7)*INDEX(elecAxH,stdCSL+1,4)*convFactor)</f>
        <v>32993.091699881377</v>
      </c>
      <c r="L171" s="22">
        <f ca="1">ts2bElec*SUMPRODUCT(tpSurvAxH,INDEX(tEIdxElec,8)*INDEX(elecAxH,stdCSL+1,4)*convFactor)</f>
        <v>32879.170420586277</v>
      </c>
      <c r="M171" s="22">
        <f ca="1">ts2bElec*SUMPRODUCT(tpSurvAxH,INDEX(tEIdxElec,9)*INDEX(elecAxH,stdCSL+1,4)*convFactor)</f>
        <v>32764.715995179027</v>
      </c>
      <c r="N171" s="22">
        <f ca="1">ts2bElec*SUMPRODUCT(tpSurvAxH,INDEX(tEIdxElec,10)*INDEX(elecAxH,stdCSL+1,4)*convFactor)</f>
        <v>32673.131259040205</v>
      </c>
      <c r="O171" s="22">
        <f ca="1">ts2bElec*SUMPRODUCT(tpSurvAxH,INDEX(tEIdxElec,11)*INDEX(elecAxH,stdCSL+1,4)*convFactor)</f>
        <v>32610.036868110645</v>
      </c>
      <c r="P171" s="22">
        <f ca="1">ts2bElec*SUMPRODUCT(tpSurvAxH,INDEX(tEIdxElec,12)*INDEX(elecAxH,stdCSL+1,4)*convFactor)</f>
        <v>32563.843369300113</v>
      </c>
      <c r="Q171" s="22">
        <f ca="1">ts2bElec*SUMPRODUCT(tpSurvAxH,INDEX(tEIdxElec,13)*INDEX(elecAxH,stdCSL+1,4)*convFactor)</f>
        <v>32524.965602392469</v>
      </c>
      <c r="R171" s="22">
        <f ca="1">ts2bElec*SUMPRODUCT(tpSurvAxH,INDEX(tEIdxElec,14)*INDEX(elecAxH,stdCSL+1,4)*convFactor)</f>
        <v>32496.280047537515</v>
      </c>
      <c r="S171" s="22">
        <f ca="1">ts2bElec*SUMPRODUCT(tpSurvAxH,INDEX(tEIdxElec,15)*INDEX(elecAxH,stdCSL+1,4)*convFactor)</f>
        <v>32474.41921187536</v>
      </c>
      <c r="T171" s="22">
        <f ca="1">ts2bElec*SUMPRODUCT(tpSurvAxH,INDEX(tEIdxElec,16)*INDEX(elecAxH,stdCSL+1,4)*convFactor)</f>
        <v>32471.663664334137</v>
      </c>
      <c r="U171" s="22">
        <f ca="1">ts2bElec*SUMPRODUCT(tpSurvAxH,INDEX(tEIdxElec,17)*INDEX(elecAxH,stdCSL+1,4)*convFactor)</f>
        <v>32477.257623607416</v>
      </c>
      <c r="V171" s="22">
        <f ca="1">ts2bElec*SUMPRODUCT(tpSurvAxH,INDEX(tEIdxElec,18)*INDEX(elecAxH,stdCSL+1,4)*convFactor)</f>
        <v>32485.490994629636</v>
      </c>
      <c r="W171" s="22">
        <f ca="1">ts2bElec*SUMPRODUCT(tpSurvAxH,INDEX(tEIdxElec,19)*INDEX(elecAxH,stdCSL+1,4)*convFactor)</f>
        <v>32497.26585591129</v>
      </c>
      <c r="X171" s="22">
        <f ca="1">ts2bElec*SUMPRODUCT(tpSurvAxH,INDEX(tEIdxElec,20)*INDEX(elecAxH,stdCSL+1,4)*convFactor)</f>
        <v>32508.39297333662</v>
      </c>
      <c r="Y171" s="22">
        <f ca="1">ts2bElec*SUMPRODUCT(tpSurvAxH,INDEX(tEIdxElec,21)*INDEX(elecAxH,stdCSL+1,4)*convFactor)</f>
        <v>32517.612385050641</v>
      </c>
      <c r="Z171" s="22">
        <f ca="1">ts2bElec*SUMPRODUCT(tpSurvAxH,INDEX(tEIdxElec,22)*INDEX(elecAxH,stdCSL+1,4)*convFactor)</f>
        <v>32523.790694408039</v>
      </c>
      <c r="AA171" s="22">
        <f ca="1">ts2bElec*SUMPRODUCT(tpSurvAxH,INDEX(tEIdxElec,23)*INDEX(elecAxH,stdCSL+1,4)*convFactor)</f>
        <v>32527.86261154366</v>
      </c>
      <c r="AB171" s="22">
        <f ca="1">ts2bElec*SUMPRODUCT(tpSurvAxH,INDEX(tEIdxElec,24)*INDEX(elecAxH,stdCSL+1,4)*convFactor)</f>
        <v>32527.86261154366</v>
      </c>
      <c r="AC171" s="22">
        <f ca="1">ts2bElec*SUMPRODUCT(tpSurvAxH,INDEX(tEIdxElec,25)*INDEX(elecAxH,stdCSL+1,4)*convFactor)</f>
        <v>32527.86261154366</v>
      </c>
      <c r="AD171" s="22">
        <f ca="1">ts2bElec*SUMPRODUCT(tpSurvAxH,INDEX(tEIdxElec,26)*INDEX(elecAxH,stdCSL+1,4)*convFactor)</f>
        <v>32527.86261154366</v>
      </c>
      <c r="AE171" s="22">
        <f ca="1">ts2bElec*SUMPRODUCT(tpSurvAxH,INDEX(tEIdxElec,27)*INDEX(elecAxH,stdCSL+1,4)*convFactor)</f>
        <v>32527.86261154366</v>
      </c>
      <c r="AF171" s="22">
        <f ca="1">ts2bElec*SUMPRODUCT(tpSurvAxH,INDEX(tEIdxElec,28)*INDEX(elecAxH,stdCSL+1,4)*convFactor)</f>
        <v>32527.86261154366</v>
      </c>
      <c r="AG171" s="22">
        <f ca="1">ts2bElec*SUMPRODUCT(tpSurvAxH,INDEX(tEIdxElec,29)*INDEX(elecAxH,stdCSL+1,4)*convFactor)</f>
        <v>32527.86261154366</v>
      </c>
      <c r="AH171" s="22">
        <f ca="1">ts2bElec*SUMPRODUCT(tpSurvAxH,INDEX(tEIdxElec,30)*INDEX(elecAxH,stdCSL+1,4)*convFactor)</f>
        <v>32527.86261154366</v>
      </c>
      <c r="AI171" s="22">
        <f ca="1">ts2bElec*SUMPRODUCT(tpSurvAxH,INDEX(tEIdxElec,31)*INDEX(elecAxH,stdCSL+1,4)*convFactor)</f>
        <v>32527.86261154366</v>
      </c>
      <c r="AJ171" s="22">
        <f ca="1">ts2bElec*SUMPRODUCT(tpSurvAxH,INDEX(tEIdxElec,32)*INDEX(elecAxH,stdCSL+1,4)*convFactor)</f>
        <v>32527.86261154366</v>
      </c>
      <c r="AK171" s="25">
        <f ca="1">ts2bElec*SUMPRODUCT(tpSurvAxH,INDEX(tEIdxElec,33)*INDEX(elecAxH,stdCSL+1,4)*convFactor)</f>
        <v>32527.86261154366</v>
      </c>
      <c r="AL171" s="3"/>
    </row>
    <row r="172" spans="2:38">
      <c r="B172" s="3"/>
      <c r="C172" s="30" t="str">
        <f>"EL 4: " &amp; INDEX(_doName,1,5)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(1+INDEX(vadAxH,stdCSL+1,5))*INDEX(mspAxH,stdCSL+1,5)*tPIdxAll + INDEX(instAxH,stdCSL+1,5) + SUMPRODUCT(dFactor,tpSurvAxH,INDEX(mrAxH,stdCSL+1,5)*allOnes)</f>
        <v>4467.2616740000003</v>
      </c>
      <c r="F173" s="28">
        <f ca="1"/>
        <v>4467.2616740000003</v>
      </c>
      <c r="G173" s="28">
        <f ca="1"/>
        <v>4467.2616740000003</v>
      </c>
      <c r="H173" s="28">
        <f ca="1"/>
        <v>4467.2616740000003</v>
      </c>
      <c r="I173" s="28">
        <f ca="1"/>
        <v>4467.2616740000003</v>
      </c>
      <c r="J173" s="28">
        <f ca="1"/>
        <v>4467.2616740000003</v>
      </c>
      <c r="K173" s="28">
        <f ca="1"/>
        <v>4467.2616740000003</v>
      </c>
      <c r="L173" s="28">
        <f ca="1"/>
        <v>4467.2616740000003</v>
      </c>
      <c r="M173" s="28">
        <f ca="1"/>
        <v>4467.2616740000003</v>
      </c>
      <c r="N173" s="28">
        <f ca="1"/>
        <v>4467.2616740000003</v>
      </c>
      <c r="O173" s="28">
        <f ca="1"/>
        <v>4467.2616740000003</v>
      </c>
      <c r="P173" s="28">
        <f ca="1"/>
        <v>4467.2616740000003</v>
      </c>
      <c r="Q173" s="28">
        <f ca="1"/>
        <v>4467.2616740000003</v>
      </c>
      <c r="R173" s="28">
        <f ca="1"/>
        <v>4467.2616740000003</v>
      </c>
      <c r="S173" s="28">
        <f ca="1"/>
        <v>4467.2616740000003</v>
      </c>
      <c r="T173" s="28">
        <f ca="1"/>
        <v>4467.2616740000003</v>
      </c>
      <c r="U173" s="28">
        <f ca="1"/>
        <v>4467.2616740000003</v>
      </c>
      <c r="V173" s="28">
        <f ca="1"/>
        <v>4467.2616740000003</v>
      </c>
      <c r="W173" s="28">
        <f ca="1"/>
        <v>4467.2616740000003</v>
      </c>
      <c r="X173" s="28">
        <f ca="1"/>
        <v>4467.2616740000003</v>
      </c>
      <c r="Y173" s="28">
        <f ca="1"/>
        <v>4467.2616740000003</v>
      </c>
      <c r="Z173" s="28">
        <f ca="1"/>
        <v>4467.2616740000003</v>
      </c>
      <c r="AA173" s="28">
        <f ca="1"/>
        <v>4467.2616740000003</v>
      </c>
      <c r="AB173" s="28">
        <f ca="1"/>
        <v>4467.2616740000003</v>
      </c>
      <c r="AC173" s="28">
        <f ca="1"/>
        <v>4467.2616740000003</v>
      </c>
      <c r="AD173" s="28">
        <f ca="1"/>
        <v>4467.2616740000003</v>
      </c>
      <c r="AE173" s="28">
        <f ca="1"/>
        <v>4467.2616740000003</v>
      </c>
      <c r="AF173" s="28">
        <f ca="1"/>
        <v>4467.2616740000003</v>
      </c>
      <c r="AG173" s="28">
        <f ca="1"/>
        <v>4467.2616740000003</v>
      </c>
      <c r="AH173" s="28">
        <f ca="1"/>
        <v>4467.2616740000003</v>
      </c>
      <c r="AI173" s="28">
        <f ca="1"/>
        <v>4467.2616740000003</v>
      </c>
      <c r="AJ173" s="28">
        <f ca="1"/>
        <v>4467.2616740000003</v>
      </c>
      <c r="AK173" s="29">
        <f ca="1"/>
        <v>4467.2616740000003</v>
      </c>
      <c r="AL173" s="3"/>
    </row>
    <row r="174" spans="2:38">
      <c r="B174" s="3"/>
      <c r="C174" s="23" t="s">
        <v>47</v>
      </c>
      <c r="D174" s="16" t="str">
        <f>_yearDol &amp; "$"</f>
        <v>2013$</v>
      </c>
      <c r="E174" s="141">
        <f t="array" aca="1" ref="E174:AK174" ca="1">(tlccEFupolElec4)</f>
        <v>46598.680856484127</v>
      </c>
      <c r="F174" s="28">
        <f ca="1"/>
        <v>46803.805251767204</v>
      </c>
      <c r="G174" s="28">
        <f ca="1"/>
        <v>46985.417977588935</v>
      </c>
      <c r="H174" s="28">
        <f ca="1"/>
        <v>47183.364514463014</v>
      </c>
      <c r="I174" s="28">
        <f ca="1"/>
        <v>47357.325367589241</v>
      </c>
      <c r="J174" s="28">
        <f ca="1"/>
        <v>47547.132285277585</v>
      </c>
      <c r="K174" s="28">
        <f ca="1"/>
        <v>47712.449867994648</v>
      </c>
      <c r="L174" s="28">
        <f ca="1"/>
        <v>47893.013639730059</v>
      </c>
      <c r="M174" s="28">
        <f ca="1"/>
        <v>48089.896004679329</v>
      </c>
      <c r="N174" s="28">
        <f ca="1"/>
        <v>48262.811116743389</v>
      </c>
      <c r="O174" s="28">
        <f ca="1"/>
        <v>48451.534509756304</v>
      </c>
      <c r="P174" s="28">
        <f ca="1"/>
        <v>48657.26699842426</v>
      </c>
      <c r="Q174" s="28">
        <f ca="1"/>
        <v>48839.666872128844</v>
      </c>
      <c r="R174" s="28">
        <f ca="1"/>
        <v>49038.577056629387</v>
      </c>
      <c r="S174" s="28">
        <f ca="1"/>
        <v>49213.75652444506</v>
      </c>
      <c r="T174" s="28">
        <f ca="1"/>
        <v>49404.970577247695</v>
      </c>
      <c r="U174" s="28">
        <f ca="1"/>
        <v>49613.529060197827</v>
      </c>
      <c r="V174" s="28">
        <f ca="1"/>
        <v>49799.005022207311</v>
      </c>
      <c r="W174" s="28">
        <f ca="1"/>
        <v>50001.37690846141</v>
      </c>
      <c r="X174" s="28">
        <f ca="1"/>
        <v>50180.295904412334</v>
      </c>
      <c r="Y174" s="28">
        <f ca="1"/>
        <v>50375.570392498914</v>
      </c>
      <c r="Z174" s="28">
        <f ca="1"/>
        <v>50588.578675373588</v>
      </c>
      <c r="AA174" s="28">
        <f ca="1"/>
        <v>50778.838523625724</v>
      </c>
      <c r="AB174" s="28">
        <f ca="1"/>
        <v>50986.496749746999</v>
      </c>
      <c r="AC174" s="28">
        <f ca="1"/>
        <v>51171.059720554011</v>
      </c>
      <c r="AD174" s="28">
        <f ca="1"/>
        <v>51372.56982914493</v>
      </c>
      <c r="AE174" s="28">
        <f ca="1"/>
        <v>51592.038004842063</v>
      </c>
      <c r="AF174" s="28">
        <f ca="1"/>
        <v>51789.412468476497</v>
      </c>
      <c r="AG174" s="28">
        <f ca="1"/>
        <v>52004.747010935855</v>
      </c>
      <c r="AH174" s="28">
        <f ca="1"/>
        <v>52197.642088821238</v>
      </c>
      <c r="AI174" s="28">
        <f ca="1"/>
        <v>52408.195327512854</v>
      </c>
      <c r="AJ174" s="28">
        <f ca="1"/>
        <v>52595.990293397437</v>
      </c>
      <c r="AK174" s="29">
        <f ca="1"/>
        <v>52801.142171926724</v>
      </c>
      <c r="AL174" s="3"/>
    </row>
    <row r="175" spans="2:38">
      <c r="B175" s="3"/>
      <c r="C175" s="27" t="str">
        <f>INDEX(_fuel,1)</f>
        <v>Electricity</v>
      </c>
      <c r="D175" s="16" t="str">
        <f>_yearDol &amp; "$"</f>
        <v>2013$</v>
      </c>
      <c r="E175" s="141">
        <f ca="1">SUMPRODUCT(dFactor,tpSurvAxH,INDEX(tEIdxElec,1)*INDEX(elecAxH,stdCSL+1,5)*allOnes,OFFSET(tPrcElec,0,0,1,_maxLT))</f>
        <v>46598.680856484127</v>
      </c>
      <c r="F175" s="28">
        <f ca="1">SUMPRODUCT(dFactor,tpSurvAxH,INDEX(tEIdxElec,2)*INDEX(elecAxH,stdCSL+1,5)*allOnes,OFFSET(tPrcElec,0,1,1,_maxLT))</f>
        <v>46803.805251767204</v>
      </c>
      <c r="G175" s="28">
        <f ca="1">SUMPRODUCT(dFactor,tpSurvAxH,INDEX(tEIdxElec,3)*INDEX(elecAxH,stdCSL+1,5)*allOnes,OFFSET(tPrcElec,0,2,1,_maxLT))</f>
        <v>46985.417977588935</v>
      </c>
      <c r="H175" s="28">
        <f ca="1">SUMPRODUCT(dFactor,tpSurvAxH,INDEX(tEIdxElec,4)*INDEX(elecAxH,stdCSL+1,5)*allOnes,OFFSET(tPrcElec,0,3,1,_maxLT))</f>
        <v>47183.364514463014</v>
      </c>
      <c r="I175" s="28">
        <f ca="1">SUMPRODUCT(dFactor,tpSurvAxH,INDEX(tEIdxElec,5)*INDEX(elecAxH,stdCSL+1,5)*allOnes,OFFSET(tPrcElec,0,4,1,_maxLT))</f>
        <v>47357.325367589241</v>
      </c>
      <c r="J175" s="28">
        <f ca="1">SUMPRODUCT(dFactor,tpSurvAxH,INDEX(tEIdxElec,6)*INDEX(elecAxH,stdCSL+1,5)*allOnes,OFFSET(tPrcElec,0,5,1,_maxLT))</f>
        <v>47547.132285277585</v>
      </c>
      <c r="K175" s="28">
        <f ca="1">SUMPRODUCT(dFactor,tpSurvAxH,INDEX(tEIdxElec,7)*INDEX(elecAxH,stdCSL+1,5)*allOnes,OFFSET(tPrcElec,0,6,1,_maxLT))</f>
        <v>47712.449867994648</v>
      </c>
      <c r="L175" s="28">
        <f ca="1">SUMPRODUCT(dFactor,tpSurvAxH,INDEX(tEIdxElec,8)*INDEX(elecAxH,stdCSL+1,5)*allOnes,OFFSET(tPrcElec,0,7,1,_maxLT))</f>
        <v>47893.013639730059</v>
      </c>
      <c r="M175" s="28">
        <f ca="1">SUMPRODUCT(dFactor,tpSurvAxH,INDEX(tEIdxElec,9)*INDEX(elecAxH,stdCSL+1,5)*allOnes,OFFSET(tPrcElec,0,8,1,_maxLT))</f>
        <v>48089.896004679329</v>
      </c>
      <c r="N175" s="28">
        <f ca="1">SUMPRODUCT(dFactor,tpSurvAxH,INDEX(tEIdxElec,10)*INDEX(elecAxH,stdCSL+1,5)*allOnes,OFFSET(tPrcElec,0,9,1,_maxLT))</f>
        <v>48262.811116743389</v>
      </c>
      <c r="O175" s="28">
        <f ca="1">SUMPRODUCT(dFactor,tpSurvAxH,INDEX(tEIdxElec,11)*INDEX(elecAxH,stdCSL+1,5)*allOnes,OFFSET(tPrcElec,0,10,1,_maxLT))</f>
        <v>48451.534509756304</v>
      </c>
      <c r="P175" s="28">
        <f ca="1">SUMPRODUCT(dFactor,tpSurvAxH,INDEX(tEIdxElec,12)*INDEX(elecAxH,stdCSL+1,5)*allOnes,OFFSET(tPrcElec,0,11,1,_maxLT))</f>
        <v>48657.26699842426</v>
      </c>
      <c r="Q175" s="28">
        <f ca="1">SUMPRODUCT(dFactor,tpSurvAxH,INDEX(tEIdxElec,13)*INDEX(elecAxH,stdCSL+1,5)*allOnes,OFFSET(tPrcElec,0,12,1,_maxLT))</f>
        <v>48839.666872128844</v>
      </c>
      <c r="R175" s="28">
        <f ca="1">SUMPRODUCT(dFactor,tpSurvAxH,INDEX(tEIdxElec,14)*INDEX(elecAxH,stdCSL+1,5)*allOnes,OFFSET(tPrcElec,0,13,1,_maxLT))</f>
        <v>49038.577056629387</v>
      </c>
      <c r="S175" s="28">
        <f ca="1">SUMPRODUCT(dFactor,tpSurvAxH,INDEX(tEIdxElec,15)*INDEX(elecAxH,stdCSL+1,5)*allOnes,OFFSET(tPrcElec,0,14,1,_maxLT))</f>
        <v>49213.75652444506</v>
      </c>
      <c r="T175" s="28">
        <f ca="1">SUMPRODUCT(dFactor,tpSurvAxH,INDEX(tEIdxElec,16)*INDEX(elecAxH,stdCSL+1,5)*allOnes,OFFSET(tPrcElec,0,15,1,_maxLT))</f>
        <v>49404.970577247695</v>
      </c>
      <c r="U175" s="28">
        <f ca="1">SUMPRODUCT(dFactor,tpSurvAxH,INDEX(tEIdxElec,17)*INDEX(elecAxH,stdCSL+1,5)*allOnes,OFFSET(tPrcElec,0,16,1,_maxLT))</f>
        <v>49613.529060197827</v>
      </c>
      <c r="V175" s="28">
        <f ca="1">SUMPRODUCT(dFactor,tpSurvAxH,INDEX(tEIdxElec,18)*INDEX(elecAxH,stdCSL+1,5)*allOnes,OFFSET(tPrcElec,0,17,1,_maxLT))</f>
        <v>49799.005022207311</v>
      </c>
      <c r="W175" s="28">
        <f ca="1">SUMPRODUCT(dFactor,tpSurvAxH,INDEX(tEIdxElec,19)*INDEX(elecAxH,stdCSL+1,5)*allOnes,OFFSET(tPrcElec,0,18,1,_maxLT))</f>
        <v>50001.37690846141</v>
      </c>
      <c r="X175" s="28">
        <f ca="1">SUMPRODUCT(dFactor,tpSurvAxH,INDEX(tEIdxElec,20)*INDEX(elecAxH,stdCSL+1,5)*allOnes,OFFSET(tPrcElec,0,19,1,_maxLT))</f>
        <v>50180.295904412334</v>
      </c>
      <c r="Y175" s="28">
        <f ca="1">SUMPRODUCT(dFactor,tpSurvAxH,INDEX(tEIdxElec,21)*INDEX(elecAxH,stdCSL+1,5)*allOnes,OFFSET(tPrcElec,0,20,1,_maxLT))</f>
        <v>50375.570392498914</v>
      </c>
      <c r="Z175" s="28">
        <f ca="1">SUMPRODUCT(dFactor,tpSurvAxH,INDEX(tEIdxElec,22)*INDEX(elecAxH,stdCSL+1,5)*allOnes,OFFSET(tPrcElec,0,21,1,_maxLT))</f>
        <v>50588.578675373588</v>
      </c>
      <c r="AA175" s="28">
        <f ca="1">SUMPRODUCT(dFactor,tpSurvAxH,INDEX(tEIdxElec,23)*INDEX(elecAxH,stdCSL+1,5)*allOnes,OFFSET(tPrcElec,0,22,1,_maxLT))</f>
        <v>50778.838523625724</v>
      </c>
      <c r="AB175" s="28">
        <f ca="1">SUMPRODUCT(dFactor,tpSurvAxH,INDEX(tEIdxElec,24)*INDEX(elecAxH,stdCSL+1,5)*allOnes,OFFSET(tPrcElec,0,23,1,_maxLT))</f>
        <v>50986.496749746999</v>
      </c>
      <c r="AC175" s="28">
        <f ca="1">SUMPRODUCT(dFactor,tpSurvAxH,INDEX(tEIdxElec,25)*INDEX(elecAxH,stdCSL+1,5)*allOnes,OFFSET(tPrcElec,0,24,1,_maxLT))</f>
        <v>51171.059720554011</v>
      </c>
      <c r="AD175" s="28">
        <f ca="1">SUMPRODUCT(dFactor,tpSurvAxH,INDEX(tEIdxElec,26)*INDEX(elecAxH,stdCSL+1,5)*allOnes,OFFSET(tPrcElec,0,25,1,_maxLT))</f>
        <v>51372.56982914493</v>
      </c>
      <c r="AE175" s="28">
        <f ca="1">SUMPRODUCT(dFactor,tpSurvAxH,INDEX(tEIdxElec,27)*INDEX(elecAxH,stdCSL+1,5)*allOnes,OFFSET(tPrcElec,0,26,1,_maxLT))</f>
        <v>51592.038004842063</v>
      </c>
      <c r="AF175" s="28">
        <f ca="1">SUMPRODUCT(dFactor,tpSurvAxH,INDEX(tEIdxElec,28)*INDEX(elecAxH,stdCSL+1,5)*allOnes,OFFSET(tPrcElec,0,27,1,_maxLT))</f>
        <v>51789.412468476497</v>
      </c>
      <c r="AG175" s="28">
        <f ca="1">SUMPRODUCT(dFactor,tpSurvAxH,INDEX(tEIdxElec,29)*INDEX(elecAxH,stdCSL+1,5)*allOnes,OFFSET(tPrcElec,0,28,1,_maxLT))</f>
        <v>52004.747010935855</v>
      </c>
      <c r="AH175" s="28">
        <f ca="1">SUMPRODUCT(dFactor,tpSurvAxH,INDEX(tEIdxElec,30)*INDEX(elecAxH,stdCSL+1,5)*allOnes,OFFSET(tPrcElec,0,29,1,_maxLT))</f>
        <v>52197.642088821238</v>
      </c>
      <c r="AI175" s="28">
        <f ca="1">SUMPRODUCT(dFactor,tpSurvAxH,INDEX(tEIdxElec,31)*INDEX(elecAxH,stdCSL+1,5)*allOnes,OFFSET(tPrcElec,0,30,1,_maxLT))</f>
        <v>52408.195327512854</v>
      </c>
      <c r="AJ175" s="28">
        <f ca="1">SUMPRODUCT(dFactor,tpSurvAxH,INDEX(tEIdxElec,32)*INDEX(elecAxH,stdCSL+1,5)*allOnes,OFFSET(tPrcElec,0,31,1,_maxLT))</f>
        <v>52595.990293397437</v>
      </c>
      <c r="AK175" s="29">
        <f ca="1">SUMPRODUCT(dFactor,tpSurvAxH,INDEX(tEIdxElec,33)*INDEX(elecAxH,stdCSL+1,5)*allOnes,OFFSET(tPrcElec,0,32,1,_maxLT))</f>
        <v>52801.142171926724</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ts2bElec*SUMPRODUCT(tpSurvAxH,INDEX(tEIdxElec,1)*INDEX(elecAxH,stdCSL+1,5)*convFactor)</f>
        <v>10368.126938358282</v>
      </c>
      <c r="F177" s="22">
        <f ca="1">ts2bElec*SUMPRODUCT(tpSurvAxH,INDEX(tEIdxElec,2)*INDEX(elecAxH,stdCSL+1,5)*convFactor)</f>
        <v>10294.772340317986</v>
      </c>
      <c r="G177" s="22">
        <f ca="1">ts2bElec*SUMPRODUCT(tpSurvAxH,INDEX(tEIdxElec,3)*INDEX(elecAxH,stdCSL+1,5)*convFactor)</f>
        <v>10220.814204586684</v>
      </c>
      <c r="H177" s="22">
        <f ca="1">ts2bElec*SUMPRODUCT(tpSurvAxH,INDEX(tEIdxElec,4)*INDEX(elecAxH,stdCSL+1,5)*convFactor)</f>
        <v>10155.842905175861</v>
      </c>
      <c r="I177" s="22">
        <f ca="1">ts2bElec*SUMPRODUCT(tpSurvAxH,INDEX(tEIdxElec,5)*INDEX(elecAxH,stdCSL+1,5)*convFactor)</f>
        <v>10094.203574746185</v>
      </c>
      <c r="J177" s="22">
        <f ca="1">ts2bElec*SUMPRODUCT(tpSurvAxH,INDEX(tEIdxElec,6)*INDEX(elecAxH,stdCSL+1,5)*convFactor)</f>
        <v>10040.513469663156</v>
      </c>
      <c r="K177" s="22">
        <f ca="1">ts2bElec*SUMPRODUCT(tpSurvAxH,INDEX(tEIdxElec,7)*INDEX(elecAxH,stdCSL+1,5)*convFactor)</f>
        <v>9998.8720973981581</v>
      </c>
      <c r="L177" s="22">
        <f ca="1">ts2bElec*SUMPRODUCT(tpSurvAxH,INDEX(tEIdxElec,8)*INDEX(elecAxH,stdCSL+1,5)*convFactor)</f>
        <v>9964.3471637785624</v>
      </c>
      <c r="M177" s="22">
        <f ca="1">ts2bElec*SUMPRODUCT(tpSurvAxH,INDEX(tEIdxElec,9)*INDEX(elecAxH,stdCSL+1,5)*convFactor)</f>
        <v>9929.6606551288623</v>
      </c>
      <c r="N177" s="22">
        <f ca="1">ts2bElec*SUMPRODUCT(tpSurvAxH,INDEX(tEIdxElec,10)*INDEX(elecAxH,stdCSL+1,5)*convFactor)</f>
        <v>9901.9050246151764</v>
      </c>
      <c r="O177" s="22">
        <f ca="1">ts2bElec*SUMPRODUCT(tpSurvAxH,INDEX(tEIdxElec,11)*INDEX(elecAxH,stdCSL+1,5)*convFactor)</f>
        <v>9882.7836657953794</v>
      </c>
      <c r="P177" s="22">
        <f ca="1">ts2bElec*SUMPRODUCT(tpSurvAxH,INDEX(tEIdxElec,12)*INDEX(elecAxH,stdCSL+1,5)*convFactor)</f>
        <v>9868.7842840296653</v>
      </c>
      <c r="Q177" s="22">
        <f ca="1">ts2bElec*SUMPRODUCT(tpSurvAxH,INDEX(tEIdxElec,13)*INDEX(elecAxH,stdCSL+1,5)*convFactor)</f>
        <v>9857.0020048095757</v>
      </c>
      <c r="R177" s="22">
        <f ca="1">ts2bElec*SUMPRODUCT(tpSurvAxH,INDEX(tEIdxElec,14)*INDEX(elecAxH,stdCSL+1,5)*convFactor)</f>
        <v>9848.3085729649156</v>
      </c>
      <c r="S177" s="22">
        <f ca="1">ts2bElec*SUMPRODUCT(tpSurvAxH,INDEX(tEIdxElec,15)*INDEX(elecAxH,stdCSL+1,5)*convFactor)</f>
        <v>9841.6834375663784</v>
      </c>
      <c r="T177" s="22">
        <f ca="1">ts2bElec*SUMPRODUCT(tpSurvAxH,INDEX(tEIdxElec,16)*INDEX(elecAxH,stdCSL+1,5)*convFactor)</f>
        <v>9840.8483425206141</v>
      </c>
      <c r="U177" s="22">
        <f ca="1">ts2bElec*SUMPRODUCT(tpSurvAxH,INDEX(tEIdxElec,17)*INDEX(elecAxH,stdCSL+1,5)*convFactor)</f>
        <v>9842.5436453979655</v>
      </c>
      <c r="V177" s="22">
        <f ca="1">ts2bElec*SUMPRODUCT(tpSurvAxH,INDEX(tEIdxElec,18)*INDEX(elecAxH,stdCSL+1,5)*convFactor)</f>
        <v>9845.0388472581162</v>
      </c>
      <c r="W177" s="22">
        <f ca="1">ts2bElec*SUMPRODUCT(tpSurvAxH,INDEX(tEIdxElec,19)*INDEX(elecAxH,stdCSL+1,5)*convFactor)</f>
        <v>9848.6073316242018</v>
      </c>
      <c r="X177" s="22">
        <f ca="1">ts2bElec*SUMPRODUCT(tpSurvAxH,INDEX(tEIdxElec,20)*INDEX(elecAxH,stdCSL+1,5)*convFactor)</f>
        <v>9851.9795110174109</v>
      </c>
      <c r="Y177" s="22">
        <f ca="1">ts2bElec*SUMPRODUCT(tpSurvAxH,INDEX(tEIdxElec,21)*INDEX(elecAxH,stdCSL+1,5)*convFactor)</f>
        <v>9854.7735419430446</v>
      </c>
      <c r="Z177" s="22">
        <f ca="1">ts2bElec*SUMPRODUCT(tpSurvAxH,INDEX(tEIdxElec,22)*INDEX(elecAxH,stdCSL+1,5)*convFactor)</f>
        <v>9856.6459377040937</v>
      </c>
      <c r="AA177" s="22">
        <f ca="1">ts2bElec*SUMPRODUCT(tpSurvAxH,INDEX(tEIdxElec,23)*INDEX(elecAxH,stdCSL+1,5)*convFactor)</f>
        <v>9857.8799711496595</v>
      </c>
      <c r="AB177" s="22">
        <f ca="1">ts2bElec*SUMPRODUCT(tpSurvAxH,INDEX(tEIdxElec,24)*INDEX(elecAxH,stdCSL+1,5)*convFactor)</f>
        <v>9857.8799711496595</v>
      </c>
      <c r="AC177" s="22">
        <f ca="1">ts2bElec*SUMPRODUCT(tpSurvAxH,INDEX(tEIdxElec,25)*INDEX(elecAxH,stdCSL+1,5)*convFactor)</f>
        <v>9857.8799711496595</v>
      </c>
      <c r="AD177" s="22">
        <f ca="1">ts2bElec*SUMPRODUCT(tpSurvAxH,INDEX(tEIdxElec,26)*INDEX(elecAxH,stdCSL+1,5)*convFactor)</f>
        <v>9857.8799711496595</v>
      </c>
      <c r="AE177" s="22">
        <f ca="1">ts2bElec*SUMPRODUCT(tpSurvAxH,INDEX(tEIdxElec,27)*INDEX(elecAxH,stdCSL+1,5)*convFactor)</f>
        <v>9857.8799711496595</v>
      </c>
      <c r="AF177" s="22">
        <f ca="1">ts2bElec*SUMPRODUCT(tpSurvAxH,INDEX(tEIdxElec,28)*INDEX(elecAxH,stdCSL+1,5)*convFactor)</f>
        <v>9857.8799711496595</v>
      </c>
      <c r="AG177" s="22">
        <f ca="1">ts2bElec*SUMPRODUCT(tpSurvAxH,INDEX(tEIdxElec,29)*INDEX(elecAxH,stdCSL+1,5)*convFactor)</f>
        <v>9857.8799711496595</v>
      </c>
      <c r="AH177" s="22">
        <f ca="1">ts2bElec*SUMPRODUCT(tpSurvAxH,INDEX(tEIdxElec,30)*INDEX(elecAxH,stdCSL+1,5)*convFactor)</f>
        <v>9857.8799711496595</v>
      </c>
      <c r="AI177" s="22">
        <f ca="1">ts2bElec*SUMPRODUCT(tpSurvAxH,INDEX(tEIdxElec,31)*INDEX(elecAxH,stdCSL+1,5)*convFactor)</f>
        <v>9857.8799711496595</v>
      </c>
      <c r="AJ177" s="22">
        <f ca="1">ts2bElec*SUMPRODUCT(tpSurvAxH,INDEX(tEIdxElec,32)*INDEX(elecAxH,stdCSL+1,5)*convFactor)</f>
        <v>9857.8799711496595</v>
      </c>
      <c r="AK177" s="25">
        <f ca="1">ts2bElec*SUMPRODUCT(tpSurvAxH,INDEX(tEIdxElec,33)*INDEX(elecAxH,stdCSL+1,5)*convFactor)</f>
        <v>9857.8799711496595</v>
      </c>
      <c r="AL177" s="3"/>
    </row>
    <row r="178" spans="2:38">
      <c r="B178" s="3"/>
      <c r="C178" s="30" t="str">
        <f>"EL 5: " &amp; INDEX(_doName,1,6)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(1+INDEX(vadAxH,stdCSL+1,6))*INDEX(mspAxH,stdCSL+1,6)*tPIdxAll + INDEX(instAxH,stdCSL+1,6) + SUMPRODUCT(dFactor,tpSurvAxH,INDEX(mrAxH,stdCSL+1,6)*allOnes)</f>
        <v>5251.4470199999996</v>
      </c>
      <c r="F179" s="28">
        <f ca="1"/>
        <v>5251.4470199999996</v>
      </c>
      <c r="G179" s="28">
        <f ca="1"/>
        <v>5251.4470199999996</v>
      </c>
      <c r="H179" s="28">
        <f ca="1"/>
        <v>5251.4470199999996</v>
      </c>
      <c r="I179" s="28">
        <f ca="1"/>
        <v>5251.4470199999996</v>
      </c>
      <c r="J179" s="28">
        <f ca="1"/>
        <v>5251.4470199999996</v>
      </c>
      <c r="K179" s="28">
        <f ca="1"/>
        <v>5251.4470199999996</v>
      </c>
      <c r="L179" s="28">
        <f ca="1"/>
        <v>5251.4470199999996</v>
      </c>
      <c r="M179" s="28">
        <f ca="1"/>
        <v>5251.4470199999996</v>
      </c>
      <c r="N179" s="28">
        <f ca="1"/>
        <v>5251.4470199999996</v>
      </c>
      <c r="O179" s="28">
        <f ca="1"/>
        <v>5251.4470199999996</v>
      </c>
      <c r="P179" s="28">
        <f ca="1"/>
        <v>5251.4470199999996</v>
      </c>
      <c r="Q179" s="28">
        <f ca="1"/>
        <v>5251.4470199999996</v>
      </c>
      <c r="R179" s="28">
        <f ca="1"/>
        <v>5251.4470199999996</v>
      </c>
      <c r="S179" s="28">
        <f ca="1"/>
        <v>5251.4470199999996</v>
      </c>
      <c r="T179" s="28">
        <f ca="1"/>
        <v>5251.4470199999996</v>
      </c>
      <c r="U179" s="28">
        <f ca="1"/>
        <v>5251.4470199999996</v>
      </c>
      <c r="V179" s="28">
        <f ca="1"/>
        <v>5251.4470199999996</v>
      </c>
      <c r="W179" s="28">
        <f ca="1"/>
        <v>5251.4470199999996</v>
      </c>
      <c r="X179" s="28">
        <f ca="1"/>
        <v>5251.4470199999996</v>
      </c>
      <c r="Y179" s="28">
        <f ca="1"/>
        <v>5251.4470199999996</v>
      </c>
      <c r="Z179" s="28">
        <f ca="1"/>
        <v>5251.4470199999996</v>
      </c>
      <c r="AA179" s="28">
        <f ca="1"/>
        <v>5251.4470199999996</v>
      </c>
      <c r="AB179" s="28">
        <f ca="1"/>
        <v>5251.4470199999996</v>
      </c>
      <c r="AC179" s="28">
        <f ca="1"/>
        <v>5251.4470199999996</v>
      </c>
      <c r="AD179" s="28">
        <f ca="1"/>
        <v>5251.4470199999996</v>
      </c>
      <c r="AE179" s="28">
        <f ca="1"/>
        <v>5251.4470199999996</v>
      </c>
      <c r="AF179" s="28">
        <f ca="1"/>
        <v>5251.4470199999996</v>
      </c>
      <c r="AG179" s="28">
        <f ca="1"/>
        <v>5251.4470199999996</v>
      </c>
      <c r="AH179" s="28">
        <f ca="1"/>
        <v>5251.4470199999996</v>
      </c>
      <c r="AI179" s="28">
        <f ca="1"/>
        <v>5251.4470199999996</v>
      </c>
      <c r="AJ179" s="28">
        <f ca="1"/>
        <v>5251.4470199999996</v>
      </c>
      <c r="AK179" s="29">
        <f ca="1"/>
        <v>5251.4470199999996</v>
      </c>
      <c r="AL179" s="3"/>
    </row>
    <row r="180" spans="2:38">
      <c r="B180" s="3"/>
      <c r="C180" s="23" t="s">
        <v>47</v>
      </c>
      <c r="D180" s="16" t="str">
        <f>_yearDol &amp; "$"</f>
        <v>2013$</v>
      </c>
      <c r="E180" s="141">
        <f t="array" aca="1" ref="E180:AK180" ca="1">(tlccEFupolElec5)</f>
        <v>66305.480460791805</v>
      </c>
      <c r="F180" s="28">
        <f ca="1"/>
        <v>66597.352920129459</v>
      </c>
      <c r="G180" s="28">
        <f ca="1"/>
        <v>66855.770515264594</v>
      </c>
      <c r="H180" s="28">
        <f ca="1"/>
        <v>67137.429566374005</v>
      </c>
      <c r="I180" s="28">
        <f ca="1"/>
        <v>67384.959276140449</v>
      </c>
      <c r="J180" s="28">
        <f ca="1"/>
        <v>67655.036425123835</v>
      </c>
      <c r="K180" s="28">
        <f ca="1"/>
        <v>67890.267585088077</v>
      </c>
      <c r="L180" s="28">
        <f ca="1"/>
        <v>68147.192618558474</v>
      </c>
      <c r="M180" s="28">
        <f ca="1"/>
        <v>68427.337454469642</v>
      </c>
      <c r="N180" s="28">
        <f ca="1"/>
        <v>68673.379174398389</v>
      </c>
      <c r="O180" s="28">
        <f ca="1"/>
        <v>68941.914571064524</v>
      </c>
      <c r="P180" s="28">
        <f ca="1"/>
        <v>69234.652289317441</v>
      </c>
      <c r="Q180" s="28">
        <f ca="1"/>
        <v>69494.189920848614</v>
      </c>
      <c r="R180" s="28">
        <f ca="1"/>
        <v>69777.220150662833</v>
      </c>
      <c r="S180" s="28">
        <f ca="1"/>
        <v>70026.483832957994</v>
      </c>
      <c r="T180" s="28">
        <f ca="1"/>
        <v>70298.563201062469</v>
      </c>
      <c r="U180" s="28">
        <f ca="1"/>
        <v>70595.322039768085</v>
      </c>
      <c r="V180" s="28">
        <f ca="1"/>
        <v>70859.23665170405</v>
      </c>
      <c r="W180" s="28">
        <f ca="1"/>
        <v>71147.192553098736</v>
      </c>
      <c r="X180" s="28">
        <f ca="1"/>
        <v>71401.777227429455</v>
      </c>
      <c r="Y180" s="28">
        <f ca="1"/>
        <v>71679.634207848983</v>
      </c>
      <c r="Z180" s="28">
        <f ca="1"/>
        <v>71982.724687633876</v>
      </c>
      <c r="AA180" s="28">
        <f ca="1"/>
        <v>72253.446313630295</v>
      </c>
      <c r="AB180" s="28">
        <f ca="1"/>
        <v>72548.924172692685</v>
      </c>
      <c r="AC180" s="28">
        <f ca="1"/>
        <v>72811.539685185795</v>
      </c>
      <c r="AD180" s="28">
        <f ca="1"/>
        <v>73098.26935912187</v>
      </c>
      <c r="AE180" s="28">
        <f ca="1"/>
        <v>73410.551650551381</v>
      </c>
      <c r="AF180" s="28">
        <f ca="1"/>
        <v>73691.396695978241</v>
      </c>
      <c r="AG180" s="28">
        <f ca="1"/>
        <v>73997.797221382469</v>
      </c>
      <c r="AH180" s="28">
        <f ca="1"/>
        <v>74272.268527922206</v>
      </c>
      <c r="AI180" s="28">
        <f ca="1"/>
        <v>74571.865713881634</v>
      </c>
      <c r="AJ180" s="28">
        <f ca="1"/>
        <v>74839.080047254014</v>
      </c>
      <c r="AK180" s="29">
        <f ca="1"/>
        <v>75130.991612630969</v>
      </c>
      <c r="AL180" s="3"/>
    </row>
    <row r="181" spans="2:38">
      <c r="B181" s="3"/>
      <c r="C181" s="27" t="str">
        <f>INDEX(_fuel,1)</f>
        <v>Electricity</v>
      </c>
      <c r="D181" s="16" t="str">
        <f>_yearDol &amp; "$"</f>
        <v>2013$</v>
      </c>
      <c r="E181" s="141">
        <f ca="1">SUMPRODUCT(dFactor,tpSurvAxH,INDEX(tEIdxElec,1)*INDEX(elecAxH,stdCSL+1,6)*allOnes,OFFSET(tPrcElec,0,0,1,_maxLT))</f>
        <v>66305.480460791805</v>
      </c>
      <c r="F181" s="28">
        <f ca="1">SUMPRODUCT(dFactor,tpSurvAxH,INDEX(tEIdxElec,2)*INDEX(elecAxH,stdCSL+1,6)*allOnes,OFFSET(tPrcElec,0,1,1,_maxLT))</f>
        <v>66597.352920129459</v>
      </c>
      <c r="G181" s="28">
        <f ca="1">SUMPRODUCT(dFactor,tpSurvAxH,INDEX(tEIdxElec,3)*INDEX(elecAxH,stdCSL+1,6)*allOnes,OFFSET(tPrcElec,0,2,1,_maxLT))</f>
        <v>66855.770515264594</v>
      </c>
      <c r="H181" s="28">
        <f ca="1">SUMPRODUCT(dFactor,tpSurvAxH,INDEX(tEIdxElec,4)*INDEX(elecAxH,stdCSL+1,6)*allOnes,OFFSET(tPrcElec,0,3,1,_maxLT))</f>
        <v>67137.429566374005</v>
      </c>
      <c r="I181" s="28">
        <f ca="1">SUMPRODUCT(dFactor,tpSurvAxH,INDEX(tEIdxElec,5)*INDEX(elecAxH,stdCSL+1,6)*allOnes,OFFSET(tPrcElec,0,4,1,_maxLT))</f>
        <v>67384.959276140449</v>
      </c>
      <c r="J181" s="28">
        <f ca="1">SUMPRODUCT(dFactor,tpSurvAxH,INDEX(tEIdxElec,6)*INDEX(elecAxH,stdCSL+1,6)*allOnes,OFFSET(tPrcElec,0,5,1,_maxLT))</f>
        <v>67655.036425123835</v>
      </c>
      <c r="K181" s="28">
        <f ca="1">SUMPRODUCT(dFactor,tpSurvAxH,INDEX(tEIdxElec,7)*INDEX(elecAxH,stdCSL+1,6)*allOnes,OFFSET(tPrcElec,0,6,1,_maxLT))</f>
        <v>67890.267585088077</v>
      </c>
      <c r="L181" s="28">
        <f ca="1">SUMPRODUCT(dFactor,tpSurvAxH,INDEX(tEIdxElec,8)*INDEX(elecAxH,stdCSL+1,6)*allOnes,OFFSET(tPrcElec,0,7,1,_maxLT))</f>
        <v>68147.192618558474</v>
      </c>
      <c r="M181" s="28">
        <f ca="1">SUMPRODUCT(dFactor,tpSurvAxH,INDEX(tEIdxElec,9)*INDEX(elecAxH,stdCSL+1,6)*allOnes,OFFSET(tPrcElec,0,8,1,_maxLT))</f>
        <v>68427.337454469642</v>
      </c>
      <c r="N181" s="28">
        <f ca="1">SUMPRODUCT(dFactor,tpSurvAxH,INDEX(tEIdxElec,10)*INDEX(elecAxH,stdCSL+1,6)*allOnes,OFFSET(tPrcElec,0,9,1,_maxLT))</f>
        <v>68673.379174398389</v>
      </c>
      <c r="O181" s="28">
        <f ca="1">SUMPRODUCT(dFactor,tpSurvAxH,INDEX(tEIdxElec,11)*INDEX(elecAxH,stdCSL+1,6)*allOnes,OFFSET(tPrcElec,0,10,1,_maxLT))</f>
        <v>68941.914571064524</v>
      </c>
      <c r="P181" s="28">
        <f ca="1">SUMPRODUCT(dFactor,tpSurvAxH,INDEX(tEIdxElec,12)*INDEX(elecAxH,stdCSL+1,6)*allOnes,OFFSET(tPrcElec,0,11,1,_maxLT))</f>
        <v>69234.652289317441</v>
      </c>
      <c r="Q181" s="28">
        <f ca="1">SUMPRODUCT(dFactor,tpSurvAxH,INDEX(tEIdxElec,13)*INDEX(elecAxH,stdCSL+1,6)*allOnes,OFFSET(tPrcElec,0,12,1,_maxLT))</f>
        <v>69494.189920848614</v>
      </c>
      <c r="R181" s="28">
        <f ca="1">SUMPRODUCT(dFactor,tpSurvAxH,INDEX(tEIdxElec,14)*INDEX(elecAxH,stdCSL+1,6)*allOnes,OFFSET(tPrcElec,0,13,1,_maxLT))</f>
        <v>69777.220150662833</v>
      </c>
      <c r="S181" s="28">
        <f ca="1">SUMPRODUCT(dFactor,tpSurvAxH,INDEX(tEIdxElec,15)*INDEX(elecAxH,stdCSL+1,6)*allOnes,OFFSET(tPrcElec,0,14,1,_maxLT))</f>
        <v>70026.483832957994</v>
      </c>
      <c r="T181" s="28">
        <f ca="1">SUMPRODUCT(dFactor,tpSurvAxH,INDEX(tEIdxElec,16)*INDEX(elecAxH,stdCSL+1,6)*allOnes,OFFSET(tPrcElec,0,15,1,_maxLT))</f>
        <v>70298.563201062469</v>
      </c>
      <c r="U181" s="28">
        <f ca="1">SUMPRODUCT(dFactor,tpSurvAxH,INDEX(tEIdxElec,17)*INDEX(elecAxH,stdCSL+1,6)*allOnes,OFFSET(tPrcElec,0,16,1,_maxLT))</f>
        <v>70595.322039768085</v>
      </c>
      <c r="V181" s="28">
        <f ca="1">SUMPRODUCT(dFactor,tpSurvAxH,INDEX(tEIdxElec,18)*INDEX(elecAxH,stdCSL+1,6)*allOnes,OFFSET(tPrcElec,0,17,1,_maxLT))</f>
        <v>70859.23665170405</v>
      </c>
      <c r="W181" s="28">
        <f ca="1">SUMPRODUCT(dFactor,tpSurvAxH,INDEX(tEIdxElec,19)*INDEX(elecAxH,stdCSL+1,6)*allOnes,OFFSET(tPrcElec,0,18,1,_maxLT))</f>
        <v>71147.192553098736</v>
      </c>
      <c r="X181" s="28">
        <f ca="1">SUMPRODUCT(dFactor,tpSurvAxH,INDEX(tEIdxElec,20)*INDEX(elecAxH,stdCSL+1,6)*allOnes,OFFSET(tPrcElec,0,19,1,_maxLT))</f>
        <v>71401.777227429455</v>
      </c>
      <c r="Y181" s="28">
        <f ca="1">SUMPRODUCT(dFactor,tpSurvAxH,INDEX(tEIdxElec,21)*INDEX(elecAxH,stdCSL+1,6)*allOnes,OFFSET(tPrcElec,0,20,1,_maxLT))</f>
        <v>71679.634207848983</v>
      </c>
      <c r="Z181" s="28">
        <f ca="1">SUMPRODUCT(dFactor,tpSurvAxH,INDEX(tEIdxElec,22)*INDEX(elecAxH,stdCSL+1,6)*allOnes,OFFSET(tPrcElec,0,21,1,_maxLT))</f>
        <v>71982.724687633876</v>
      </c>
      <c r="AA181" s="28">
        <f ca="1">SUMPRODUCT(dFactor,tpSurvAxH,INDEX(tEIdxElec,23)*INDEX(elecAxH,stdCSL+1,6)*allOnes,OFFSET(tPrcElec,0,22,1,_maxLT))</f>
        <v>72253.446313630295</v>
      </c>
      <c r="AB181" s="28">
        <f ca="1">SUMPRODUCT(dFactor,tpSurvAxH,INDEX(tEIdxElec,24)*INDEX(elecAxH,stdCSL+1,6)*allOnes,OFFSET(tPrcElec,0,23,1,_maxLT))</f>
        <v>72548.924172692685</v>
      </c>
      <c r="AC181" s="28">
        <f ca="1">SUMPRODUCT(dFactor,tpSurvAxH,INDEX(tEIdxElec,25)*INDEX(elecAxH,stdCSL+1,6)*allOnes,OFFSET(tPrcElec,0,24,1,_maxLT))</f>
        <v>72811.539685185795</v>
      </c>
      <c r="AD181" s="28">
        <f ca="1">SUMPRODUCT(dFactor,tpSurvAxH,INDEX(tEIdxElec,26)*INDEX(elecAxH,stdCSL+1,6)*allOnes,OFFSET(tPrcElec,0,25,1,_maxLT))</f>
        <v>73098.26935912187</v>
      </c>
      <c r="AE181" s="28">
        <f ca="1">SUMPRODUCT(dFactor,tpSurvAxH,INDEX(tEIdxElec,27)*INDEX(elecAxH,stdCSL+1,6)*allOnes,OFFSET(tPrcElec,0,26,1,_maxLT))</f>
        <v>73410.551650551381</v>
      </c>
      <c r="AF181" s="28">
        <f ca="1">SUMPRODUCT(dFactor,tpSurvAxH,INDEX(tEIdxElec,28)*INDEX(elecAxH,stdCSL+1,6)*allOnes,OFFSET(tPrcElec,0,27,1,_maxLT))</f>
        <v>73691.396695978241</v>
      </c>
      <c r="AG181" s="28">
        <f ca="1">SUMPRODUCT(dFactor,tpSurvAxH,INDEX(tEIdxElec,29)*INDEX(elecAxH,stdCSL+1,6)*allOnes,OFFSET(tPrcElec,0,28,1,_maxLT))</f>
        <v>73997.797221382469</v>
      </c>
      <c r="AH181" s="28">
        <f ca="1">SUMPRODUCT(dFactor,tpSurvAxH,INDEX(tEIdxElec,30)*INDEX(elecAxH,stdCSL+1,6)*allOnes,OFFSET(tPrcElec,0,29,1,_maxLT))</f>
        <v>74272.268527922206</v>
      </c>
      <c r="AI181" s="28">
        <f ca="1">SUMPRODUCT(dFactor,tpSurvAxH,INDEX(tEIdxElec,31)*INDEX(elecAxH,stdCSL+1,6)*allOnes,OFFSET(tPrcElec,0,30,1,_maxLT))</f>
        <v>74571.865713881634</v>
      </c>
      <c r="AJ181" s="28">
        <f ca="1">SUMPRODUCT(dFactor,tpSurvAxH,INDEX(tEIdxElec,32)*INDEX(elecAxH,stdCSL+1,6)*allOnes,OFFSET(tPrcElec,0,31,1,_maxLT))</f>
        <v>74839.080047254014</v>
      </c>
      <c r="AK181" s="29">
        <f ca="1">SUMPRODUCT(dFactor,tpSurvAxH,INDEX(tEIdxElec,33)*INDEX(elecAxH,stdCSL+1,6)*allOnes,OFFSET(tPrcElec,0,32,1,_maxLT))</f>
        <v>75130.991612630969</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ts2bElec*SUMPRODUCT(tpSurvAxH,INDEX(tEIdxElec,1)*INDEX(elecAxH,stdCSL+1,6)*convFactor)</f>
        <v>14752.856207316107</v>
      </c>
      <c r="F183" s="22">
        <f ca="1">ts2bElec*SUMPRODUCT(tpSurvAxH,INDEX(tEIdxElec,2)*INDEX(elecAxH,stdCSL+1,6)*convFactor)</f>
        <v>14648.479607428013</v>
      </c>
      <c r="G183" s="22">
        <f ca="1">ts2bElec*SUMPRODUCT(tpSurvAxH,INDEX(tEIdxElec,3)*INDEX(elecAxH,stdCSL+1,6)*convFactor)</f>
        <v>14543.244230942755</v>
      </c>
      <c r="H183" s="22">
        <f ca="1">ts2bElec*SUMPRODUCT(tpSurvAxH,INDEX(tEIdxElec,4)*INDEX(elecAxH,stdCSL+1,6)*convFactor)</f>
        <v>14450.796265798333</v>
      </c>
      <c r="I183" s="22">
        <f ca="1">ts2bElec*SUMPRODUCT(tpSurvAxH,INDEX(tEIdxElec,5)*INDEX(elecAxH,stdCSL+1,6)*convFactor)</f>
        <v>14363.089374867053</v>
      </c>
      <c r="J183" s="22">
        <f ca="1">ts2bElec*SUMPRODUCT(tpSurvAxH,INDEX(tEIdxElec,6)*INDEX(elecAxH,stdCSL+1,6)*convFactor)</f>
        <v>14286.693473779533</v>
      </c>
      <c r="K183" s="22">
        <f ca="1">ts2bElec*SUMPRODUCT(tpSurvAxH,INDEX(tEIdxElec,7)*INDEX(elecAxH,stdCSL+1,6)*convFactor)</f>
        <v>14227.441770848696</v>
      </c>
      <c r="L183" s="22">
        <f ca="1">ts2bElec*SUMPRODUCT(tpSurvAxH,INDEX(tEIdxElec,8)*INDEX(elecAxH,stdCSL+1,6)*convFactor)</f>
        <v>14178.316081677909</v>
      </c>
      <c r="M183" s="22">
        <f ca="1">ts2bElec*SUMPRODUCT(tpSurvAxH,INDEX(tEIdxElec,9)*INDEX(elecAxH,stdCSL+1,6)*convFactor)</f>
        <v>14128.96048664274</v>
      </c>
      <c r="N183" s="22">
        <f ca="1">ts2bElec*SUMPRODUCT(tpSurvAxH,INDEX(tEIdxElec,10)*INDEX(elecAxH,stdCSL+1,6)*convFactor)</f>
        <v>14089.466870452829</v>
      </c>
      <c r="O183" s="22">
        <f ca="1">ts2bElec*SUMPRODUCT(tpSurvAxH,INDEX(tEIdxElec,11)*INDEX(elecAxH,stdCSL+1,6)*convFactor)</f>
        <v>14062.258999751197</v>
      </c>
      <c r="P183" s="22">
        <f ca="1">ts2bElec*SUMPRODUCT(tpSurvAxH,INDEX(tEIdxElec,12)*INDEX(elecAxH,stdCSL+1,6)*convFactor)</f>
        <v>14042.339214103435</v>
      </c>
      <c r="Q183" s="22">
        <f ca="1">ts2bElec*SUMPRODUCT(tpSurvAxH,INDEX(tEIdxElec,13)*INDEX(elecAxH,stdCSL+1,6)*convFactor)</f>
        <v>14025.574154014777</v>
      </c>
      <c r="R183" s="22">
        <f ca="1">ts2bElec*SUMPRODUCT(tpSurvAxH,INDEX(tEIdxElec,14)*INDEX(elecAxH,stdCSL+1,6)*convFactor)</f>
        <v>14013.204229271871</v>
      </c>
      <c r="S183" s="22">
        <f ca="1">ts2bElec*SUMPRODUCT(tpSurvAxH,INDEX(tEIdxElec,15)*INDEX(elecAxH,stdCSL+1,6)*convFactor)</f>
        <v>14003.777293194629</v>
      </c>
      <c r="T183" s="22">
        <f ca="1">ts2bElec*SUMPRODUCT(tpSurvAxH,INDEX(tEIdxElec,16)*INDEX(elecAxH,stdCSL+1,6)*convFactor)</f>
        <v>14002.589032556729</v>
      </c>
      <c r="U183" s="22">
        <f ca="1">ts2bElec*SUMPRODUCT(tpSurvAxH,INDEX(tEIdxElec,17)*INDEX(elecAxH,stdCSL+1,6)*convFactor)</f>
        <v>14005.001286932677</v>
      </c>
      <c r="V183" s="22">
        <f ca="1">ts2bElec*SUMPRODUCT(tpSurvAxH,INDEX(tEIdxElec,18)*INDEX(elecAxH,stdCSL+1,6)*convFactor)</f>
        <v>14008.551721304271</v>
      </c>
      <c r="W183" s="22">
        <f ca="1">ts2bElec*SUMPRODUCT(tpSurvAxH,INDEX(tEIdxElec,19)*INDEX(elecAxH,stdCSL+1,6)*convFactor)</f>
        <v>14013.629334362435</v>
      </c>
      <c r="X183" s="22">
        <f ca="1">ts2bElec*SUMPRODUCT(tpSurvAxH,INDEX(tEIdxElec,20)*INDEX(elecAxH,stdCSL+1,6)*convFactor)</f>
        <v>14018.427624158565</v>
      </c>
      <c r="Y183" s="22">
        <f ca="1">ts2bElec*SUMPRODUCT(tpSurvAxH,INDEX(tEIdxElec,21)*INDEX(elecAxH,stdCSL+1,6)*convFactor)</f>
        <v>14022.403263802034</v>
      </c>
      <c r="Z183" s="22">
        <f ca="1">ts2bElec*SUMPRODUCT(tpSurvAxH,INDEX(tEIdxElec,22)*INDEX(elecAxH,stdCSL+1,6)*convFactor)</f>
        <v>14025.067504468665</v>
      </c>
      <c r="AA183" s="22">
        <f ca="1">ts2bElec*SUMPRODUCT(tpSurvAxH,INDEX(tEIdxElec,23)*INDEX(elecAxH,stdCSL+1,6)*convFactor)</f>
        <v>14026.823416417437</v>
      </c>
      <c r="AB183" s="22">
        <f ca="1">ts2bElec*SUMPRODUCT(tpSurvAxH,INDEX(tEIdxElec,24)*INDEX(elecAxH,stdCSL+1,6)*convFactor)</f>
        <v>14026.823416417437</v>
      </c>
      <c r="AC183" s="22">
        <f ca="1">ts2bElec*SUMPRODUCT(tpSurvAxH,INDEX(tEIdxElec,25)*INDEX(elecAxH,stdCSL+1,6)*convFactor)</f>
        <v>14026.823416417437</v>
      </c>
      <c r="AD183" s="22">
        <f ca="1">ts2bElec*SUMPRODUCT(tpSurvAxH,INDEX(tEIdxElec,26)*INDEX(elecAxH,stdCSL+1,6)*convFactor)</f>
        <v>14026.823416417437</v>
      </c>
      <c r="AE183" s="22">
        <f ca="1">ts2bElec*SUMPRODUCT(tpSurvAxH,INDEX(tEIdxElec,27)*INDEX(elecAxH,stdCSL+1,6)*convFactor)</f>
        <v>14026.823416417437</v>
      </c>
      <c r="AF183" s="22">
        <f ca="1">ts2bElec*SUMPRODUCT(tpSurvAxH,INDEX(tEIdxElec,28)*INDEX(elecAxH,stdCSL+1,6)*convFactor)</f>
        <v>14026.823416417437</v>
      </c>
      <c r="AG183" s="22">
        <f ca="1">ts2bElec*SUMPRODUCT(tpSurvAxH,INDEX(tEIdxElec,29)*INDEX(elecAxH,stdCSL+1,6)*convFactor)</f>
        <v>14026.823416417437</v>
      </c>
      <c r="AH183" s="22">
        <f ca="1">ts2bElec*SUMPRODUCT(tpSurvAxH,INDEX(tEIdxElec,30)*INDEX(elecAxH,stdCSL+1,6)*convFactor)</f>
        <v>14026.823416417437</v>
      </c>
      <c r="AI183" s="22">
        <f ca="1">ts2bElec*SUMPRODUCT(tpSurvAxH,INDEX(tEIdxElec,31)*INDEX(elecAxH,stdCSL+1,6)*convFactor)</f>
        <v>14026.823416417437</v>
      </c>
      <c r="AJ183" s="22">
        <f ca="1">ts2bElec*SUMPRODUCT(tpSurvAxH,INDEX(tEIdxElec,32)*INDEX(elecAxH,stdCSL+1,6)*convFactor)</f>
        <v>14026.823416417437</v>
      </c>
      <c r="AK183" s="25">
        <f ca="1">ts2bElec*SUMPRODUCT(tpSurvAxH,INDEX(tEIdxElec,33)*INDEX(elecAxH,stdCSL+1,6)*convFactor)</f>
        <v>14026.823416417437</v>
      </c>
      <c r="AL183" s="3"/>
    </row>
    <row r="184" spans="2:38">
      <c r="B184" s="3"/>
      <c r="C184" s="30" t="str">
        <f>"EL 6: " &amp; INDEX(_doName,1,7)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(1+INDEX(vadAxH,stdCSL+1,7))*INDEX(mspAxH,stdCSL+1,7)*tPIdxAll + INDEX(instAxH,stdCSL+1,7) + SUMPRODUCT(dFactor,tpSurvAxH,INDEX(mrAxH,stdCSL+1,7)*allOnes)</f>
        <v>5343.6922789999999</v>
      </c>
      <c r="F185" s="28">
        <f ca="1"/>
        <v>5343.6922789999999</v>
      </c>
      <c r="G185" s="28">
        <f ca="1"/>
        <v>5343.6922789999999</v>
      </c>
      <c r="H185" s="28">
        <f ca="1"/>
        <v>5343.6922789999999</v>
      </c>
      <c r="I185" s="28">
        <f ca="1"/>
        <v>5343.6922789999999</v>
      </c>
      <c r="J185" s="28">
        <f ca="1"/>
        <v>5343.6922789999999</v>
      </c>
      <c r="K185" s="28">
        <f ca="1"/>
        <v>5343.6922789999999</v>
      </c>
      <c r="L185" s="28">
        <f ca="1"/>
        <v>5343.6922789999999</v>
      </c>
      <c r="M185" s="28">
        <f ca="1"/>
        <v>5343.6922789999999</v>
      </c>
      <c r="N185" s="28">
        <f ca="1"/>
        <v>5343.6922789999999</v>
      </c>
      <c r="O185" s="28">
        <f ca="1"/>
        <v>5343.6922789999999</v>
      </c>
      <c r="P185" s="28">
        <f ca="1"/>
        <v>5343.6922789999999</v>
      </c>
      <c r="Q185" s="28">
        <f ca="1"/>
        <v>5343.6922789999999</v>
      </c>
      <c r="R185" s="28">
        <f ca="1"/>
        <v>5343.6922789999999</v>
      </c>
      <c r="S185" s="28">
        <f ca="1"/>
        <v>5343.6922789999999</v>
      </c>
      <c r="T185" s="28">
        <f ca="1"/>
        <v>5343.6922789999999</v>
      </c>
      <c r="U185" s="28">
        <f ca="1"/>
        <v>5343.6922789999999</v>
      </c>
      <c r="V185" s="28">
        <f ca="1"/>
        <v>5343.6922789999999</v>
      </c>
      <c r="W185" s="28">
        <f ca="1"/>
        <v>5343.6922789999999</v>
      </c>
      <c r="X185" s="28">
        <f ca="1"/>
        <v>5343.6922789999999</v>
      </c>
      <c r="Y185" s="28">
        <f ca="1"/>
        <v>5343.6922789999999</v>
      </c>
      <c r="Z185" s="28">
        <f ca="1"/>
        <v>5343.6922789999999</v>
      </c>
      <c r="AA185" s="28">
        <f ca="1"/>
        <v>5343.6922789999999</v>
      </c>
      <c r="AB185" s="28">
        <f ca="1"/>
        <v>5343.6922789999999</v>
      </c>
      <c r="AC185" s="28">
        <f ca="1"/>
        <v>5343.6922789999999</v>
      </c>
      <c r="AD185" s="28">
        <f ca="1"/>
        <v>5343.6922789999999</v>
      </c>
      <c r="AE185" s="28">
        <f ca="1"/>
        <v>5343.6922789999999</v>
      </c>
      <c r="AF185" s="28">
        <f ca="1"/>
        <v>5343.6922789999999</v>
      </c>
      <c r="AG185" s="28">
        <f ca="1"/>
        <v>5343.6922789999999</v>
      </c>
      <c r="AH185" s="28">
        <f ca="1"/>
        <v>5343.6922789999999</v>
      </c>
      <c r="AI185" s="28">
        <f ca="1"/>
        <v>5343.6922789999999</v>
      </c>
      <c r="AJ185" s="28">
        <f ca="1"/>
        <v>5343.6922789999999</v>
      </c>
      <c r="AK185" s="29">
        <f ca="1"/>
        <v>5343.6922789999999</v>
      </c>
      <c r="AL185" s="3"/>
    </row>
    <row r="186" spans="2:38">
      <c r="B186" s="3"/>
      <c r="C186" s="23" t="s">
        <v>47</v>
      </c>
      <c r="D186" s="16" t="str">
        <f>_yearDol &amp; "$"</f>
        <v>2013$</v>
      </c>
      <c r="E186" s="141">
        <f t="array" aca="1" ref="E186:AK186" ca="1">(tlccEFupolElec6)</f>
        <v>52838.239282305185</v>
      </c>
      <c r="F186" s="28">
        <f ca="1"/>
        <v>53070.829812367316</v>
      </c>
      <c r="G186" s="28">
        <f ca="1"/>
        <v>53276.760462920116</v>
      </c>
      <c r="H186" s="28">
        <f ca="1"/>
        <v>53501.212020093357</v>
      </c>
      <c r="I186" s="28">
        <f ca="1"/>
        <v>53698.46621300812</v>
      </c>
      <c r="J186" s="28">
        <f ca="1"/>
        <v>53913.68825684968</v>
      </c>
      <c r="K186" s="28">
        <f ca="1"/>
        <v>54101.14184636392</v>
      </c>
      <c r="L186" s="28">
        <f ca="1"/>
        <v>54305.88308798951</v>
      </c>
      <c r="M186" s="28">
        <f ca="1"/>
        <v>54529.127980730023</v>
      </c>
      <c r="N186" s="28">
        <f ca="1"/>
        <v>54725.196407965253</v>
      </c>
      <c r="O186" s="28">
        <f ca="1"/>
        <v>54939.189843292261</v>
      </c>
      <c r="P186" s="28">
        <f ca="1"/>
        <v>55172.469890379027</v>
      </c>
      <c r="Q186" s="28">
        <f ca="1"/>
        <v>55379.293087832746</v>
      </c>
      <c r="R186" s="28">
        <f ca="1"/>
        <v>55604.837324947432</v>
      </c>
      <c r="S186" s="28">
        <f ca="1"/>
        <v>55803.473304929343</v>
      </c>
      <c r="T186" s="28">
        <f ca="1"/>
        <v>56020.290899127824</v>
      </c>
      <c r="U186" s="28">
        <f ca="1"/>
        <v>56256.775340831511</v>
      </c>
      <c r="V186" s="28">
        <f ca="1"/>
        <v>56467.08651448803</v>
      </c>
      <c r="W186" s="28">
        <f ca="1"/>
        <v>56696.555974854011</v>
      </c>
      <c r="X186" s="28">
        <f ca="1"/>
        <v>56899.43220539196</v>
      </c>
      <c r="Y186" s="28">
        <f ca="1"/>
        <v>57120.85392672837</v>
      </c>
      <c r="Z186" s="28">
        <f ca="1"/>
        <v>57362.383996094701</v>
      </c>
      <c r="AA186" s="28">
        <f ca="1"/>
        <v>57578.119617854551</v>
      </c>
      <c r="AB186" s="28">
        <f ca="1"/>
        <v>57813.583258435421</v>
      </c>
      <c r="AC186" s="28">
        <f ca="1"/>
        <v>58022.859191464238</v>
      </c>
      <c r="AD186" s="28">
        <f ca="1"/>
        <v>58251.351482229402</v>
      </c>
      <c r="AE186" s="28">
        <f ca="1"/>
        <v>58500.206423382173</v>
      </c>
      <c r="AF186" s="28">
        <f ca="1"/>
        <v>58724.009306769629</v>
      </c>
      <c r="AG186" s="28">
        <f ca="1"/>
        <v>58968.177121632354</v>
      </c>
      <c r="AH186" s="28">
        <f ca="1"/>
        <v>59186.900829993843</v>
      </c>
      <c r="AI186" s="28">
        <f ca="1"/>
        <v>59425.6471250213</v>
      </c>
      <c r="AJ186" s="28">
        <f ca="1"/>
        <v>59638.587816925938</v>
      </c>
      <c r="AK186" s="29">
        <f ca="1"/>
        <v>59871.209510238026</v>
      </c>
      <c r="AL186" s="3"/>
    </row>
    <row r="187" spans="2:38">
      <c r="B187" s="3"/>
      <c r="C187" s="27" t="str">
        <f>INDEX(_fuel,1)</f>
        <v>Electricity</v>
      </c>
      <c r="D187" s="16" t="str">
        <f>_yearDol &amp; "$"</f>
        <v>2013$</v>
      </c>
      <c r="E187" s="141">
        <f ca="1">SUMPRODUCT(dFactor,tpSurvAxH,INDEX(tEIdxElec,1)*INDEX(elecAxH,stdCSL+1,7)*allOnes,OFFSET(tPrcElec,0,0,1,_maxLT))</f>
        <v>52838.239282305185</v>
      </c>
      <c r="F187" s="28">
        <f ca="1">SUMPRODUCT(dFactor,tpSurvAxH,INDEX(tEIdxElec,2)*INDEX(elecAxH,stdCSL+1,7)*allOnes,OFFSET(tPrcElec,0,1,1,_maxLT))</f>
        <v>53070.829812367316</v>
      </c>
      <c r="G187" s="28">
        <f ca="1">SUMPRODUCT(dFactor,tpSurvAxH,INDEX(tEIdxElec,3)*INDEX(elecAxH,stdCSL+1,7)*allOnes,OFFSET(tPrcElec,0,2,1,_maxLT))</f>
        <v>53276.760462920116</v>
      </c>
      <c r="H187" s="28">
        <f ca="1">SUMPRODUCT(dFactor,tpSurvAxH,INDEX(tEIdxElec,4)*INDEX(elecAxH,stdCSL+1,7)*allOnes,OFFSET(tPrcElec,0,3,1,_maxLT))</f>
        <v>53501.212020093357</v>
      </c>
      <c r="I187" s="28">
        <f ca="1">SUMPRODUCT(dFactor,tpSurvAxH,INDEX(tEIdxElec,5)*INDEX(elecAxH,stdCSL+1,7)*allOnes,OFFSET(tPrcElec,0,4,1,_maxLT))</f>
        <v>53698.46621300812</v>
      </c>
      <c r="J187" s="28">
        <f ca="1">SUMPRODUCT(dFactor,tpSurvAxH,INDEX(tEIdxElec,6)*INDEX(elecAxH,stdCSL+1,7)*allOnes,OFFSET(tPrcElec,0,5,1,_maxLT))</f>
        <v>53913.68825684968</v>
      </c>
      <c r="K187" s="28">
        <f ca="1">SUMPRODUCT(dFactor,tpSurvAxH,INDEX(tEIdxElec,7)*INDEX(elecAxH,stdCSL+1,7)*allOnes,OFFSET(tPrcElec,0,6,1,_maxLT))</f>
        <v>54101.14184636392</v>
      </c>
      <c r="L187" s="28">
        <f ca="1">SUMPRODUCT(dFactor,tpSurvAxH,INDEX(tEIdxElec,8)*INDEX(elecAxH,stdCSL+1,7)*allOnes,OFFSET(tPrcElec,0,7,1,_maxLT))</f>
        <v>54305.88308798951</v>
      </c>
      <c r="M187" s="28">
        <f ca="1">SUMPRODUCT(dFactor,tpSurvAxH,INDEX(tEIdxElec,9)*INDEX(elecAxH,stdCSL+1,7)*allOnes,OFFSET(tPrcElec,0,8,1,_maxLT))</f>
        <v>54529.127980730023</v>
      </c>
      <c r="N187" s="28">
        <f ca="1">SUMPRODUCT(dFactor,tpSurvAxH,INDEX(tEIdxElec,10)*INDEX(elecAxH,stdCSL+1,7)*allOnes,OFFSET(tPrcElec,0,9,1,_maxLT))</f>
        <v>54725.196407965253</v>
      </c>
      <c r="O187" s="28">
        <f ca="1">SUMPRODUCT(dFactor,tpSurvAxH,INDEX(tEIdxElec,11)*INDEX(elecAxH,stdCSL+1,7)*allOnes,OFFSET(tPrcElec,0,10,1,_maxLT))</f>
        <v>54939.189843292261</v>
      </c>
      <c r="P187" s="28">
        <f ca="1">SUMPRODUCT(dFactor,tpSurvAxH,INDEX(tEIdxElec,12)*INDEX(elecAxH,stdCSL+1,7)*allOnes,OFFSET(tPrcElec,0,11,1,_maxLT))</f>
        <v>55172.469890379027</v>
      </c>
      <c r="Q187" s="28">
        <f ca="1">SUMPRODUCT(dFactor,tpSurvAxH,INDEX(tEIdxElec,13)*INDEX(elecAxH,stdCSL+1,7)*allOnes,OFFSET(tPrcElec,0,12,1,_maxLT))</f>
        <v>55379.293087832746</v>
      </c>
      <c r="R187" s="28">
        <f ca="1">SUMPRODUCT(dFactor,tpSurvAxH,INDEX(tEIdxElec,14)*INDEX(elecAxH,stdCSL+1,7)*allOnes,OFFSET(tPrcElec,0,13,1,_maxLT))</f>
        <v>55604.837324947432</v>
      </c>
      <c r="S187" s="28">
        <f ca="1">SUMPRODUCT(dFactor,tpSurvAxH,INDEX(tEIdxElec,15)*INDEX(elecAxH,stdCSL+1,7)*allOnes,OFFSET(tPrcElec,0,14,1,_maxLT))</f>
        <v>55803.473304929343</v>
      </c>
      <c r="T187" s="28">
        <f ca="1">SUMPRODUCT(dFactor,tpSurvAxH,INDEX(tEIdxElec,16)*INDEX(elecAxH,stdCSL+1,7)*allOnes,OFFSET(tPrcElec,0,15,1,_maxLT))</f>
        <v>56020.290899127824</v>
      </c>
      <c r="U187" s="28">
        <f ca="1">SUMPRODUCT(dFactor,tpSurvAxH,INDEX(tEIdxElec,17)*INDEX(elecAxH,stdCSL+1,7)*allOnes,OFFSET(tPrcElec,0,16,1,_maxLT))</f>
        <v>56256.775340831511</v>
      </c>
      <c r="V187" s="28">
        <f ca="1">SUMPRODUCT(dFactor,tpSurvAxH,INDEX(tEIdxElec,18)*INDEX(elecAxH,stdCSL+1,7)*allOnes,OFFSET(tPrcElec,0,17,1,_maxLT))</f>
        <v>56467.08651448803</v>
      </c>
      <c r="W187" s="28">
        <f ca="1">SUMPRODUCT(dFactor,tpSurvAxH,INDEX(tEIdxElec,19)*INDEX(elecAxH,stdCSL+1,7)*allOnes,OFFSET(tPrcElec,0,18,1,_maxLT))</f>
        <v>56696.555974854011</v>
      </c>
      <c r="X187" s="28">
        <f ca="1">SUMPRODUCT(dFactor,tpSurvAxH,INDEX(tEIdxElec,20)*INDEX(elecAxH,stdCSL+1,7)*allOnes,OFFSET(tPrcElec,0,19,1,_maxLT))</f>
        <v>56899.43220539196</v>
      </c>
      <c r="Y187" s="28">
        <f ca="1">SUMPRODUCT(dFactor,tpSurvAxH,INDEX(tEIdxElec,21)*INDEX(elecAxH,stdCSL+1,7)*allOnes,OFFSET(tPrcElec,0,20,1,_maxLT))</f>
        <v>57120.85392672837</v>
      </c>
      <c r="Z187" s="28">
        <f ca="1">SUMPRODUCT(dFactor,tpSurvAxH,INDEX(tEIdxElec,22)*INDEX(elecAxH,stdCSL+1,7)*allOnes,OFFSET(tPrcElec,0,21,1,_maxLT))</f>
        <v>57362.383996094701</v>
      </c>
      <c r="AA187" s="28">
        <f ca="1">SUMPRODUCT(dFactor,tpSurvAxH,INDEX(tEIdxElec,23)*INDEX(elecAxH,stdCSL+1,7)*allOnes,OFFSET(tPrcElec,0,22,1,_maxLT))</f>
        <v>57578.119617854551</v>
      </c>
      <c r="AB187" s="28">
        <f ca="1">SUMPRODUCT(dFactor,tpSurvAxH,INDEX(tEIdxElec,24)*INDEX(elecAxH,stdCSL+1,7)*allOnes,OFFSET(tPrcElec,0,23,1,_maxLT))</f>
        <v>57813.583258435421</v>
      </c>
      <c r="AC187" s="28">
        <f ca="1">SUMPRODUCT(dFactor,tpSurvAxH,INDEX(tEIdxElec,25)*INDEX(elecAxH,stdCSL+1,7)*allOnes,OFFSET(tPrcElec,0,24,1,_maxLT))</f>
        <v>58022.859191464238</v>
      </c>
      <c r="AD187" s="28">
        <f ca="1">SUMPRODUCT(dFactor,tpSurvAxH,INDEX(tEIdxElec,26)*INDEX(elecAxH,stdCSL+1,7)*allOnes,OFFSET(tPrcElec,0,25,1,_maxLT))</f>
        <v>58251.351482229402</v>
      </c>
      <c r="AE187" s="28">
        <f ca="1">SUMPRODUCT(dFactor,tpSurvAxH,INDEX(tEIdxElec,27)*INDEX(elecAxH,stdCSL+1,7)*allOnes,OFFSET(tPrcElec,0,26,1,_maxLT))</f>
        <v>58500.206423382173</v>
      </c>
      <c r="AF187" s="28">
        <f ca="1">SUMPRODUCT(dFactor,tpSurvAxH,INDEX(tEIdxElec,28)*INDEX(elecAxH,stdCSL+1,7)*allOnes,OFFSET(tPrcElec,0,27,1,_maxLT))</f>
        <v>58724.009306769629</v>
      </c>
      <c r="AG187" s="28">
        <f ca="1">SUMPRODUCT(dFactor,tpSurvAxH,INDEX(tEIdxElec,29)*INDEX(elecAxH,stdCSL+1,7)*allOnes,OFFSET(tPrcElec,0,28,1,_maxLT))</f>
        <v>58968.177121632354</v>
      </c>
      <c r="AH187" s="28">
        <f ca="1">SUMPRODUCT(dFactor,tpSurvAxH,INDEX(tEIdxElec,30)*INDEX(elecAxH,stdCSL+1,7)*allOnes,OFFSET(tPrcElec,0,29,1,_maxLT))</f>
        <v>59186.900829993843</v>
      </c>
      <c r="AI187" s="28">
        <f ca="1">SUMPRODUCT(dFactor,tpSurvAxH,INDEX(tEIdxElec,31)*INDEX(elecAxH,stdCSL+1,7)*allOnes,OFFSET(tPrcElec,0,30,1,_maxLT))</f>
        <v>59425.6471250213</v>
      </c>
      <c r="AJ187" s="28">
        <f ca="1">SUMPRODUCT(dFactor,tpSurvAxH,INDEX(tEIdxElec,32)*INDEX(elecAxH,stdCSL+1,7)*allOnes,OFFSET(tPrcElec,0,31,1,_maxLT))</f>
        <v>59638.587816925938</v>
      </c>
      <c r="AK187" s="29">
        <f ca="1">SUMPRODUCT(dFactor,tpSurvAxH,INDEX(tEIdxElec,33)*INDEX(elecAxH,stdCSL+1,7)*allOnes,OFFSET(tPrcElec,0,32,1,_maxLT))</f>
        <v>59871.209510238026</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ts2bElec*SUMPRODUCT(tpSurvAxH,INDEX(tEIdxElec,1)*INDEX(elecAxH,stdCSL+1,7)*convFactor)</f>
        <v>11756.418036071052</v>
      </c>
      <c r="F189" s="24">
        <f ca="1">ts2bElec*SUMPRODUCT(tpSurvAxH,INDEX(tEIdxElec,2)*INDEX(elecAxH,stdCSL+1,7)*convFactor)</f>
        <v>11673.241265130955</v>
      </c>
      <c r="G189" s="24">
        <f ca="1">ts2bElec*SUMPRODUCT(tpSurvAxH,INDEX(tEIdxElec,3)*INDEX(elecAxH,stdCSL+1,7)*convFactor)</f>
        <v>11589.380142867018</v>
      </c>
      <c r="H189" s="24">
        <f ca="1">ts2bElec*SUMPRODUCT(tpSurvAxH,INDEX(tEIdxElec,4)*INDEX(elecAxH,stdCSL+1,7)*convFactor)</f>
        <v>11515.709193354003</v>
      </c>
      <c r="I189" s="24">
        <f ca="1">ts2bElec*SUMPRODUCT(tpSurvAxH,INDEX(tEIdxElec,5)*INDEX(elecAxH,stdCSL+1,7)*convFactor)</f>
        <v>11445.816363115415</v>
      </c>
      <c r="J189" s="24">
        <f ca="1">ts2bElec*SUMPRODUCT(tpSurvAxH,INDEX(tEIdxElec,6)*INDEX(elecAxH,stdCSL+1,7)*convFactor)</f>
        <v>11384.937158654531</v>
      </c>
      <c r="K189" s="24">
        <f ca="1">ts2bElec*SUMPRODUCT(tpSurvAxH,INDEX(tEIdxElec,7)*INDEX(elecAxH,stdCSL+1,7)*convFactor)</f>
        <v>11337.720011058489</v>
      </c>
      <c r="L189" s="24">
        <f ca="1">ts2bElec*SUMPRODUCT(tpSurvAxH,INDEX(tEIdxElec,8)*INDEX(elecAxH,stdCSL+1,7)*convFactor)</f>
        <v>11298.572192487911</v>
      </c>
      <c r="M189" s="24">
        <f ca="1">ts2bElec*SUMPRODUCT(tpSurvAxH,INDEX(tEIdxElec,9)*INDEX(elecAxH,stdCSL+1,7)*convFactor)</f>
        <v>11259.241164007828</v>
      </c>
      <c r="N189" s="24">
        <f ca="1">ts2bElec*SUMPRODUCT(tpSurvAxH,INDEX(tEIdxElec,10)*INDEX(elecAxH,stdCSL+1,7)*convFactor)</f>
        <v>11227.769057511296</v>
      </c>
      <c r="O189" s="24">
        <f ca="1">ts2bElec*SUMPRODUCT(tpSurvAxH,INDEX(tEIdxElec,11)*INDEX(elecAxH,stdCSL+1,7)*convFactor)</f>
        <v>11206.087350772967</v>
      </c>
      <c r="P189" s="24">
        <f ca="1">ts2bElec*SUMPRODUCT(tpSurvAxH,INDEX(tEIdxElec,12)*INDEX(elecAxH,stdCSL+1,7)*convFactor)</f>
        <v>11190.21345327318</v>
      </c>
      <c r="Q189" s="24">
        <f ca="1">ts2bElec*SUMPRODUCT(tpSurvAxH,INDEX(tEIdxElec,13)*INDEX(elecAxH,stdCSL+1,7)*convFactor)</f>
        <v>11176.853528114798</v>
      </c>
      <c r="R189" s="24">
        <f ca="1">ts2bElec*SUMPRODUCT(tpSurvAxH,INDEX(tEIdxElec,14)*INDEX(elecAxH,stdCSL+1,7)*convFactor)</f>
        <v>11166.9960466679</v>
      </c>
      <c r="S189" s="24">
        <f ca="1">ts2bElec*SUMPRODUCT(tpSurvAxH,INDEX(tEIdxElec,15)*INDEX(elecAxH,stdCSL+1,7)*convFactor)</f>
        <v>11159.483806341963</v>
      </c>
      <c r="T189" s="24">
        <f ca="1">ts2bElec*SUMPRODUCT(tpSurvAxH,INDEX(tEIdxElec,16)*INDEX(elecAxH,stdCSL+1,7)*convFactor)</f>
        <v>11158.536892158116</v>
      </c>
      <c r="U189" s="24">
        <f ca="1">ts2bElec*SUMPRODUCT(tpSurvAxH,INDEX(tEIdxElec,17)*INDEX(elecAxH,stdCSL+1,7)*convFactor)</f>
        <v>11160.459195910993</v>
      </c>
      <c r="V189" s="24">
        <f ca="1">ts2bElec*SUMPRODUCT(tpSurvAxH,INDEX(tEIdxElec,18)*INDEX(elecAxH,stdCSL+1,7)*convFactor)</f>
        <v>11163.288505035649</v>
      </c>
      <c r="W189" s="24">
        <f ca="1">ts2bElec*SUMPRODUCT(tpSurvAxH,INDEX(tEIdxElec,19)*INDEX(elecAxH,stdCSL+1,7)*convFactor)</f>
        <v>11167.334809079988</v>
      </c>
      <c r="X189" s="24">
        <f ca="1">ts2bElec*SUMPRODUCT(tpSurvAxH,INDEX(tEIdxElec,20)*INDEX(elecAxH,stdCSL+1,7)*convFactor)</f>
        <v>11171.158522936395</v>
      </c>
      <c r="Y189" s="24">
        <f ca="1">ts2bElec*SUMPRODUCT(tpSurvAxH,INDEX(tEIdxElec,21)*INDEX(elecAxH,stdCSL+1,7)*convFactor)</f>
        <v>11174.32667430672</v>
      </c>
      <c r="Z189" s="24">
        <f ca="1">ts2bElec*SUMPRODUCT(tpSurvAxH,INDEX(tEIdxElec,22)*INDEX(elecAxH,stdCSL+1,7)*convFactor)</f>
        <v>11176.449783661645</v>
      </c>
      <c r="AA189" s="24">
        <f ca="1">ts2bElec*SUMPRODUCT(tpSurvAxH,INDEX(tEIdxElec,23)*INDEX(elecAxH,stdCSL+1,7)*convFactor)</f>
        <v>11177.849054054726</v>
      </c>
      <c r="AB189" s="24">
        <f ca="1">ts2bElec*SUMPRODUCT(tpSurvAxH,INDEX(tEIdxElec,24)*INDEX(elecAxH,stdCSL+1,7)*convFactor)</f>
        <v>11177.849054054726</v>
      </c>
      <c r="AC189" s="24">
        <f ca="1">ts2bElec*SUMPRODUCT(tpSurvAxH,INDEX(tEIdxElec,25)*INDEX(elecAxH,stdCSL+1,7)*convFactor)</f>
        <v>11177.849054054726</v>
      </c>
      <c r="AD189" s="24">
        <f ca="1">ts2bElec*SUMPRODUCT(tpSurvAxH,INDEX(tEIdxElec,26)*INDEX(elecAxH,stdCSL+1,7)*convFactor)</f>
        <v>11177.849054054726</v>
      </c>
      <c r="AE189" s="24">
        <f ca="1">ts2bElec*SUMPRODUCT(tpSurvAxH,INDEX(tEIdxElec,27)*INDEX(elecAxH,stdCSL+1,7)*convFactor)</f>
        <v>11177.849054054726</v>
      </c>
      <c r="AF189" s="24">
        <f ca="1">ts2bElec*SUMPRODUCT(tpSurvAxH,INDEX(tEIdxElec,28)*INDEX(elecAxH,stdCSL+1,7)*convFactor)</f>
        <v>11177.849054054726</v>
      </c>
      <c r="AG189" s="24">
        <f ca="1">ts2bElec*SUMPRODUCT(tpSurvAxH,INDEX(tEIdxElec,29)*INDEX(elecAxH,stdCSL+1,7)*convFactor)</f>
        <v>11177.849054054726</v>
      </c>
      <c r="AH189" s="24">
        <f ca="1">ts2bElec*SUMPRODUCT(tpSurvAxH,INDEX(tEIdxElec,30)*INDEX(elecAxH,stdCSL+1,7)*convFactor)</f>
        <v>11177.849054054726</v>
      </c>
      <c r="AI189" s="24">
        <f ca="1">ts2bElec*SUMPRODUCT(tpSurvAxH,INDEX(tEIdxElec,31)*INDEX(elecAxH,stdCSL+1,7)*convFactor)</f>
        <v>11177.849054054726</v>
      </c>
      <c r="AJ189" s="24">
        <f ca="1">ts2bElec*SUMPRODUCT(tpSurvAxH,INDEX(tEIdxElec,32)*INDEX(elecAxH,stdCSL+1,7)*convFactor)</f>
        <v>11177.849054054726</v>
      </c>
      <c r="AK189" s="26">
        <f ca="1">ts2bElec*SUMPRODUCT(tpSurvAxH,INDEX(tEIdxElec,33)*INDEX(elecAxH,stdCSL+1,7)*convFactor)</f>
        <v>11177.849054054726</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3689" priority="1" stopIfTrue="1">
      <formula>LEN(TRIM(E106))=0</formula>
    </cfRule>
    <cfRule type="notContainsBlanks" dxfId="3688" priority="2" stopIfTrue="1">
      <formula>LEN(TRIM(E106))&gt;0</formula>
    </cfRule>
  </conditionalFormatting>
  <conditionalFormatting sqref="E107:AK107">
    <cfRule type="containsBlanks" dxfId="3687" priority="3" stopIfTrue="1">
      <formula>LEN(TRIM(E107))=0</formula>
    </cfRule>
    <cfRule type="notContainsBlanks" dxfId="3686" priority="4" stopIfTrue="1">
      <formula>LEN(TRIM(E107))&gt;0</formula>
    </cfRule>
  </conditionalFormatting>
  <conditionalFormatting sqref="E108:AK108">
    <cfRule type="containsBlanks" dxfId="3685" priority="5" stopIfTrue="1">
      <formula>LEN(TRIM(E108))=0</formula>
    </cfRule>
    <cfRule type="notContainsBlanks" dxfId="3684" priority="6" stopIfTrue="1">
      <formula>LEN(TRIM(E108))&gt;0</formula>
    </cfRule>
  </conditionalFormatting>
  <conditionalFormatting sqref="E110:AK110">
    <cfRule type="containsBlanks" dxfId="3683" priority="7" stopIfTrue="1">
      <formula>LEN(TRIM(E110))=0</formula>
    </cfRule>
    <cfRule type="notContainsBlanks" dxfId="3682" priority="8" stopIfTrue="1">
      <formula>LEN(TRIM(E110))&gt;0</formula>
    </cfRule>
  </conditionalFormatting>
  <conditionalFormatting sqref="E112:AK112">
    <cfRule type="containsBlanks" dxfId="3681" priority="9" stopIfTrue="1">
      <formula>LEN(TRIM(E112))=0</formula>
    </cfRule>
    <cfRule type="notContainsBlanks" dxfId="3680" priority="10" stopIfTrue="1">
      <formula>LEN(TRIM(E112))&gt;0</formula>
    </cfRule>
  </conditionalFormatting>
  <conditionalFormatting sqref="E113:AK113">
    <cfRule type="containsBlanks" dxfId="3679" priority="11" stopIfTrue="1">
      <formula>LEN(TRIM(E113))=0</formula>
    </cfRule>
    <cfRule type="notContainsBlanks" dxfId="3678" priority="12" stopIfTrue="1">
      <formula>LEN(TRIM(E113))&gt;0</formula>
    </cfRule>
  </conditionalFormatting>
  <conditionalFormatting sqref="E114:AK114">
    <cfRule type="containsBlanks" dxfId="3677" priority="13" stopIfTrue="1">
      <formula>LEN(TRIM(E114))=0</formula>
    </cfRule>
    <cfRule type="notContainsBlanks" dxfId="3676" priority="14" stopIfTrue="1">
      <formula>LEN(TRIM(E114))&gt;0</formula>
    </cfRule>
  </conditionalFormatting>
  <conditionalFormatting sqref="E116:AK116">
    <cfRule type="containsBlanks" dxfId="3675" priority="15" stopIfTrue="1">
      <formula>LEN(TRIM(E116))=0</formula>
    </cfRule>
    <cfRule type="notContainsBlanks" dxfId="3674" priority="16" stopIfTrue="1">
      <formula>LEN(TRIM(E116))&gt;0</formula>
    </cfRule>
  </conditionalFormatting>
  <conditionalFormatting sqref="E118:AK118">
    <cfRule type="containsBlanks" dxfId="3673" priority="17" stopIfTrue="1">
      <formula>LEN(TRIM(E118))=0</formula>
    </cfRule>
    <cfRule type="notContainsBlanks" dxfId="3672" priority="18" stopIfTrue="1">
      <formula>LEN(TRIM(E118))&gt;0</formula>
    </cfRule>
  </conditionalFormatting>
  <conditionalFormatting sqref="E119:AK119">
    <cfRule type="containsBlanks" dxfId="3671" priority="19" stopIfTrue="1">
      <formula>LEN(TRIM(E119))=0</formula>
    </cfRule>
    <cfRule type="notContainsBlanks" dxfId="3670" priority="20" stopIfTrue="1">
      <formula>LEN(TRIM(E119))&gt;0</formula>
    </cfRule>
  </conditionalFormatting>
  <conditionalFormatting sqref="E120:AK120">
    <cfRule type="containsBlanks" dxfId="3669" priority="21" stopIfTrue="1">
      <formula>LEN(TRIM(E120))=0</formula>
    </cfRule>
    <cfRule type="notContainsBlanks" dxfId="3668" priority="22" stopIfTrue="1">
      <formula>LEN(TRIM(E120))&gt;0</formula>
    </cfRule>
  </conditionalFormatting>
  <conditionalFormatting sqref="E122:AK122">
    <cfRule type="containsBlanks" dxfId="3667" priority="23" stopIfTrue="1">
      <formula>LEN(TRIM(E122))=0</formula>
    </cfRule>
    <cfRule type="notContainsBlanks" dxfId="3666" priority="24" stopIfTrue="1">
      <formula>LEN(TRIM(E122))&gt;0</formula>
    </cfRule>
  </conditionalFormatting>
  <conditionalFormatting sqref="E124:AK124">
    <cfRule type="containsBlanks" dxfId="3665" priority="25" stopIfTrue="1">
      <formula>LEN(TRIM(E124))=0</formula>
    </cfRule>
    <cfRule type="notContainsBlanks" dxfId="3664" priority="26" stopIfTrue="1">
      <formula>LEN(TRIM(E124))&gt;0</formula>
    </cfRule>
  </conditionalFormatting>
  <conditionalFormatting sqref="E125:AK125">
    <cfRule type="containsBlanks" dxfId="3663" priority="27" stopIfTrue="1">
      <formula>LEN(TRIM(E125))=0</formula>
    </cfRule>
    <cfRule type="notContainsBlanks" dxfId="3662" priority="28" stopIfTrue="1">
      <formula>LEN(TRIM(E125))&gt;0</formula>
    </cfRule>
  </conditionalFormatting>
  <conditionalFormatting sqref="E126:AK126">
    <cfRule type="containsBlanks" dxfId="3661" priority="29" stopIfTrue="1">
      <formula>LEN(TRIM(E126))=0</formula>
    </cfRule>
    <cfRule type="notContainsBlanks" dxfId="3660" priority="30" stopIfTrue="1">
      <formula>LEN(TRIM(E126))&gt;0</formula>
    </cfRule>
  </conditionalFormatting>
  <conditionalFormatting sqref="E128:AK128">
    <cfRule type="containsBlanks" dxfId="3659" priority="31" stopIfTrue="1">
      <formula>LEN(TRIM(E128))=0</formula>
    </cfRule>
    <cfRule type="notContainsBlanks" dxfId="3658" priority="32" stopIfTrue="1">
      <formula>LEN(TRIM(E128))&gt;0</formula>
    </cfRule>
  </conditionalFormatting>
  <conditionalFormatting sqref="E130:AK130">
    <cfRule type="containsBlanks" dxfId="3657" priority="33" stopIfTrue="1">
      <formula>LEN(TRIM(E130))=0</formula>
    </cfRule>
    <cfRule type="notContainsBlanks" dxfId="3656" priority="34" stopIfTrue="1">
      <formula>LEN(TRIM(E130))&gt;0</formula>
    </cfRule>
  </conditionalFormatting>
  <conditionalFormatting sqref="E131:AK131">
    <cfRule type="containsBlanks" dxfId="3655" priority="35" stopIfTrue="1">
      <formula>LEN(TRIM(E131))=0</formula>
    </cfRule>
    <cfRule type="notContainsBlanks" dxfId="3654" priority="36" stopIfTrue="1">
      <formula>LEN(TRIM(E131))&gt;0</formula>
    </cfRule>
  </conditionalFormatting>
  <conditionalFormatting sqref="E132:AK132">
    <cfRule type="containsBlanks" dxfId="3653" priority="37" stopIfTrue="1">
      <formula>LEN(TRIM(E132))=0</formula>
    </cfRule>
    <cfRule type="notContainsBlanks" dxfId="3652" priority="38" stopIfTrue="1">
      <formula>LEN(TRIM(E132))&gt;0</formula>
    </cfRule>
  </conditionalFormatting>
  <conditionalFormatting sqref="E134:AK134">
    <cfRule type="containsBlanks" dxfId="3651" priority="39" stopIfTrue="1">
      <formula>LEN(TRIM(E134))=0</formula>
    </cfRule>
    <cfRule type="notContainsBlanks" dxfId="3650" priority="40" stopIfTrue="1">
      <formula>LEN(TRIM(E134))&gt;0</formula>
    </cfRule>
  </conditionalFormatting>
  <conditionalFormatting sqref="E136:AK136">
    <cfRule type="containsBlanks" dxfId="3649" priority="41" stopIfTrue="1">
      <formula>LEN(TRIM(E136))=0</formula>
    </cfRule>
  </conditionalFormatting>
  <conditionalFormatting sqref="E136:AK136">
    <cfRule type="notContainsBlanks" dxfId="3648" priority="42" stopIfTrue="1">
      <formula>LEN(TRIM(E136))&gt;0</formula>
    </cfRule>
  </conditionalFormatting>
  <conditionalFormatting sqref="E137:AK137">
    <cfRule type="containsBlanks" dxfId="3647" priority="43" stopIfTrue="1">
      <formula>LEN(TRIM(E137))=0</formula>
    </cfRule>
  </conditionalFormatting>
  <conditionalFormatting sqref="E137:AK137">
    <cfRule type="notContainsBlanks" dxfId="3646" priority="44" stopIfTrue="1">
      <formula>LEN(TRIM(E137))&gt;0</formula>
    </cfRule>
  </conditionalFormatting>
  <conditionalFormatting sqref="E138:AK138">
    <cfRule type="containsBlanks" dxfId="3645" priority="45" stopIfTrue="1">
      <formula>LEN(TRIM(E138))=0</formula>
    </cfRule>
  </conditionalFormatting>
  <conditionalFormatting sqref="E138:AK138">
    <cfRule type="notContainsBlanks" dxfId="3644" priority="46" stopIfTrue="1">
      <formula>LEN(TRIM(E138))&gt;0</formula>
    </cfRule>
  </conditionalFormatting>
  <conditionalFormatting sqref="E140:AK140">
    <cfRule type="containsBlanks" dxfId="3643" priority="47" stopIfTrue="1">
      <formula>LEN(TRIM(E140))=0</formula>
    </cfRule>
  </conditionalFormatting>
  <conditionalFormatting sqref="E140:AK140">
    <cfRule type="notContainsBlanks" dxfId="3642" priority="48" stopIfTrue="1">
      <formula>LEN(TRIM(E140))&gt;0</formula>
    </cfRule>
  </conditionalFormatting>
  <conditionalFormatting sqref="E142:AK142">
    <cfRule type="containsBlanks" dxfId="3641" priority="49" stopIfTrue="1">
      <formula>LEN(TRIM(E142))=0</formula>
    </cfRule>
  </conditionalFormatting>
  <conditionalFormatting sqref="E142:AK142">
    <cfRule type="notContainsBlanks" dxfId="3640" priority="50" stopIfTrue="1">
      <formula>LEN(TRIM(E142))&gt;0</formula>
    </cfRule>
  </conditionalFormatting>
  <conditionalFormatting sqref="E143:AK143">
    <cfRule type="containsBlanks" dxfId="3639" priority="51" stopIfTrue="1">
      <formula>LEN(TRIM(E143))=0</formula>
    </cfRule>
  </conditionalFormatting>
  <conditionalFormatting sqref="E143:AK143">
    <cfRule type="notContainsBlanks" dxfId="3638" priority="52" stopIfTrue="1">
      <formula>LEN(TRIM(E143))&gt;0</formula>
    </cfRule>
  </conditionalFormatting>
  <conditionalFormatting sqref="E144:AK144">
    <cfRule type="containsBlanks" dxfId="3637" priority="53" stopIfTrue="1">
      <formula>LEN(TRIM(E144))=0</formula>
    </cfRule>
  </conditionalFormatting>
  <conditionalFormatting sqref="E144:AK144">
    <cfRule type="notContainsBlanks" dxfId="3636" priority="54" stopIfTrue="1">
      <formula>LEN(TRIM(E144))&gt;0</formula>
    </cfRule>
  </conditionalFormatting>
  <conditionalFormatting sqref="E146:AK146">
    <cfRule type="containsBlanks" dxfId="3635" priority="55" stopIfTrue="1">
      <formula>LEN(TRIM(E146))=0</formula>
    </cfRule>
  </conditionalFormatting>
  <conditionalFormatting sqref="E146:AK146">
    <cfRule type="notContainsBlanks" dxfId="3634" priority="56" stopIfTrue="1">
      <formula>LEN(TRIM(E146))&gt;0</formula>
    </cfRule>
  </conditionalFormatting>
  <conditionalFormatting sqref="E149:AK149">
    <cfRule type="containsBlanks" dxfId="3633" priority="57" stopIfTrue="1">
      <formula>LEN(TRIM(E149))=0</formula>
    </cfRule>
  </conditionalFormatting>
  <conditionalFormatting sqref="E149:AK149">
    <cfRule type="notContainsBlanks" dxfId="3632" priority="58" stopIfTrue="1">
      <formula>LEN(TRIM(E149))&gt;0</formula>
    </cfRule>
  </conditionalFormatting>
  <conditionalFormatting sqref="E150:AK150">
    <cfRule type="containsBlanks" dxfId="3631" priority="59" stopIfTrue="1">
      <formula>LEN(TRIM(E150))=0</formula>
    </cfRule>
  </conditionalFormatting>
  <conditionalFormatting sqref="E150:AK150">
    <cfRule type="notContainsBlanks" dxfId="3630" priority="60" stopIfTrue="1">
      <formula>LEN(TRIM(E150))&gt;0</formula>
    </cfRule>
  </conditionalFormatting>
  <conditionalFormatting sqref="E151:AK151">
    <cfRule type="containsBlanks" dxfId="3629" priority="61" stopIfTrue="1">
      <formula>LEN(TRIM(E151))=0</formula>
    </cfRule>
  </conditionalFormatting>
  <conditionalFormatting sqref="E151:AK151">
    <cfRule type="notContainsBlanks" dxfId="3628" priority="62" stopIfTrue="1">
      <formula>LEN(TRIM(E151))&gt;0</formula>
    </cfRule>
  </conditionalFormatting>
  <conditionalFormatting sqref="E153:AK153">
    <cfRule type="containsBlanks" dxfId="3627" priority="63" stopIfTrue="1">
      <formula>LEN(TRIM(E153))=0</formula>
    </cfRule>
  </conditionalFormatting>
  <conditionalFormatting sqref="E153:AK153">
    <cfRule type="notContainsBlanks" dxfId="3626" priority="64" stopIfTrue="1">
      <formula>LEN(TRIM(E153))&gt;0</formula>
    </cfRule>
  </conditionalFormatting>
  <conditionalFormatting sqref="E155:AK155">
    <cfRule type="containsBlanks" dxfId="3625" priority="65" stopIfTrue="1">
      <formula>LEN(TRIM(E155))=0</formula>
    </cfRule>
  </conditionalFormatting>
  <conditionalFormatting sqref="E155:AK155">
    <cfRule type="notContainsBlanks" dxfId="3624" priority="66" stopIfTrue="1">
      <formula>LEN(TRIM(E155))&gt;0</formula>
    </cfRule>
  </conditionalFormatting>
  <conditionalFormatting sqref="E156:AK156">
    <cfRule type="containsBlanks" dxfId="3623" priority="67" stopIfTrue="1">
      <formula>LEN(TRIM(E156))=0</formula>
    </cfRule>
  </conditionalFormatting>
  <conditionalFormatting sqref="E156:AK156">
    <cfRule type="notContainsBlanks" dxfId="3622" priority="68" stopIfTrue="1">
      <formula>LEN(TRIM(E156))&gt;0</formula>
    </cfRule>
  </conditionalFormatting>
  <conditionalFormatting sqref="E157:AK157">
    <cfRule type="containsBlanks" dxfId="3621" priority="69" stopIfTrue="1">
      <formula>LEN(TRIM(E157))=0</formula>
    </cfRule>
  </conditionalFormatting>
  <conditionalFormatting sqref="E157:AK157">
    <cfRule type="notContainsBlanks" dxfId="3620" priority="70" stopIfTrue="1">
      <formula>LEN(TRIM(E157))&gt;0</formula>
    </cfRule>
  </conditionalFormatting>
  <conditionalFormatting sqref="E159:AK159">
    <cfRule type="containsBlanks" dxfId="3619" priority="71" stopIfTrue="1">
      <formula>LEN(TRIM(E159))=0</formula>
    </cfRule>
  </conditionalFormatting>
  <conditionalFormatting sqref="E159:AK159">
    <cfRule type="notContainsBlanks" dxfId="3618" priority="72" stopIfTrue="1">
      <formula>LEN(TRIM(E159))&gt;0</formula>
    </cfRule>
  </conditionalFormatting>
  <conditionalFormatting sqref="E161:AK161">
    <cfRule type="containsBlanks" dxfId="3617" priority="73" stopIfTrue="1">
      <formula>LEN(TRIM(E161))=0</formula>
    </cfRule>
  </conditionalFormatting>
  <conditionalFormatting sqref="E161:AK161">
    <cfRule type="notContainsBlanks" dxfId="3616" priority="74" stopIfTrue="1">
      <formula>LEN(TRIM(E161))&gt;0</formula>
    </cfRule>
  </conditionalFormatting>
  <conditionalFormatting sqref="E162:AK162">
    <cfRule type="containsBlanks" dxfId="3615" priority="75" stopIfTrue="1">
      <formula>LEN(TRIM(E162))=0</formula>
    </cfRule>
  </conditionalFormatting>
  <conditionalFormatting sqref="E162:AK162">
    <cfRule type="notContainsBlanks" dxfId="3614" priority="76" stopIfTrue="1">
      <formula>LEN(TRIM(E162))&gt;0</formula>
    </cfRule>
  </conditionalFormatting>
  <conditionalFormatting sqref="E163:AK163">
    <cfRule type="containsBlanks" dxfId="3613" priority="77" stopIfTrue="1">
      <formula>LEN(TRIM(E163))=0</formula>
    </cfRule>
  </conditionalFormatting>
  <conditionalFormatting sqref="E163:AK163">
    <cfRule type="notContainsBlanks" dxfId="3612" priority="78" stopIfTrue="1">
      <formula>LEN(TRIM(E163))&gt;0</formula>
    </cfRule>
  </conditionalFormatting>
  <conditionalFormatting sqref="E165:AK165">
    <cfRule type="containsBlanks" dxfId="3611" priority="79" stopIfTrue="1">
      <formula>LEN(TRIM(E165))=0</formula>
    </cfRule>
  </conditionalFormatting>
  <conditionalFormatting sqref="E165:AK165">
    <cfRule type="notContainsBlanks" dxfId="3610" priority="80" stopIfTrue="1">
      <formula>LEN(TRIM(E165))&gt;0</formula>
    </cfRule>
  </conditionalFormatting>
  <conditionalFormatting sqref="E167:AK167">
    <cfRule type="containsBlanks" dxfId="3609" priority="81" stopIfTrue="1">
      <formula>LEN(TRIM(E167))=0</formula>
    </cfRule>
  </conditionalFormatting>
  <conditionalFormatting sqref="E167:AK167">
    <cfRule type="notContainsBlanks" dxfId="3608" priority="82" stopIfTrue="1">
      <formula>LEN(TRIM(E167))&gt;0</formula>
    </cfRule>
  </conditionalFormatting>
  <conditionalFormatting sqref="E168:AK168">
    <cfRule type="containsBlanks" dxfId="3607" priority="83" stopIfTrue="1">
      <formula>LEN(TRIM(E168))=0</formula>
    </cfRule>
  </conditionalFormatting>
  <conditionalFormatting sqref="E168:AK168">
    <cfRule type="notContainsBlanks" dxfId="3606" priority="84" stopIfTrue="1">
      <formula>LEN(TRIM(E168))&gt;0</formula>
    </cfRule>
  </conditionalFormatting>
  <conditionalFormatting sqref="E169:AK169">
    <cfRule type="containsBlanks" dxfId="3605" priority="85" stopIfTrue="1">
      <formula>LEN(TRIM(E169))=0</formula>
    </cfRule>
  </conditionalFormatting>
  <conditionalFormatting sqref="E169:AK169">
    <cfRule type="notContainsBlanks" dxfId="3604" priority="86" stopIfTrue="1">
      <formula>LEN(TRIM(E169))&gt;0</formula>
    </cfRule>
  </conditionalFormatting>
  <conditionalFormatting sqref="E171:AK171">
    <cfRule type="containsBlanks" dxfId="3603" priority="87" stopIfTrue="1">
      <formula>LEN(TRIM(E171))=0</formula>
    </cfRule>
  </conditionalFormatting>
  <conditionalFormatting sqref="E171:AK171">
    <cfRule type="notContainsBlanks" dxfId="3602" priority="88" stopIfTrue="1">
      <formula>LEN(TRIM(E171))&gt;0</formula>
    </cfRule>
  </conditionalFormatting>
  <conditionalFormatting sqref="E173:AK173">
    <cfRule type="containsBlanks" dxfId="3601" priority="89" stopIfTrue="1">
      <formula>LEN(TRIM(E173))=0</formula>
    </cfRule>
  </conditionalFormatting>
  <conditionalFormatting sqref="E173:AK173">
    <cfRule type="notContainsBlanks" dxfId="3600" priority="90" stopIfTrue="1">
      <formula>LEN(TRIM(E173))&gt;0</formula>
    </cfRule>
  </conditionalFormatting>
  <conditionalFormatting sqref="E174:AK174">
    <cfRule type="containsBlanks" dxfId="3599" priority="91" stopIfTrue="1">
      <formula>LEN(TRIM(E174))=0</formula>
    </cfRule>
  </conditionalFormatting>
  <conditionalFormatting sqref="E174:AK174">
    <cfRule type="notContainsBlanks" dxfId="3598" priority="92" stopIfTrue="1">
      <formula>LEN(TRIM(E174))&gt;0</formula>
    </cfRule>
  </conditionalFormatting>
  <conditionalFormatting sqref="E175:AK175">
    <cfRule type="containsBlanks" dxfId="3597" priority="93" stopIfTrue="1">
      <formula>LEN(TRIM(E175))=0</formula>
    </cfRule>
  </conditionalFormatting>
  <conditionalFormatting sqref="E175:AK175">
    <cfRule type="notContainsBlanks" dxfId="3596" priority="94" stopIfTrue="1">
      <formula>LEN(TRIM(E175))&gt;0</formula>
    </cfRule>
  </conditionalFormatting>
  <conditionalFormatting sqref="E177:AK177">
    <cfRule type="containsBlanks" dxfId="3595" priority="95" stopIfTrue="1">
      <formula>LEN(TRIM(E177))=0</formula>
    </cfRule>
  </conditionalFormatting>
  <conditionalFormatting sqref="E177:AK177">
    <cfRule type="notContainsBlanks" dxfId="3594" priority="96" stopIfTrue="1">
      <formula>LEN(TRIM(E177))&gt;0</formula>
    </cfRule>
  </conditionalFormatting>
  <conditionalFormatting sqref="E179:AK179">
    <cfRule type="containsBlanks" dxfId="3593" priority="97" stopIfTrue="1">
      <formula>LEN(TRIM(E179))=0</formula>
    </cfRule>
  </conditionalFormatting>
  <conditionalFormatting sqref="E179:AK179">
    <cfRule type="notContainsBlanks" dxfId="3592" priority="98" stopIfTrue="1">
      <formula>LEN(TRIM(E179))&gt;0</formula>
    </cfRule>
  </conditionalFormatting>
  <conditionalFormatting sqref="E180:AK180">
    <cfRule type="containsBlanks" dxfId="3591" priority="99" stopIfTrue="1">
      <formula>LEN(TRIM(E180))=0</formula>
    </cfRule>
  </conditionalFormatting>
  <conditionalFormatting sqref="E180:AK180">
    <cfRule type="notContainsBlanks" dxfId="3590" priority="100" stopIfTrue="1">
      <formula>LEN(TRIM(E180))&gt;0</formula>
    </cfRule>
  </conditionalFormatting>
  <conditionalFormatting sqref="E181:AK181">
    <cfRule type="containsBlanks" dxfId="3589" priority="101" stopIfTrue="1">
      <formula>LEN(TRIM(E181))=0</formula>
    </cfRule>
  </conditionalFormatting>
  <conditionalFormatting sqref="E181:AK181">
    <cfRule type="notContainsBlanks" dxfId="3588" priority="102" stopIfTrue="1">
      <formula>LEN(TRIM(E181))&gt;0</formula>
    </cfRule>
  </conditionalFormatting>
  <conditionalFormatting sqref="E183:AK183">
    <cfRule type="containsBlanks" dxfId="3587" priority="103" stopIfTrue="1">
      <formula>LEN(TRIM(E183))=0</formula>
    </cfRule>
  </conditionalFormatting>
  <conditionalFormatting sqref="E183:AK183">
    <cfRule type="notContainsBlanks" dxfId="3586" priority="104" stopIfTrue="1">
      <formula>LEN(TRIM(E183))&gt;0</formula>
    </cfRule>
  </conditionalFormatting>
  <conditionalFormatting sqref="E185:AK185">
    <cfRule type="containsBlanks" dxfId="3585" priority="105" stopIfTrue="1">
      <formula>LEN(TRIM(E185))=0</formula>
    </cfRule>
  </conditionalFormatting>
  <conditionalFormatting sqref="E185:AK185">
    <cfRule type="notContainsBlanks" dxfId="3584" priority="106" stopIfTrue="1">
      <formula>LEN(TRIM(E185))&gt;0</formula>
    </cfRule>
  </conditionalFormatting>
  <conditionalFormatting sqref="E186:AK186">
    <cfRule type="containsBlanks" dxfId="3583" priority="107" stopIfTrue="1">
      <formula>LEN(TRIM(E186))=0</formula>
    </cfRule>
  </conditionalFormatting>
  <conditionalFormatting sqref="E186:AK186">
    <cfRule type="notContainsBlanks" dxfId="3582" priority="108" stopIfTrue="1">
      <formula>LEN(TRIM(E186))&gt;0</formula>
    </cfRule>
  </conditionalFormatting>
  <conditionalFormatting sqref="E187:AK187">
    <cfRule type="containsBlanks" dxfId="3581" priority="109" stopIfTrue="1">
      <formula>LEN(TRIM(E187))=0</formula>
    </cfRule>
  </conditionalFormatting>
  <conditionalFormatting sqref="E187:AK187">
    <cfRule type="notContainsBlanks" dxfId="3580" priority="110" stopIfTrue="1">
      <formula>LEN(TRIM(E187))&gt;0</formula>
    </cfRule>
  </conditionalFormatting>
  <conditionalFormatting sqref="E189:AK189">
    <cfRule type="containsBlanks" dxfId="3579" priority="111" stopIfTrue="1">
      <formula>LEN(TRIM(E189))=0</formula>
    </cfRule>
  </conditionalFormatting>
  <conditionalFormatting sqref="E189:AK189">
    <cfRule type="notContainsBlanks" dxfId="3578" priority="112" stopIfTrue="1">
      <formula>LEN(TRIM(E189))&gt;0</formula>
    </cfRule>
  </conditionalFormatting>
  <conditionalFormatting sqref="E95:AK95">
    <cfRule type="containsBlanks" dxfId="3577" priority="113" stopIfTrue="1">
      <formula>LEN(TRIM(E95))=0</formula>
    </cfRule>
    <cfRule type="notContainsBlanks" dxfId="3576" priority="114" stopIfTrue="1">
      <formula>LEN(TRIM(E95))&gt;0</formula>
    </cfRule>
  </conditionalFormatting>
  <conditionalFormatting sqref="E96:AK96">
    <cfRule type="containsBlanks" dxfId="3575" priority="115" stopIfTrue="1">
      <formula>LEN(TRIM(E96))=0</formula>
    </cfRule>
    <cfRule type="notContainsBlanks" dxfId="3574" priority="116" stopIfTrue="1">
      <formula>LEN(TRIM(E96))&gt;0</formula>
    </cfRule>
  </conditionalFormatting>
  <conditionalFormatting sqref="E97:AK97">
    <cfRule type="containsBlanks" dxfId="3573" priority="117" stopIfTrue="1">
      <formula>LEN(TRIM(E97))=0</formula>
    </cfRule>
    <cfRule type="notContainsBlanks" dxfId="3572" priority="118" stopIfTrue="1">
      <formula>LEN(TRIM(E97))&gt;0</formula>
    </cfRule>
  </conditionalFormatting>
  <conditionalFormatting sqref="E98:AK98">
    <cfRule type="containsBlanks" dxfId="3571" priority="119" stopIfTrue="1">
      <formula>LEN(TRIM(E98))=0</formula>
    </cfRule>
    <cfRule type="notContainsBlanks" dxfId="3570" priority="120" stopIfTrue="1">
      <formula>LEN(TRIM(E98))&gt;0</formula>
    </cfRule>
  </conditionalFormatting>
  <conditionalFormatting sqref="E99:AK99">
    <cfRule type="containsBlanks" dxfId="3569" priority="121" stopIfTrue="1">
      <formula>LEN(TRIM(E99))=0</formula>
    </cfRule>
    <cfRule type="notContainsBlanks" dxfId="3568" priority="122" stopIfTrue="1">
      <formula>LEN(TRIM(E99))&gt;0</formula>
    </cfRule>
  </conditionalFormatting>
  <conditionalFormatting sqref="E100:AK100">
    <cfRule type="containsBlanks" dxfId="3567" priority="123" stopIfTrue="1">
      <formula>LEN(TRIM(E100))=0</formula>
    </cfRule>
    <cfRule type="notContainsBlanks" dxfId="3566" priority="124" stopIfTrue="1">
      <formula>LEN(TRIM(E100))&gt;0</formula>
    </cfRule>
  </conditionalFormatting>
  <conditionalFormatting sqref="E101:AK101">
    <cfRule type="containsBlanks" dxfId="3565" priority="125" stopIfTrue="1">
      <formula>LEN(TRIM(E101))=0</formula>
    </cfRule>
    <cfRule type="notContainsBlanks" dxfId="3564" priority="126" stopIfTrue="1">
      <formula>LEN(TRIM(E101))&gt;0</formula>
    </cfRule>
  </conditionalFormatting>
  <conditionalFormatting sqref="E86:AK86">
    <cfRule type="containsBlanks" dxfId="3563" priority="127" stopIfTrue="1">
      <formula>LEN(TRIM(E86))=0</formula>
    </cfRule>
    <cfRule type="notContainsBlanks" dxfId="3562" priority="128" stopIfTrue="1">
      <formula>LEN(TRIM(E86))&gt;0</formula>
    </cfRule>
  </conditionalFormatting>
  <conditionalFormatting sqref="E87:AK87">
    <cfRule type="containsBlanks" dxfId="3561" priority="129" stopIfTrue="1">
      <formula>LEN(TRIM(E87))=0</formula>
    </cfRule>
    <cfRule type="notContainsBlanks" dxfId="3560" priority="130" stopIfTrue="1">
      <formula>LEN(TRIM(E87))&gt;0</formula>
    </cfRule>
  </conditionalFormatting>
  <conditionalFormatting sqref="E88:AK88">
    <cfRule type="containsBlanks" dxfId="3559" priority="131" stopIfTrue="1">
      <formula>LEN(TRIM(E88))=0</formula>
    </cfRule>
    <cfRule type="notContainsBlanks" dxfId="3558" priority="132" stopIfTrue="1">
      <formula>LEN(TRIM(E88))&gt;0</formula>
    </cfRule>
  </conditionalFormatting>
  <conditionalFormatting sqref="E89:AK89">
    <cfRule type="containsBlanks" dxfId="3557" priority="133" stopIfTrue="1">
      <formula>LEN(TRIM(E89))=0</formula>
    </cfRule>
    <cfRule type="notContainsBlanks" dxfId="3556" priority="134" stopIfTrue="1">
      <formula>LEN(TRIM(E89))&gt;0</formula>
    </cfRule>
  </conditionalFormatting>
  <conditionalFormatting sqref="E90:AK90">
    <cfRule type="containsBlanks" dxfId="3555" priority="135" stopIfTrue="1">
      <formula>LEN(TRIM(E90))=0</formula>
    </cfRule>
    <cfRule type="notContainsBlanks" dxfId="3554" priority="136" stopIfTrue="1">
      <formula>LEN(TRIM(E90))&gt;0</formula>
    </cfRule>
  </conditionalFormatting>
  <conditionalFormatting sqref="E91:AK91">
    <cfRule type="containsBlanks" dxfId="3553" priority="137" stopIfTrue="1">
      <formula>LEN(TRIM(E91))=0</formula>
    </cfRule>
    <cfRule type="notContainsBlanks" dxfId="3552" priority="138" stopIfTrue="1">
      <formula>LEN(TRIM(E91))&gt;0</formula>
    </cfRule>
  </conditionalFormatting>
  <conditionalFormatting sqref="E92:AK92">
    <cfRule type="containsBlanks" dxfId="3551" priority="139" stopIfTrue="1">
      <formula>LEN(TRIM(E92))=0</formula>
    </cfRule>
    <cfRule type="notContainsBlanks" dxfId="3550" priority="140" stopIfTrue="1">
      <formula>LEN(TRIM(E92))&gt;0</formula>
    </cfRule>
  </conditionalFormatting>
  <conditionalFormatting sqref="E77:AK77">
    <cfRule type="containsBlanks" dxfId="3549" priority="141" stopIfTrue="1">
      <formula>LEN(TRIM(E77))=0</formula>
    </cfRule>
    <cfRule type="notContainsBlanks" dxfId="3548" priority="142" stopIfTrue="1">
      <formula>LEN(TRIM(E77))&gt;0</formula>
    </cfRule>
  </conditionalFormatting>
  <conditionalFormatting sqref="E78:AK78">
    <cfRule type="containsBlanks" dxfId="3547" priority="143" stopIfTrue="1">
      <formula>LEN(TRIM(E78))=0</formula>
    </cfRule>
    <cfRule type="notContainsBlanks" dxfId="3546" priority="144" stopIfTrue="1">
      <formula>LEN(TRIM(E78))&gt;0</formula>
    </cfRule>
  </conditionalFormatting>
  <conditionalFormatting sqref="E79:AK79">
    <cfRule type="containsBlanks" dxfId="3545" priority="145" stopIfTrue="1">
      <formula>LEN(TRIM(E79))=0</formula>
    </cfRule>
    <cfRule type="notContainsBlanks" dxfId="3544" priority="146" stopIfTrue="1">
      <formula>LEN(TRIM(E79))&gt;0</formula>
    </cfRule>
  </conditionalFormatting>
  <conditionalFormatting sqref="E80:AK80">
    <cfRule type="containsBlanks" dxfId="3543" priority="147" stopIfTrue="1">
      <formula>LEN(TRIM(E80))=0</formula>
    </cfRule>
    <cfRule type="notContainsBlanks" dxfId="3542" priority="148" stopIfTrue="1">
      <formula>LEN(TRIM(E80))&gt;0</formula>
    </cfRule>
  </conditionalFormatting>
  <conditionalFormatting sqref="E81:AK81">
    <cfRule type="containsBlanks" dxfId="3541" priority="149" stopIfTrue="1">
      <formula>LEN(TRIM(E81))=0</formula>
    </cfRule>
    <cfRule type="notContainsBlanks" dxfId="3540" priority="150" stopIfTrue="1">
      <formula>LEN(TRIM(E81))&gt;0</formula>
    </cfRule>
  </conditionalFormatting>
  <conditionalFormatting sqref="E82:AK82">
    <cfRule type="containsBlanks" dxfId="3539" priority="151" stopIfTrue="1">
      <formula>LEN(TRIM(E82))=0</formula>
    </cfRule>
    <cfRule type="notContainsBlanks" dxfId="3538" priority="152" stopIfTrue="1">
      <formula>LEN(TRIM(E82))&gt;0</formula>
    </cfRule>
  </conditionalFormatting>
  <conditionalFormatting sqref="E83:AK83">
    <cfRule type="containsBlanks" dxfId="3537" priority="153" stopIfTrue="1">
      <formula>LEN(TRIM(E83))=0</formula>
    </cfRule>
    <cfRule type="notContainsBlanks" dxfId="3536" priority="154" stopIfTrue="1">
      <formula>LEN(TRIM(E83))&gt;0</formula>
    </cfRule>
  </conditionalFormatting>
  <conditionalFormatting sqref="E68:AK68">
    <cfRule type="containsBlanks" dxfId="3535" priority="155" stopIfTrue="1">
      <formula>LEN(TRIM(E68))=0</formula>
    </cfRule>
    <cfRule type="notContainsBlanks" dxfId="3534" priority="156" stopIfTrue="1">
      <formula>LEN(TRIM(E68))&gt;0</formula>
    </cfRule>
  </conditionalFormatting>
  <conditionalFormatting sqref="E69:AK69">
    <cfRule type="containsBlanks" dxfId="3533" priority="157" stopIfTrue="1">
      <formula>LEN(TRIM(E69))=0</formula>
    </cfRule>
    <cfRule type="notContainsBlanks" dxfId="3532" priority="158" stopIfTrue="1">
      <formula>LEN(TRIM(E69))&gt;0</formula>
    </cfRule>
  </conditionalFormatting>
  <conditionalFormatting sqref="E70:AK70">
    <cfRule type="containsBlanks" dxfId="3531" priority="159" stopIfTrue="1">
      <formula>LEN(TRIM(E70))=0</formula>
    </cfRule>
    <cfRule type="notContainsBlanks" dxfId="3530" priority="160" stopIfTrue="1">
      <formula>LEN(TRIM(E70))&gt;0</formula>
    </cfRule>
  </conditionalFormatting>
  <conditionalFormatting sqref="E71:AK71">
    <cfRule type="containsBlanks" dxfId="3529" priority="161" stopIfTrue="1">
      <formula>LEN(TRIM(E71))=0</formula>
    </cfRule>
    <cfRule type="notContainsBlanks" dxfId="3528" priority="162" stopIfTrue="1">
      <formula>LEN(TRIM(E71))&gt;0</formula>
    </cfRule>
  </conditionalFormatting>
  <conditionalFormatting sqref="E72:AK72">
    <cfRule type="containsBlanks" dxfId="3527" priority="163" stopIfTrue="1">
      <formula>LEN(TRIM(E72))=0</formula>
    </cfRule>
    <cfRule type="notContainsBlanks" dxfId="3526" priority="164" stopIfTrue="1">
      <formula>LEN(TRIM(E72))&gt;0</formula>
    </cfRule>
  </conditionalFormatting>
  <conditionalFormatting sqref="E73:AK73">
    <cfRule type="containsBlanks" dxfId="3525" priority="165" stopIfTrue="1">
      <formula>LEN(TRIM(E73))=0</formula>
    </cfRule>
    <cfRule type="notContainsBlanks" dxfId="3524" priority="166" stopIfTrue="1">
      <formula>LEN(TRIM(E73))&gt;0</formula>
    </cfRule>
  </conditionalFormatting>
  <conditionalFormatting sqref="E74:AK74">
    <cfRule type="containsBlanks" dxfId="3523" priority="167" stopIfTrue="1">
      <formula>LEN(TRIM(E74))=0</formula>
    </cfRule>
    <cfRule type="notContainsBlanks" dxfId="3522" priority="168" stopIfTrue="1">
      <formula>LEN(TRIM(E74))&gt;0</formula>
    </cfRule>
  </conditionalFormatting>
  <conditionalFormatting sqref="E59:AK59">
    <cfRule type="containsBlanks" dxfId="3521" priority="169" stopIfTrue="1">
      <formula>LEN(TRIM(E59))=0</formula>
    </cfRule>
    <cfRule type="notContainsBlanks" dxfId="3520" priority="170" stopIfTrue="1">
      <formula>LEN(TRIM(E59))&gt;0</formula>
    </cfRule>
  </conditionalFormatting>
  <conditionalFormatting sqref="E60:AK60">
    <cfRule type="containsBlanks" dxfId="3519" priority="171" stopIfTrue="1">
      <formula>LEN(TRIM(E60))=0</formula>
    </cfRule>
    <cfRule type="notContainsBlanks" dxfId="3518" priority="172" stopIfTrue="1">
      <formula>LEN(TRIM(E60))&gt;0</formula>
    </cfRule>
  </conditionalFormatting>
  <conditionalFormatting sqref="E61:AK61">
    <cfRule type="containsBlanks" dxfId="3517" priority="173" stopIfTrue="1">
      <formula>LEN(TRIM(E61))=0</formula>
    </cfRule>
    <cfRule type="notContainsBlanks" dxfId="3516" priority="174" stopIfTrue="1">
      <formula>LEN(TRIM(E61))&gt;0</formula>
    </cfRule>
  </conditionalFormatting>
  <conditionalFormatting sqref="E62:AK62">
    <cfRule type="containsBlanks" dxfId="3515" priority="175" stopIfTrue="1">
      <formula>LEN(TRIM(E62))=0</formula>
    </cfRule>
    <cfRule type="notContainsBlanks" dxfId="3514" priority="176" stopIfTrue="1">
      <formula>LEN(TRIM(E62))&gt;0</formula>
    </cfRule>
  </conditionalFormatting>
  <conditionalFormatting sqref="E63:AK63">
    <cfRule type="containsBlanks" dxfId="3513" priority="177" stopIfTrue="1">
      <formula>LEN(TRIM(E63))=0</formula>
    </cfRule>
    <cfRule type="notContainsBlanks" dxfId="3512" priority="178" stopIfTrue="1">
      <formula>LEN(TRIM(E63))&gt;0</formula>
    </cfRule>
  </conditionalFormatting>
  <conditionalFormatting sqref="E64:AK64">
    <cfRule type="containsBlanks" dxfId="3511" priority="179" stopIfTrue="1">
      <formula>LEN(TRIM(E64))=0</formula>
    </cfRule>
    <cfRule type="notContainsBlanks" dxfId="3510" priority="180" stopIfTrue="1">
      <formula>LEN(TRIM(E64))&gt;0</formula>
    </cfRule>
  </conditionalFormatting>
  <conditionalFormatting sqref="E65:AK65">
    <cfRule type="containsBlanks" dxfId="3509" priority="181" stopIfTrue="1">
      <formula>LEN(TRIM(E65))=0</formula>
    </cfRule>
    <cfRule type="notContainsBlanks" dxfId="3508" priority="182" stopIfTrue="1">
      <formula>LEN(TRIM(E65))&gt;0</formula>
    </cfRule>
  </conditionalFormatting>
  <conditionalFormatting sqref="E50:AK50">
    <cfRule type="containsBlanks" dxfId="3507" priority="183" stopIfTrue="1">
      <formula>LEN(TRIM(E50))=0</formula>
    </cfRule>
    <cfRule type="notContainsBlanks" dxfId="3506" priority="184" stopIfTrue="1">
      <formula>LEN(TRIM(E50))&gt;0</formula>
    </cfRule>
  </conditionalFormatting>
  <conditionalFormatting sqref="E51:AK51">
    <cfRule type="containsBlanks" dxfId="3505" priority="185" stopIfTrue="1">
      <formula>LEN(TRIM(E51))=0</formula>
    </cfRule>
    <cfRule type="notContainsBlanks" dxfId="3504" priority="186" stopIfTrue="1">
      <formula>LEN(TRIM(E51))&gt;0</formula>
    </cfRule>
  </conditionalFormatting>
  <conditionalFormatting sqref="E52:AK52">
    <cfRule type="containsBlanks" dxfId="3503" priority="187" stopIfTrue="1">
      <formula>LEN(TRIM(E52))=0</formula>
    </cfRule>
    <cfRule type="notContainsBlanks" dxfId="3502" priority="188" stopIfTrue="1">
      <formula>LEN(TRIM(E52))&gt;0</formula>
    </cfRule>
  </conditionalFormatting>
  <conditionalFormatting sqref="E53:AK53">
    <cfRule type="containsBlanks" dxfId="3501" priority="189" stopIfTrue="1">
      <formula>LEN(TRIM(E53))=0</formula>
    </cfRule>
    <cfRule type="notContainsBlanks" dxfId="3500" priority="190" stopIfTrue="1">
      <formula>LEN(TRIM(E53))&gt;0</formula>
    </cfRule>
  </conditionalFormatting>
  <conditionalFormatting sqref="E54:AK54">
    <cfRule type="containsBlanks" dxfId="3499" priority="191" stopIfTrue="1">
      <formula>LEN(TRIM(E54))=0</formula>
    </cfRule>
    <cfRule type="notContainsBlanks" dxfId="3498" priority="192" stopIfTrue="1">
      <formula>LEN(TRIM(E54))&gt;0</formula>
    </cfRule>
  </conditionalFormatting>
  <conditionalFormatting sqref="E55:AK55">
    <cfRule type="containsBlanks" dxfId="3497" priority="193" stopIfTrue="1">
      <formula>LEN(TRIM(E55))=0</formula>
    </cfRule>
    <cfRule type="notContainsBlanks" dxfId="3496" priority="194" stopIfTrue="1">
      <formula>LEN(TRIM(E55))&gt;0</formula>
    </cfRule>
  </conditionalFormatting>
  <conditionalFormatting sqref="E56:AK56">
    <cfRule type="containsBlanks" dxfId="3495" priority="195" stopIfTrue="1">
      <formula>LEN(TRIM(E56))=0</formula>
    </cfRule>
    <cfRule type="notContainsBlanks" dxfId="3494" priority="196" stopIfTrue="1">
      <formula>LEN(TRIM(E56))&gt;0</formula>
    </cfRule>
  </conditionalFormatting>
  <conditionalFormatting sqref="E41:E47">
    <cfRule type="containsBlanks" dxfId="3493" priority="211" stopIfTrue="1">
      <formula>LEN(TRIM(E41))=0</formula>
    </cfRule>
    <cfRule type="expression" dxfId="3492" priority="212" stopIfTrue="1">
      <formula>SUM($E$41:$E$47)&lt;&gt;1</formula>
    </cfRule>
    <cfRule type="notContainsBlanks" dxfId="3491" priority="213" stopIfTrue="1">
      <formula>LEN(TRIM(E41))&gt;0</formula>
    </cfRule>
  </conditionalFormatting>
  <conditionalFormatting sqref="F41:F47">
    <cfRule type="containsBlanks" dxfId="3490" priority="214" stopIfTrue="1">
      <formula>LEN(TRIM(F41))=0</formula>
    </cfRule>
    <cfRule type="expression" dxfId="3489" priority="215" stopIfTrue="1">
      <formula>SUM($F$41:$F$47)&lt;&gt;1</formula>
    </cfRule>
    <cfRule type="notContainsBlanks" dxfId="3488" priority="216" stopIfTrue="1">
      <formula>LEN(TRIM(F41))&gt;0</formula>
    </cfRule>
  </conditionalFormatting>
  <conditionalFormatting sqref="G41:G47">
    <cfRule type="containsBlanks" dxfId="3487" priority="217" stopIfTrue="1">
      <formula>LEN(TRIM(G41))=0</formula>
    </cfRule>
    <cfRule type="expression" dxfId="3486" priority="218" stopIfTrue="1">
      <formula>SUM($G$41:$G$47)&lt;&gt;1</formula>
    </cfRule>
    <cfRule type="notContainsBlanks" dxfId="3485" priority="219" stopIfTrue="1">
      <formula>LEN(TRIM(G41))&gt;0</formula>
    </cfRule>
  </conditionalFormatting>
  <conditionalFormatting sqref="H41:H47">
    <cfRule type="containsBlanks" dxfId="3484" priority="220" stopIfTrue="1">
      <formula>LEN(TRIM(H41))=0</formula>
    </cfRule>
    <cfRule type="expression" dxfId="3483" priority="221" stopIfTrue="1">
      <formula>SUM($H$41:$H$47)&lt;&gt;1</formula>
    </cfRule>
    <cfRule type="notContainsBlanks" dxfId="3482" priority="222" stopIfTrue="1">
      <formula>LEN(TRIM(H41))&gt;0</formula>
    </cfRule>
  </conditionalFormatting>
  <conditionalFormatting sqref="I41:I47">
    <cfRule type="containsBlanks" dxfId="3481" priority="223" stopIfTrue="1">
      <formula>LEN(TRIM(I41))=0</formula>
    </cfRule>
    <cfRule type="expression" dxfId="3480" priority="224" stopIfTrue="1">
      <formula>SUM($I$41:$I$47)&lt;&gt;1</formula>
    </cfRule>
    <cfRule type="notContainsBlanks" dxfId="3479" priority="225" stopIfTrue="1">
      <formula>LEN(TRIM(I41))&gt;0</formula>
    </cfRule>
  </conditionalFormatting>
  <conditionalFormatting sqref="J41:J47">
    <cfRule type="containsBlanks" dxfId="3478" priority="226" stopIfTrue="1">
      <formula>LEN(TRIM(J41))=0</formula>
    </cfRule>
    <cfRule type="expression" dxfId="3477" priority="227" stopIfTrue="1">
      <formula>SUM($J$41:$J$47)&lt;&gt;1</formula>
    </cfRule>
    <cfRule type="notContainsBlanks" dxfId="3476" priority="228" stopIfTrue="1">
      <formula>LEN(TRIM(J41))&gt;0</formula>
    </cfRule>
  </conditionalFormatting>
  <conditionalFormatting sqref="K41:K47">
    <cfRule type="containsBlanks" dxfId="3475" priority="229" stopIfTrue="1">
      <formula>LEN(TRIM(K41))=0</formula>
    </cfRule>
    <cfRule type="expression" dxfId="3474" priority="230" stopIfTrue="1">
      <formula>SUM($K$41:$K$47)&lt;&gt;1</formula>
    </cfRule>
    <cfRule type="notContainsBlanks" dxfId="3473" priority="231" stopIfTrue="1">
      <formula>LEN(TRIM(K41))&gt;0</formula>
    </cfRule>
  </conditionalFormatting>
  <conditionalFormatting sqref="L41:L47">
    <cfRule type="containsBlanks" dxfId="3472" priority="232" stopIfTrue="1">
      <formula>LEN(TRIM(L41))=0</formula>
    </cfRule>
    <cfRule type="expression" dxfId="3471" priority="233" stopIfTrue="1">
      <formula>SUM($L$41:$L$47)&lt;&gt;1</formula>
    </cfRule>
    <cfRule type="notContainsBlanks" dxfId="3470" priority="234" stopIfTrue="1">
      <formula>LEN(TRIM(L41))&gt;0</formula>
    </cfRule>
  </conditionalFormatting>
  <conditionalFormatting sqref="M41:M47">
    <cfRule type="containsBlanks" dxfId="3469" priority="235" stopIfTrue="1">
      <formula>LEN(TRIM(M41))=0</formula>
    </cfRule>
    <cfRule type="expression" dxfId="3468" priority="236" stopIfTrue="1">
      <formula>SUM($M$41:$M$47)&lt;&gt;1</formula>
    </cfRule>
    <cfRule type="notContainsBlanks" dxfId="3467" priority="237" stopIfTrue="1">
      <formula>LEN(TRIM(M41))&gt;0</formula>
    </cfRule>
  </conditionalFormatting>
  <conditionalFormatting sqref="N41:N47">
    <cfRule type="containsBlanks" dxfId="3466" priority="238" stopIfTrue="1">
      <formula>LEN(TRIM(N41))=0</formula>
    </cfRule>
    <cfRule type="expression" dxfId="3465" priority="239" stopIfTrue="1">
      <formula>SUM($N$41:$N$47)&lt;&gt;1</formula>
    </cfRule>
    <cfRule type="notContainsBlanks" dxfId="3464" priority="240" stopIfTrue="1">
      <formula>LEN(TRIM(N41))&gt;0</formula>
    </cfRule>
  </conditionalFormatting>
  <conditionalFormatting sqref="O41:O47">
    <cfRule type="containsBlanks" dxfId="3463" priority="241" stopIfTrue="1">
      <formula>LEN(TRIM(O41))=0</formula>
    </cfRule>
    <cfRule type="expression" dxfId="3462" priority="242" stopIfTrue="1">
      <formula>SUM($O$41:$O$47)&lt;&gt;1</formula>
    </cfRule>
    <cfRule type="notContainsBlanks" dxfId="3461" priority="243" stopIfTrue="1">
      <formula>LEN(TRIM(O41))&gt;0</formula>
    </cfRule>
  </conditionalFormatting>
  <conditionalFormatting sqref="P41:P47">
    <cfRule type="containsBlanks" dxfId="3460" priority="244" stopIfTrue="1">
      <formula>LEN(TRIM(P41))=0</formula>
    </cfRule>
    <cfRule type="expression" dxfId="3459" priority="245" stopIfTrue="1">
      <formula>SUM($P$41:$P$47)&lt;&gt;1</formula>
    </cfRule>
    <cfRule type="notContainsBlanks" dxfId="3458" priority="246" stopIfTrue="1">
      <formula>LEN(TRIM(P41))&gt;0</formula>
    </cfRule>
  </conditionalFormatting>
  <conditionalFormatting sqref="Q41:Q47">
    <cfRule type="containsBlanks" dxfId="3457" priority="247" stopIfTrue="1">
      <formula>LEN(TRIM(Q41))=0</formula>
    </cfRule>
    <cfRule type="expression" dxfId="3456" priority="248" stopIfTrue="1">
      <formula>SUM($Q$41:$Q$47)&lt;&gt;1</formula>
    </cfRule>
    <cfRule type="notContainsBlanks" dxfId="3455" priority="249" stopIfTrue="1">
      <formula>LEN(TRIM(Q41))&gt;0</formula>
    </cfRule>
  </conditionalFormatting>
  <conditionalFormatting sqref="R41:R47">
    <cfRule type="containsBlanks" dxfId="3454" priority="250" stopIfTrue="1">
      <formula>LEN(TRIM(R41))=0</formula>
    </cfRule>
  </conditionalFormatting>
  <conditionalFormatting sqref="R41:R47">
    <cfRule type="expression" dxfId="3453" priority="251" stopIfTrue="1">
      <formula>SUM($R$41:$R$47)&lt;&gt;1</formula>
    </cfRule>
  </conditionalFormatting>
  <conditionalFormatting sqref="R41:R47">
    <cfRule type="notContainsBlanks" dxfId="3452" priority="252" stopIfTrue="1">
      <formula>LEN(TRIM(R41))&gt;0</formula>
    </cfRule>
  </conditionalFormatting>
  <conditionalFormatting sqref="S41:S47">
    <cfRule type="containsBlanks" dxfId="3451" priority="253" stopIfTrue="1">
      <formula>LEN(TRIM(S41))=0</formula>
    </cfRule>
  </conditionalFormatting>
  <conditionalFormatting sqref="S41:S47">
    <cfRule type="expression" dxfId="3450" priority="254" stopIfTrue="1">
      <formula>SUM($S$41:$S$47)&lt;&gt;1</formula>
    </cfRule>
  </conditionalFormatting>
  <conditionalFormatting sqref="S41:S47">
    <cfRule type="notContainsBlanks" dxfId="3449" priority="255" stopIfTrue="1">
      <formula>LEN(TRIM(S41))&gt;0</formula>
    </cfRule>
  </conditionalFormatting>
  <conditionalFormatting sqref="T41:T47">
    <cfRule type="containsBlanks" dxfId="3448" priority="256" stopIfTrue="1">
      <formula>LEN(TRIM(T41))=0</formula>
    </cfRule>
  </conditionalFormatting>
  <conditionalFormatting sqref="T41:T47">
    <cfRule type="expression" dxfId="3447" priority="257" stopIfTrue="1">
      <formula>SUM($T$41:$T$47)&lt;&gt;1</formula>
    </cfRule>
  </conditionalFormatting>
  <conditionalFormatting sqref="T41:T47">
    <cfRule type="notContainsBlanks" dxfId="3446" priority="258" stopIfTrue="1">
      <formula>LEN(TRIM(T41))&gt;0</formula>
    </cfRule>
  </conditionalFormatting>
  <conditionalFormatting sqref="U41:U47">
    <cfRule type="containsBlanks" dxfId="3445" priority="259" stopIfTrue="1">
      <formula>LEN(TRIM(U41))=0</formula>
    </cfRule>
  </conditionalFormatting>
  <conditionalFormatting sqref="U41:U47">
    <cfRule type="expression" dxfId="3444" priority="260" stopIfTrue="1">
      <formula>SUM($U$41:$U$47)&lt;&gt;1</formula>
    </cfRule>
  </conditionalFormatting>
  <conditionalFormatting sqref="U41:U47">
    <cfRule type="notContainsBlanks" dxfId="3443" priority="261" stopIfTrue="1">
      <formula>LEN(TRIM(U41))&gt;0</formula>
    </cfRule>
  </conditionalFormatting>
  <conditionalFormatting sqref="V41:V47">
    <cfRule type="containsBlanks" dxfId="3442" priority="262" stopIfTrue="1">
      <formula>LEN(TRIM(V41))=0</formula>
    </cfRule>
  </conditionalFormatting>
  <conditionalFormatting sqref="V41:V47">
    <cfRule type="expression" dxfId="3441" priority="263" stopIfTrue="1">
      <formula>SUM($V$41:$V$47)&lt;&gt;1</formula>
    </cfRule>
  </conditionalFormatting>
  <conditionalFormatting sqref="V41:V47">
    <cfRule type="notContainsBlanks" dxfId="3440" priority="264" stopIfTrue="1">
      <formula>LEN(TRIM(V41))&gt;0</formula>
    </cfRule>
  </conditionalFormatting>
  <conditionalFormatting sqref="W41:W47">
    <cfRule type="containsBlanks" dxfId="3439" priority="265" stopIfTrue="1">
      <formula>LEN(TRIM(W41))=0</formula>
    </cfRule>
  </conditionalFormatting>
  <conditionalFormatting sqref="W41:W47">
    <cfRule type="expression" dxfId="3438" priority="266" stopIfTrue="1">
      <formula>SUM($W$41:$W$47)&lt;&gt;1</formula>
    </cfRule>
  </conditionalFormatting>
  <conditionalFormatting sqref="W41:W47">
    <cfRule type="notContainsBlanks" dxfId="3437" priority="267" stopIfTrue="1">
      <formula>LEN(TRIM(W41))&gt;0</formula>
    </cfRule>
  </conditionalFormatting>
  <conditionalFormatting sqref="X41:X47">
    <cfRule type="containsBlanks" dxfId="3436" priority="268" stopIfTrue="1">
      <formula>LEN(TRIM(X41))=0</formula>
    </cfRule>
  </conditionalFormatting>
  <conditionalFormatting sqref="X41:X47">
    <cfRule type="expression" dxfId="3435" priority="269" stopIfTrue="1">
      <formula>SUM($X$41:$X$47)&lt;&gt;1</formula>
    </cfRule>
  </conditionalFormatting>
  <conditionalFormatting sqref="X41:X47">
    <cfRule type="notContainsBlanks" dxfId="3434" priority="270" stopIfTrue="1">
      <formula>LEN(TRIM(X41))&gt;0</formula>
    </cfRule>
  </conditionalFormatting>
  <conditionalFormatting sqref="Y41:Y47">
    <cfRule type="containsBlanks" dxfId="3433" priority="271" stopIfTrue="1">
      <formula>LEN(TRIM(Y41))=0</formula>
    </cfRule>
  </conditionalFormatting>
  <conditionalFormatting sqref="Y41:Y47">
    <cfRule type="expression" dxfId="3432" priority="272" stopIfTrue="1">
      <formula>SUM($Y$41:$Y$47)&lt;&gt;1</formula>
    </cfRule>
  </conditionalFormatting>
  <conditionalFormatting sqref="Y41:Y47">
    <cfRule type="notContainsBlanks" dxfId="3431" priority="273" stopIfTrue="1">
      <formula>LEN(TRIM(Y41))&gt;0</formula>
    </cfRule>
  </conditionalFormatting>
  <conditionalFormatting sqref="Z41:Z47">
    <cfRule type="containsBlanks" dxfId="3430" priority="274" stopIfTrue="1">
      <formula>LEN(TRIM(Z41))=0</formula>
    </cfRule>
  </conditionalFormatting>
  <conditionalFormatting sqref="Z41:Z47">
    <cfRule type="expression" dxfId="3429" priority="275" stopIfTrue="1">
      <formula>SUM($Z$41:$Z$47)&lt;&gt;1</formula>
    </cfRule>
  </conditionalFormatting>
  <conditionalFormatting sqref="Z41:Z47">
    <cfRule type="notContainsBlanks" dxfId="3428" priority="276" stopIfTrue="1">
      <formula>LEN(TRIM(Z41))&gt;0</formula>
    </cfRule>
  </conditionalFormatting>
  <conditionalFormatting sqref="AA41:AA47">
    <cfRule type="containsBlanks" dxfId="3427" priority="277" stopIfTrue="1">
      <formula>LEN(TRIM(AA41))=0</formula>
    </cfRule>
  </conditionalFormatting>
  <conditionalFormatting sqref="AA41:AA47">
    <cfRule type="expression" dxfId="3426" priority="278" stopIfTrue="1">
      <formula>SUM($AA$41:$AA$47)&lt;&gt;1</formula>
    </cfRule>
  </conditionalFormatting>
  <conditionalFormatting sqref="AA41:AA47">
    <cfRule type="notContainsBlanks" dxfId="3425" priority="279" stopIfTrue="1">
      <formula>LEN(TRIM(AA41))&gt;0</formula>
    </cfRule>
  </conditionalFormatting>
  <conditionalFormatting sqref="AB41:AB47">
    <cfRule type="containsBlanks" dxfId="3424" priority="280" stopIfTrue="1">
      <formula>LEN(TRIM(AB41))=0</formula>
    </cfRule>
  </conditionalFormatting>
  <conditionalFormatting sqref="AB41:AB47">
    <cfRule type="expression" dxfId="3423" priority="281" stopIfTrue="1">
      <formula>SUM($AB$41:$AB$47)&lt;&gt;1</formula>
    </cfRule>
  </conditionalFormatting>
  <conditionalFormatting sqref="AB41:AB47">
    <cfRule type="notContainsBlanks" dxfId="3422" priority="282" stopIfTrue="1">
      <formula>LEN(TRIM(AB41))&gt;0</formula>
    </cfRule>
  </conditionalFormatting>
  <conditionalFormatting sqref="AC41:AC47">
    <cfRule type="containsBlanks" dxfId="3421" priority="283" stopIfTrue="1">
      <formula>LEN(TRIM(AC41))=0</formula>
    </cfRule>
  </conditionalFormatting>
  <conditionalFormatting sqref="AC41:AC47">
    <cfRule type="expression" dxfId="3420" priority="284" stopIfTrue="1">
      <formula>SUM($AC$41:$AC$47)&lt;&gt;1</formula>
    </cfRule>
  </conditionalFormatting>
  <conditionalFormatting sqref="AC41:AC47">
    <cfRule type="notContainsBlanks" dxfId="3419" priority="285" stopIfTrue="1">
      <formula>LEN(TRIM(AC41))&gt;0</formula>
    </cfRule>
  </conditionalFormatting>
  <conditionalFormatting sqref="AD41:AD47">
    <cfRule type="containsBlanks" dxfId="3418" priority="286" stopIfTrue="1">
      <formula>LEN(TRIM(AD41))=0</formula>
    </cfRule>
  </conditionalFormatting>
  <conditionalFormatting sqref="AD41:AD47">
    <cfRule type="expression" dxfId="3417" priority="287" stopIfTrue="1">
      <formula>SUM($AD$41:$AD$47)&lt;&gt;1</formula>
    </cfRule>
  </conditionalFormatting>
  <conditionalFormatting sqref="AD41:AD47">
    <cfRule type="notContainsBlanks" dxfId="3416" priority="288" stopIfTrue="1">
      <formula>LEN(TRIM(AD41))&gt;0</formula>
    </cfRule>
  </conditionalFormatting>
  <conditionalFormatting sqref="AE41:AE47">
    <cfRule type="containsBlanks" dxfId="3415" priority="289" stopIfTrue="1">
      <formula>LEN(TRIM(AE41))=0</formula>
    </cfRule>
  </conditionalFormatting>
  <conditionalFormatting sqref="AE41:AE47">
    <cfRule type="expression" dxfId="3414" priority="290" stopIfTrue="1">
      <formula>SUM($AE$41:$AE$47)&lt;&gt;1</formula>
    </cfRule>
  </conditionalFormatting>
  <conditionalFormatting sqref="AE41:AE47">
    <cfRule type="notContainsBlanks" dxfId="3413" priority="291" stopIfTrue="1">
      <formula>LEN(TRIM(AE41))&gt;0</formula>
    </cfRule>
  </conditionalFormatting>
  <conditionalFormatting sqref="AF41:AF47">
    <cfRule type="containsBlanks" dxfId="3412" priority="292" stopIfTrue="1">
      <formula>LEN(TRIM(AF41))=0</formula>
    </cfRule>
  </conditionalFormatting>
  <conditionalFormatting sqref="AF41:AF47">
    <cfRule type="expression" dxfId="3411" priority="293" stopIfTrue="1">
      <formula>SUM($AF$41:$AF$47)&lt;&gt;1</formula>
    </cfRule>
  </conditionalFormatting>
  <conditionalFormatting sqref="AF41:AF47">
    <cfRule type="notContainsBlanks" dxfId="3410" priority="294" stopIfTrue="1">
      <formula>LEN(TRIM(AF41))&gt;0</formula>
    </cfRule>
  </conditionalFormatting>
  <conditionalFormatting sqref="AG41:AG47">
    <cfRule type="containsBlanks" dxfId="3409" priority="295" stopIfTrue="1">
      <formula>LEN(TRIM(AG41))=0</formula>
    </cfRule>
  </conditionalFormatting>
  <conditionalFormatting sqref="AG41:AG47">
    <cfRule type="expression" dxfId="3408" priority="296" stopIfTrue="1">
      <formula>SUM($AG$41:$AG$47)&lt;&gt;1</formula>
    </cfRule>
  </conditionalFormatting>
  <conditionalFormatting sqref="AG41:AG47">
    <cfRule type="notContainsBlanks" dxfId="3407" priority="297" stopIfTrue="1">
      <formula>LEN(TRIM(AG41))&gt;0</formula>
    </cfRule>
  </conditionalFormatting>
  <conditionalFormatting sqref="AH41:AH47">
    <cfRule type="containsBlanks" dxfId="3406" priority="298" stopIfTrue="1">
      <formula>LEN(TRIM(AH41))=0</formula>
    </cfRule>
  </conditionalFormatting>
  <conditionalFormatting sqref="AH41:AH47">
    <cfRule type="expression" dxfId="3405" priority="299" stopIfTrue="1">
      <formula>SUM($AH$41:$AH$47)&lt;&gt;1</formula>
    </cfRule>
  </conditionalFormatting>
  <conditionalFormatting sqref="AH41:AH47">
    <cfRule type="notContainsBlanks" dxfId="3404" priority="300" stopIfTrue="1">
      <formula>LEN(TRIM(AH41))&gt;0</formula>
    </cfRule>
  </conditionalFormatting>
  <conditionalFormatting sqref="AI41:AI47">
    <cfRule type="containsBlanks" dxfId="3403" priority="301" stopIfTrue="1">
      <formula>LEN(TRIM(AI41))=0</formula>
    </cfRule>
  </conditionalFormatting>
  <conditionalFormatting sqref="AI41:AI47">
    <cfRule type="expression" dxfId="3402" priority="302" stopIfTrue="1">
      <formula>SUM($AI$41:$AI$47)&lt;&gt;1</formula>
    </cfRule>
  </conditionalFormatting>
  <conditionalFormatting sqref="AI41:AI47">
    <cfRule type="notContainsBlanks" dxfId="3401" priority="303" stopIfTrue="1">
      <formula>LEN(TRIM(AI41))&gt;0</formula>
    </cfRule>
  </conditionalFormatting>
  <conditionalFormatting sqref="AJ41:AJ47">
    <cfRule type="containsBlanks" dxfId="3400" priority="304" stopIfTrue="1">
      <formula>LEN(TRIM(AJ41))=0</formula>
    </cfRule>
  </conditionalFormatting>
  <conditionalFormatting sqref="AJ41:AJ47">
    <cfRule type="expression" dxfId="3399" priority="305" stopIfTrue="1">
      <formula>SUM($AJ$41:$AJ$47)&lt;&gt;1</formula>
    </cfRule>
  </conditionalFormatting>
  <conditionalFormatting sqref="AJ41:AJ47">
    <cfRule type="notContainsBlanks" dxfId="3398" priority="306" stopIfTrue="1">
      <formula>LEN(TRIM(AJ41))&gt;0</formula>
    </cfRule>
  </conditionalFormatting>
  <conditionalFormatting sqref="AK41:AK47">
    <cfRule type="containsBlanks" dxfId="3397" priority="307" stopIfTrue="1">
      <formula>LEN(TRIM(AK41))=0</formula>
    </cfRule>
  </conditionalFormatting>
  <conditionalFormatting sqref="AK41:AK47">
    <cfRule type="expression" dxfId="3396" priority="308" stopIfTrue="1">
      <formula>SUM($AK$41:$AK$47)&lt;&gt;1</formula>
    </cfRule>
  </conditionalFormatting>
  <conditionalFormatting sqref="AK41:AK47">
    <cfRule type="notContainsBlanks" dxfId="3395" priority="309" stopIfTrue="1">
      <formula>LEN(TRIM(AK41))&gt;0</formula>
    </cfRule>
  </conditionalFormatting>
  <conditionalFormatting sqref="E32:E38">
    <cfRule type="containsBlanks" dxfId="3394" priority="324" stopIfTrue="1">
      <formula>LEN(TRIM(E32))=0</formula>
    </cfRule>
    <cfRule type="expression" dxfId="3393" priority="325" stopIfTrue="1">
      <formula>SUM($E$32:$E$38)&lt;&gt;1</formula>
    </cfRule>
    <cfRule type="notContainsBlanks" dxfId="3392" priority="326" stopIfTrue="1">
      <formula>LEN(TRIM(E32))&gt;0</formula>
    </cfRule>
  </conditionalFormatting>
  <conditionalFormatting sqref="F32:F38">
    <cfRule type="containsBlanks" dxfId="3391" priority="327" stopIfTrue="1">
      <formula>LEN(TRIM(F32))=0</formula>
    </cfRule>
    <cfRule type="expression" dxfId="3390" priority="328" stopIfTrue="1">
      <formula>SUM($F$32:$F$38)&lt;&gt;1</formula>
    </cfRule>
    <cfRule type="notContainsBlanks" dxfId="3389" priority="329" stopIfTrue="1">
      <formula>LEN(TRIM(F32))&gt;0</formula>
    </cfRule>
  </conditionalFormatting>
  <conditionalFormatting sqref="G32:G38">
    <cfRule type="containsBlanks" dxfId="3388" priority="330" stopIfTrue="1">
      <formula>LEN(TRIM(G32))=0</formula>
    </cfRule>
    <cfRule type="expression" dxfId="3387" priority="331" stopIfTrue="1">
      <formula>SUM($G$32:$G$38)&lt;&gt;1</formula>
    </cfRule>
    <cfRule type="notContainsBlanks" dxfId="3386" priority="332" stopIfTrue="1">
      <formula>LEN(TRIM(G32))&gt;0</formula>
    </cfRule>
  </conditionalFormatting>
  <conditionalFormatting sqref="H32:H38">
    <cfRule type="containsBlanks" dxfId="3385" priority="333" stopIfTrue="1">
      <formula>LEN(TRIM(H32))=0</formula>
    </cfRule>
    <cfRule type="expression" dxfId="3384" priority="334" stopIfTrue="1">
      <formula>SUM($H$32:$H$38)&lt;&gt;1</formula>
    </cfRule>
    <cfRule type="notContainsBlanks" dxfId="3383" priority="335" stopIfTrue="1">
      <formula>LEN(TRIM(H32))&gt;0</formula>
    </cfRule>
  </conditionalFormatting>
  <conditionalFormatting sqref="I32:I38">
    <cfRule type="containsBlanks" dxfId="3382" priority="336" stopIfTrue="1">
      <formula>LEN(TRIM(I32))=0</formula>
    </cfRule>
    <cfRule type="expression" dxfId="3381" priority="337" stopIfTrue="1">
      <formula>SUM($I$32:$I$38)&lt;&gt;1</formula>
    </cfRule>
    <cfRule type="notContainsBlanks" dxfId="3380" priority="338" stopIfTrue="1">
      <formula>LEN(TRIM(I32))&gt;0</formula>
    </cfRule>
  </conditionalFormatting>
  <conditionalFormatting sqref="J32:J38">
    <cfRule type="containsBlanks" dxfId="3379" priority="339" stopIfTrue="1">
      <formula>LEN(TRIM(J32))=0</formula>
    </cfRule>
    <cfRule type="expression" dxfId="3378" priority="340" stopIfTrue="1">
      <formula>SUM($J$32:$J$38)&lt;&gt;1</formula>
    </cfRule>
    <cfRule type="notContainsBlanks" dxfId="3377" priority="341" stopIfTrue="1">
      <formula>LEN(TRIM(J32))&gt;0</formula>
    </cfRule>
  </conditionalFormatting>
  <conditionalFormatting sqref="K32:K38">
    <cfRule type="containsBlanks" dxfId="3376" priority="342" stopIfTrue="1">
      <formula>LEN(TRIM(K32))=0</formula>
    </cfRule>
  </conditionalFormatting>
  <conditionalFormatting sqref="K32:K38">
    <cfRule type="expression" dxfId="3375" priority="343" stopIfTrue="1">
      <formula>SUM($K$32:$K$38)&lt;&gt;1</formula>
    </cfRule>
  </conditionalFormatting>
  <conditionalFormatting sqref="K32:K38">
    <cfRule type="notContainsBlanks" dxfId="3374" priority="344" stopIfTrue="1">
      <formula>LEN(TRIM(K32))&gt;0</formula>
    </cfRule>
  </conditionalFormatting>
  <conditionalFormatting sqref="L32:L38">
    <cfRule type="containsBlanks" dxfId="3373" priority="345" stopIfTrue="1">
      <formula>LEN(TRIM(L32))=0</formula>
    </cfRule>
  </conditionalFormatting>
  <conditionalFormatting sqref="L32:L38">
    <cfRule type="expression" dxfId="3372" priority="346" stopIfTrue="1">
      <formula>SUM($L$32:$L$38)&lt;&gt;1</formula>
    </cfRule>
  </conditionalFormatting>
  <conditionalFormatting sqref="L32:L38">
    <cfRule type="notContainsBlanks" dxfId="3371" priority="347" stopIfTrue="1">
      <formula>LEN(TRIM(L32))&gt;0</formula>
    </cfRule>
  </conditionalFormatting>
  <conditionalFormatting sqref="M32:M38">
    <cfRule type="containsBlanks" dxfId="3370" priority="348" stopIfTrue="1">
      <formula>LEN(TRIM(M32))=0</formula>
    </cfRule>
  </conditionalFormatting>
  <conditionalFormatting sqref="M32:M38">
    <cfRule type="expression" dxfId="3369" priority="349" stopIfTrue="1">
      <formula>SUM($M$32:$M$38)&lt;&gt;1</formula>
    </cfRule>
  </conditionalFormatting>
  <conditionalFormatting sqref="M32:M38">
    <cfRule type="notContainsBlanks" dxfId="3368" priority="350" stopIfTrue="1">
      <formula>LEN(TRIM(M32))&gt;0</formula>
    </cfRule>
  </conditionalFormatting>
  <conditionalFormatting sqref="N32:N38">
    <cfRule type="containsBlanks" dxfId="3367" priority="351" stopIfTrue="1">
      <formula>LEN(TRIM(N32))=0</formula>
    </cfRule>
  </conditionalFormatting>
  <conditionalFormatting sqref="N32:N38">
    <cfRule type="expression" dxfId="3366" priority="352" stopIfTrue="1">
      <formula>SUM($N$32:$N$38)&lt;&gt;1</formula>
    </cfRule>
  </conditionalFormatting>
  <conditionalFormatting sqref="N32:N38">
    <cfRule type="notContainsBlanks" dxfId="3365" priority="353" stopIfTrue="1">
      <formula>LEN(TRIM(N32))&gt;0</formula>
    </cfRule>
  </conditionalFormatting>
  <conditionalFormatting sqref="O32:O38">
    <cfRule type="containsBlanks" dxfId="3364" priority="354" stopIfTrue="1">
      <formula>LEN(TRIM(O32))=0</formula>
    </cfRule>
  </conditionalFormatting>
  <conditionalFormatting sqref="O32:O38">
    <cfRule type="expression" dxfId="3363" priority="355" stopIfTrue="1">
      <formula>SUM($O$32:$O$38)&lt;&gt;1</formula>
    </cfRule>
  </conditionalFormatting>
  <conditionalFormatting sqref="O32:O38">
    <cfRule type="notContainsBlanks" dxfId="3362" priority="356" stopIfTrue="1">
      <formula>LEN(TRIM(O32))&gt;0</formula>
    </cfRule>
  </conditionalFormatting>
  <conditionalFormatting sqref="P32:P38">
    <cfRule type="containsBlanks" dxfId="3361" priority="357" stopIfTrue="1">
      <formula>LEN(TRIM(P32))=0</formula>
    </cfRule>
  </conditionalFormatting>
  <conditionalFormatting sqref="P32:P38">
    <cfRule type="expression" dxfId="3360" priority="358" stopIfTrue="1">
      <formula>SUM($P$32:$P$38)&lt;&gt;1</formula>
    </cfRule>
  </conditionalFormatting>
  <conditionalFormatting sqref="P32:P38">
    <cfRule type="notContainsBlanks" dxfId="3359" priority="359" stopIfTrue="1">
      <formula>LEN(TRIM(P32))&gt;0</formula>
    </cfRule>
  </conditionalFormatting>
  <conditionalFormatting sqref="Q32:Q38">
    <cfRule type="containsBlanks" dxfId="3358" priority="360" stopIfTrue="1">
      <formula>LEN(TRIM(Q32))=0</formula>
    </cfRule>
  </conditionalFormatting>
  <conditionalFormatting sqref="Q32:Q38">
    <cfRule type="expression" dxfId="3357" priority="361" stopIfTrue="1">
      <formula>SUM($Q$32:$Q$38)&lt;&gt;1</formula>
    </cfRule>
  </conditionalFormatting>
  <conditionalFormatting sqref="Q32:Q38">
    <cfRule type="notContainsBlanks" dxfId="3356" priority="362" stopIfTrue="1">
      <formula>LEN(TRIM(Q32))&gt;0</formula>
    </cfRule>
  </conditionalFormatting>
  <conditionalFormatting sqref="R32:R38">
    <cfRule type="containsBlanks" dxfId="3355" priority="363" stopIfTrue="1">
      <formula>LEN(TRIM(R32))=0</formula>
    </cfRule>
  </conditionalFormatting>
  <conditionalFormatting sqref="R32:R38">
    <cfRule type="expression" dxfId="3354" priority="364" stopIfTrue="1">
      <formula>SUM($R$32:$R$38)&lt;&gt;1</formula>
    </cfRule>
  </conditionalFormatting>
  <conditionalFormatting sqref="R32:R38">
    <cfRule type="notContainsBlanks" dxfId="3353" priority="365" stopIfTrue="1">
      <formula>LEN(TRIM(R32))&gt;0</formula>
    </cfRule>
  </conditionalFormatting>
  <conditionalFormatting sqref="S32:S38">
    <cfRule type="containsBlanks" dxfId="3352" priority="366" stopIfTrue="1">
      <formula>LEN(TRIM(S32))=0</formula>
    </cfRule>
  </conditionalFormatting>
  <conditionalFormatting sqref="S32:S38">
    <cfRule type="expression" dxfId="3351" priority="367" stopIfTrue="1">
      <formula>SUM($S$32:$S$38)&lt;&gt;1</formula>
    </cfRule>
  </conditionalFormatting>
  <conditionalFormatting sqref="S32:S38">
    <cfRule type="notContainsBlanks" dxfId="3350" priority="368" stopIfTrue="1">
      <formula>LEN(TRIM(S32))&gt;0</formula>
    </cfRule>
  </conditionalFormatting>
  <conditionalFormatting sqref="T32:T38">
    <cfRule type="containsBlanks" dxfId="3349" priority="369" stopIfTrue="1">
      <formula>LEN(TRIM(T32))=0</formula>
    </cfRule>
  </conditionalFormatting>
  <conditionalFormatting sqref="T32:T38">
    <cfRule type="expression" dxfId="3348" priority="370" stopIfTrue="1">
      <formula>SUM($T$32:$T$38)&lt;&gt;1</formula>
    </cfRule>
  </conditionalFormatting>
  <conditionalFormatting sqref="T32:T38">
    <cfRule type="notContainsBlanks" dxfId="3347" priority="371" stopIfTrue="1">
      <formula>LEN(TRIM(T32))&gt;0</formula>
    </cfRule>
  </conditionalFormatting>
  <conditionalFormatting sqref="U32:U38">
    <cfRule type="containsBlanks" dxfId="3346" priority="372" stopIfTrue="1">
      <formula>LEN(TRIM(U32))=0</formula>
    </cfRule>
  </conditionalFormatting>
  <conditionalFormatting sqref="U32:U38">
    <cfRule type="expression" dxfId="3345" priority="373" stopIfTrue="1">
      <formula>SUM($U$32:$U$38)&lt;&gt;1</formula>
    </cfRule>
  </conditionalFormatting>
  <conditionalFormatting sqref="U32:U38">
    <cfRule type="notContainsBlanks" dxfId="3344" priority="374" stopIfTrue="1">
      <formula>LEN(TRIM(U32))&gt;0</formula>
    </cfRule>
  </conditionalFormatting>
  <conditionalFormatting sqref="V32:V38">
    <cfRule type="containsBlanks" dxfId="3343" priority="375" stopIfTrue="1">
      <formula>LEN(TRIM(V32))=0</formula>
    </cfRule>
  </conditionalFormatting>
  <conditionalFormatting sqref="V32:V38">
    <cfRule type="expression" dxfId="3342" priority="376" stopIfTrue="1">
      <formula>SUM($V$32:$V$38)&lt;&gt;1</formula>
    </cfRule>
  </conditionalFormatting>
  <conditionalFormatting sqref="V32:V38">
    <cfRule type="notContainsBlanks" dxfId="3341" priority="377" stopIfTrue="1">
      <formula>LEN(TRIM(V32))&gt;0</formula>
    </cfRule>
  </conditionalFormatting>
  <conditionalFormatting sqref="W32:W38">
    <cfRule type="containsBlanks" dxfId="3340" priority="378" stopIfTrue="1">
      <formula>LEN(TRIM(W32))=0</formula>
    </cfRule>
  </conditionalFormatting>
  <conditionalFormatting sqref="W32:W38">
    <cfRule type="expression" dxfId="3339" priority="379" stopIfTrue="1">
      <formula>SUM($W$32:$W$38)&lt;&gt;1</formula>
    </cfRule>
  </conditionalFormatting>
  <conditionalFormatting sqref="W32:W38">
    <cfRule type="notContainsBlanks" dxfId="3338" priority="380" stopIfTrue="1">
      <formula>LEN(TRIM(W32))&gt;0</formula>
    </cfRule>
  </conditionalFormatting>
  <conditionalFormatting sqref="X32:X38">
    <cfRule type="containsBlanks" dxfId="3337" priority="381" stopIfTrue="1">
      <formula>LEN(TRIM(X32))=0</formula>
    </cfRule>
  </conditionalFormatting>
  <conditionalFormatting sqref="X32:X38">
    <cfRule type="expression" dxfId="3336" priority="382" stopIfTrue="1">
      <formula>SUM($X$32:$X$38)&lt;&gt;1</formula>
    </cfRule>
  </conditionalFormatting>
  <conditionalFormatting sqref="X32:X38">
    <cfRule type="notContainsBlanks" dxfId="3335" priority="383" stopIfTrue="1">
      <formula>LEN(TRIM(X32))&gt;0</formula>
    </cfRule>
  </conditionalFormatting>
  <conditionalFormatting sqref="Y32:Y38">
    <cfRule type="containsBlanks" dxfId="3334" priority="384" stopIfTrue="1">
      <formula>LEN(TRIM(Y32))=0</formula>
    </cfRule>
  </conditionalFormatting>
  <conditionalFormatting sqref="Y32:Y38">
    <cfRule type="expression" dxfId="3333" priority="385" stopIfTrue="1">
      <formula>SUM($Y$32:$Y$38)&lt;&gt;1</formula>
    </cfRule>
  </conditionalFormatting>
  <conditionalFormatting sqref="Y32:Y38">
    <cfRule type="notContainsBlanks" dxfId="3332" priority="386" stopIfTrue="1">
      <formula>LEN(TRIM(Y32))&gt;0</formula>
    </cfRule>
  </conditionalFormatting>
  <conditionalFormatting sqref="Z32:Z38">
    <cfRule type="containsBlanks" dxfId="3331" priority="387" stopIfTrue="1">
      <formula>LEN(TRIM(Z32))=0</formula>
    </cfRule>
  </conditionalFormatting>
  <conditionalFormatting sqref="Z32:Z38">
    <cfRule type="expression" dxfId="3330" priority="388" stopIfTrue="1">
      <formula>SUM($Z$32:$Z$38)&lt;&gt;1</formula>
    </cfRule>
  </conditionalFormatting>
  <conditionalFormatting sqref="Z32:Z38">
    <cfRule type="notContainsBlanks" dxfId="3329" priority="389" stopIfTrue="1">
      <formula>LEN(TRIM(Z32))&gt;0</formula>
    </cfRule>
  </conditionalFormatting>
  <conditionalFormatting sqref="AA32:AA38">
    <cfRule type="containsBlanks" dxfId="3328" priority="390" stopIfTrue="1">
      <formula>LEN(TRIM(AA32))=0</formula>
    </cfRule>
  </conditionalFormatting>
  <conditionalFormatting sqref="AA32:AA38">
    <cfRule type="expression" dxfId="3327" priority="391" stopIfTrue="1">
      <formula>SUM($AA$32:$AA$38)&lt;&gt;1</formula>
    </cfRule>
  </conditionalFormatting>
  <conditionalFormatting sqref="AA32:AA38">
    <cfRule type="notContainsBlanks" dxfId="3326" priority="392" stopIfTrue="1">
      <formula>LEN(TRIM(AA32))&gt;0</formula>
    </cfRule>
  </conditionalFormatting>
  <conditionalFormatting sqref="AB32:AB38">
    <cfRule type="containsBlanks" dxfId="3325" priority="393" stopIfTrue="1">
      <formula>LEN(TRIM(AB32))=0</formula>
    </cfRule>
  </conditionalFormatting>
  <conditionalFormatting sqref="AB32:AB38">
    <cfRule type="expression" dxfId="3324" priority="394" stopIfTrue="1">
      <formula>SUM($AB$32:$AB$38)&lt;&gt;1</formula>
    </cfRule>
  </conditionalFormatting>
  <conditionalFormatting sqref="AB32:AB38">
    <cfRule type="notContainsBlanks" dxfId="3323" priority="395" stopIfTrue="1">
      <formula>LEN(TRIM(AB32))&gt;0</formula>
    </cfRule>
  </conditionalFormatting>
  <conditionalFormatting sqref="AC32:AC38">
    <cfRule type="containsBlanks" dxfId="3322" priority="396" stopIfTrue="1">
      <formula>LEN(TRIM(AC32))=0</formula>
    </cfRule>
  </conditionalFormatting>
  <conditionalFormatting sqref="AC32:AC38">
    <cfRule type="expression" dxfId="3321" priority="397" stopIfTrue="1">
      <formula>SUM($AC$32:$AC$38)&lt;&gt;1</formula>
    </cfRule>
  </conditionalFormatting>
  <conditionalFormatting sqref="AC32:AC38">
    <cfRule type="notContainsBlanks" dxfId="3320" priority="398" stopIfTrue="1">
      <formula>LEN(TRIM(AC32))&gt;0</formula>
    </cfRule>
  </conditionalFormatting>
  <conditionalFormatting sqref="AD32:AD38">
    <cfRule type="containsBlanks" dxfId="3319" priority="399" stopIfTrue="1">
      <formula>LEN(TRIM(AD32))=0</formula>
    </cfRule>
  </conditionalFormatting>
  <conditionalFormatting sqref="AD32:AD38">
    <cfRule type="expression" dxfId="3318" priority="400" stopIfTrue="1">
      <formula>SUM($AD$32:$AD$38)&lt;&gt;1</formula>
    </cfRule>
  </conditionalFormatting>
  <conditionalFormatting sqref="AD32:AD38">
    <cfRule type="notContainsBlanks" dxfId="3317" priority="401" stopIfTrue="1">
      <formula>LEN(TRIM(AD32))&gt;0</formula>
    </cfRule>
  </conditionalFormatting>
  <conditionalFormatting sqref="AE32:AE38">
    <cfRule type="containsBlanks" dxfId="3316" priority="402" stopIfTrue="1">
      <formula>LEN(TRIM(AE32))=0</formula>
    </cfRule>
  </conditionalFormatting>
  <conditionalFormatting sqref="AE32:AE38">
    <cfRule type="expression" dxfId="3315" priority="403" stopIfTrue="1">
      <formula>SUM($AE$32:$AE$38)&lt;&gt;1</formula>
    </cfRule>
  </conditionalFormatting>
  <conditionalFormatting sqref="AE32:AE38">
    <cfRule type="notContainsBlanks" dxfId="3314" priority="404" stopIfTrue="1">
      <formula>LEN(TRIM(AE32))&gt;0</formula>
    </cfRule>
  </conditionalFormatting>
  <conditionalFormatting sqref="AF32:AF38">
    <cfRule type="containsBlanks" dxfId="3313" priority="405" stopIfTrue="1">
      <formula>LEN(TRIM(AF32))=0</formula>
    </cfRule>
  </conditionalFormatting>
  <conditionalFormatting sqref="AF32:AF38">
    <cfRule type="expression" dxfId="3312" priority="406" stopIfTrue="1">
      <formula>SUM($AF$32:$AF$38)&lt;&gt;1</formula>
    </cfRule>
  </conditionalFormatting>
  <conditionalFormatting sqref="AF32:AF38">
    <cfRule type="notContainsBlanks" dxfId="3311" priority="407" stopIfTrue="1">
      <formula>LEN(TRIM(AF32))&gt;0</formula>
    </cfRule>
  </conditionalFormatting>
  <conditionalFormatting sqref="AG32:AG38">
    <cfRule type="containsBlanks" dxfId="3310" priority="408" stopIfTrue="1">
      <formula>LEN(TRIM(AG32))=0</formula>
    </cfRule>
  </conditionalFormatting>
  <conditionalFormatting sqref="AG32:AG38">
    <cfRule type="expression" dxfId="3309" priority="409" stopIfTrue="1">
      <formula>SUM($AG$32:$AG$38)&lt;&gt;1</formula>
    </cfRule>
  </conditionalFormatting>
  <conditionalFormatting sqref="AG32:AG38">
    <cfRule type="notContainsBlanks" dxfId="3308" priority="410" stopIfTrue="1">
      <formula>LEN(TRIM(AG32))&gt;0</formula>
    </cfRule>
  </conditionalFormatting>
  <conditionalFormatting sqref="AH32:AH38">
    <cfRule type="containsBlanks" dxfId="3307" priority="411" stopIfTrue="1">
      <formula>LEN(TRIM(AH32))=0</formula>
    </cfRule>
  </conditionalFormatting>
  <conditionalFormatting sqref="AH32:AH38">
    <cfRule type="expression" dxfId="3306" priority="412" stopIfTrue="1">
      <formula>SUM($AH$32:$AH$38)&lt;&gt;1</formula>
    </cfRule>
  </conditionalFormatting>
  <conditionalFormatting sqref="AH32:AH38">
    <cfRule type="notContainsBlanks" dxfId="3305" priority="413" stopIfTrue="1">
      <formula>LEN(TRIM(AH32))&gt;0</formula>
    </cfRule>
  </conditionalFormatting>
  <conditionalFormatting sqref="AI32:AI38">
    <cfRule type="containsBlanks" dxfId="3304" priority="414" stopIfTrue="1">
      <formula>LEN(TRIM(AI32))=0</formula>
    </cfRule>
  </conditionalFormatting>
  <conditionalFormatting sqref="AI32:AI38">
    <cfRule type="expression" dxfId="3303" priority="415" stopIfTrue="1">
      <formula>SUM($AI$32:$AI$38)&lt;&gt;1</formula>
    </cfRule>
  </conditionalFormatting>
  <conditionalFormatting sqref="AI32:AI38">
    <cfRule type="notContainsBlanks" dxfId="3302" priority="416" stopIfTrue="1">
      <formula>LEN(TRIM(AI32))&gt;0</formula>
    </cfRule>
  </conditionalFormatting>
  <conditionalFormatting sqref="AJ32:AJ38">
    <cfRule type="containsBlanks" dxfId="3301" priority="417" stopIfTrue="1">
      <formula>LEN(TRIM(AJ32))=0</formula>
    </cfRule>
  </conditionalFormatting>
  <conditionalFormatting sqref="AJ32:AJ38">
    <cfRule type="expression" dxfId="3300" priority="418" stopIfTrue="1">
      <formula>SUM($AJ$32:$AJ$38)&lt;&gt;1</formula>
    </cfRule>
  </conditionalFormatting>
  <conditionalFormatting sqref="AJ32:AJ38">
    <cfRule type="notContainsBlanks" dxfId="3299" priority="419" stopIfTrue="1">
      <formula>LEN(TRIM(AJ32))&gt;0</formula>
    </cfRule>
  </conditionalFormatting>
  <conditionalFormatting sqref="AK32:AK38">
    <cfRule type="containsBlanks" dxfId="3298" priority="420" stopIfTrue="1">
      <formula>LEN(TRIM(AK32))=0</formula>
    </cfRule>
  </conditionalFormatting>
  <conditionalFormatting sqref="AK32:AK38">
    <cfRule type="expression" dxfId="3297" priority="421" stopIfTrue="1">
      <formula>SUM($AK$32:$AK$38)&lt;&gt;1</formula>
    </cfRule>
  </conditionalFormatting>
  <conditionalFormatting sqref="AK32:AK38">
    <cfRule type="notContainsBlanks" dxfId="3296" priority="422" stopIfTrue="1">
      <formula>LEN(TRIM(AK32))&gt;0</formula>
    </cfRule>
  </conditionalFormatting>
  <conditionalFormatting sqref="E21:AK21">
    <cfRule type="containsBlanks" dxfId="3295" priority="423" stopIfTrue="1">
      <formula>LEN(TRIM(E21))=0</formula>
    </cfRule>
  </conditionalFormatting>
  <conditionalFormatting sqref="E21:AK21">
    <cfRule type="notContainsBlanks" dxfId="3294" priority="424" stopIfTrue="1">
      <formula>LEN(TRIM(E21))&gt;0</formula>
    </cfRule>
  </conditionalFormatting>
  <conditionalFormatting sqref="E22:AK22">
    <cfRule type="containsBlanks" dxfId="3293" priority="425" stopIfTrue="1">
      <formula>LEN(TRIM(E22))=0</formula>
    </cfRule>
  </conditionalFormatting>
  <conditionalFormatting sqref="E22:AK22">
    <cfRule type="notContainsBlanks" dxfId="3292" priority="426" stopIfTrue="1">
      <formula>LEN(TRIM(E22))&gt;0</formula>
    </cfRule>
  </conditionalFormatting>
  <conditionalFormatting sqref="E24:AK24">
    <cfRule type="containsBlanks" dxfId="3291" priority="427" stopIfTrue="1">
      <formula>LEN(TRIM(E24))=0</formula>
    </cfRule>
  </conditionalFormatting>
  <conditionalFormatting sqref="E24:AK24">
    <cfRule type="notContainsBlanks" dxfId="3290" priority="428" stopIfTrue="1">
      <formula>LEN(TRIM(E24))&gt;0</formula>
    </cfRule>
  </conditionalFormatting>
  <conditionalFormatting sqref="E26:AK26">
    <cfRule type="containsBlanks" dxfId="3289" priority="429" stopIfTrue="1">
      <formula>LEN(TRIM(E26))=0</formula>
    </cfRule>
  </conditionalFormatting>
  <conditionalFormatting sqref="E26:AK26">
    <cfRule type="notContainsBlanks" dxfId="3288" priority="430" stopIfTrue="1">
      <formula>LEN(TRIM(E26))&gt;0</formula>
    </cfRule>
  </conditionalFormatting>
  <conditionalFormatting sqref="E27:AK27">
    <cfRule type="containsBlanks" dxfId="3287" priority="431" stopIfTrue="1">
      <formula>LEN(TRIM(E27))=0</formula>
    </cfRule>
  </conditionalFormatting>
  <conditionalFormatting sqref="E27:AK27">
    <cfRule type="notContainsBlanks" dxfId="3286" priority="432" stopIfTrue="1">
      <formula>LEN(TRIM(E27))&gt;0</formula>
    </cfRule>
  </conditionalFormatting>
  <conditionalFormatting sqref="E29:AK29">
    <cfRule type="containsBlanks" dxfId="3285" priority="433" stopIfTrue="1">
      <formula>LEN(TRIM(E29))=0</formula>
    </cfRule>
  </conditionalFormatting>
  <conditionalFormatting sqref="E29:AK29">
    <cfRule type="notContainsBlanks" dxfId="3284" priority="434" stopIfTrue="1">
      <formula>LEN(TRIM(E29))&gt;0</formula>
    </cfRule>
  </conditionalFormatting>
  <conditionalFormatting sqref="E13:AK13">
    <cfRule type="containsBlanks" dxfId="3283" priority="435" stopIfTrue="1">
      <formula>LEN(TRIM(E13))=0</formula>
    </cfRule>
  </conditionalFormatting>
  <conditionalFormatting sqref="E13:AK13">
    <cfRule type="notContainsBlanks" dxfId="3282" priority="436" stopIfTrue="1">
      <formula>LEN(TRIM(E13))&gt;0</formula>
    </cfRule>
  </conditionalFormatting>
  <conditionalFormatting sqref="E14:AK14">
    <cfRule type="containsBlanks" dxfId="3281" priority="437" stopIfTrue="1">
      <formula>LEN(TRIM(E14))=0</formula>
    </cfRule>
  </conditionalFormatting>
  <conditionalFormatting sqref="E14:AK14">
    <cfRule type="notContainsBlanks" dxfId="3280" priority="438" stopIfTrue="1">
      <formula>LEN(TRIM(E14))&gt;0</formula>
    </cfRule>
  </conditionalFormatting>
  <conditionalFormatting sqref="E15:AK15">
    <cfRule type="containsBlanks" dxfId="3279" priority="439" stopIfTrue="1">
      <formula>LEN(TRIM(E15))=0</formula>
    </cfRule>
  </conditionalFormatting>
  <conditionalFormatting sqref="E15:AK15">
    <cfRule type="notContainsBlanks" dxfId="3278" priority="440" stopIfTrue="1">
      <formula>LEN(TRIM(E15))&gt;0</formula>
    </cfRule>
  </conditionalFormatting>
  <conditionalFormatting sqref="E17:AK17">
    <cfRule type="containsBlanks" dxfId="3277" priority="441" stopIfTrue="1">
      <formula>LEN(TRIM(E17))=0</formula>
    </cfRule>
  </conditionalFormatting>
  <conditionalFormatting sqref="E17:AK17">
    <cfRule type="notContainsBlanks" dxfId="3276" priority="442" stopIfTrue="1">
      <formula>LEN(TRIM(E17))&gt;0</formula>
    </cfRule>
  </conditionalFormatting>
  <conditionalFormatting sqref="E5:AK5">
    <cfRule type="containsBlanks" dxfId="3275" priority="443" stopIfTrue="1">
      <formula>LEN(TRIM(E5))=0</formula>
    </cfRule>
  </conditionalFormatting>
  <conditionalFormatting sqref="E5:AK5">
    <cfRule type="notContainsBlanks" dxfId="3274" priority="444" stopIfTrue="1">
      <formula>LEN(TRIM(E5))&gt;0</formula>
    </cfRule>
  </conditionalFormatting>
  <conditionalFormatting sqref="E6:AK6">
    <cfRule type="containsBlanks" dxfId="3273" priority="445" stopIfTrue="1">
      <formula>LEN(TRIM(E6))=0</formula>
    </cfRule>
  </conditionalFormatting>
  <conditionalFormatting sqref="E6:AK6">
    <cfRule type="notContainsBlanks" dxfId="3272" priority="446" stopIfTrue="1">
      <formula>LEN(TRIM(E6))&gt;0</formula>
    </cfRule>
  </conditionalFormatting>
  <conditionalFormatting sqref="E7:AK7">
    <cfRule type="containsBlanks" dxfId="3271" priority="447" stopIfTrue="1">
      <formula>LEN(TRIM(E7))=0</formula>
    </cfRule>
  </conditionalFormatting>
  <conditionalFormatting sqref="E7:AK7">
    <cfRule type="notContainsBlanks" dxfId="3270" priority="448" stopIfTrue="1">
      <formula>LEN(TRIM(E7))&gt;0</formula>
    </cfRule>
  </conditionalFormatting>
  <conditionalFormatting sqref="E9:AK9">
    <cfRule type="containsBlanks" dxfId="3269" priority="449" stopIfTrue="1">
      <formula>LEN(TRIM(E9))=0</formula>
    </cfRule>
  </conditionalFormatting>
  <conditionalFormatting sqref="E9:AK9">
    <cfRule type="notContainsBlanks" dxfId="3268" priority="450" stopIfTrue="1">
      <formula>LEN(TRIM(E9))&gt;0</formula>
    </cfRule>
  </conditionalFormatting>
  <pageMargins left="0.7" right="0.7" top="0.75" bottom="0.75" header="0.3" footer="0.3"/>
  <customProperties>
    <customPr name="IsPC"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2:AL190"/>
  <sheetViews>
    <sheetView zoomScale="85" zoomScaleNormal="85" workbookViewId="0">
      <selection activeCell="C2" sqref="C2:C3"/>
    </sheetView>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8.6640625" style="148" bestFit="1" customWidth="1"/>
    <col min="6" max="37" width="8.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INDEX(_doName,2,stdCSL+1)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67.943140269361777</v>
      </c>
      <c r="F5" s="28">
        <f ca="1"/>
        <v>69.902428484803579</v>
      </c>
      <c r="G5" s="28">
        <f ca="1"/>
        <v>70.049597418411039</v>
      </c>
      <c r="H5" s="28">
        <f ca="1"/>
        <v>70.508299204959158</v>
      </c>
      <c r="I5" s="28">
        <f ca="1"/>
        <v>70.878827794328046</v>
      </c>
      <c r="J5" s="28">
        <f ca="1"/>
        <v>71.165830596849332</v>
      </c>
      <c r="K5" s="28">
        <f ca="1"/>
        <v>71.468019428316879</v>
      </c>
      <c r="L5" s="28">
        <f ca="1"/>
        <v>72.265637868141056</v>
      </c>
      <c r="M5" s="28">
        <f ca="1"/>
        <v>72.845639541791414</v>
      </c>
      <c r="N5" s="28">
        <f ca="1"/>
        <v>73.380264912171896</v>
      </c>
      <c r="O5" s="28">
        <f ca="1"/>
        <v>74.104050082669289</v>
      </c>
      <c r="P5" s="28">
        <f ca="1"/>
        <v>75.127094175599751</v>
      </c>
      <c r="Q5" s="28">
        <f ca="1"/>
        <v>76.337581859736744</v>
      </c>
      <c r="R5" s="28">
        <f ca="1"/>
        <v>78.157411168008082</v>
      </c>
      <c r="S5" s="28">
        <f ca="1"/>
        <v>80.843037780431075</v>
      </c>
      <c r="T5" s="28">
        <f ca="1"/>
        <v>83.348004176709964</v>
      </c>
      <c r="U5" s="28">
        <f ca="1"/>
        <v>85.784702949895177</v>
      </c>
      <c r="V5" s="28">
        <f ca="1"/>
        <v>88.55879827261046</v>
      </c>
      <c r="W5" s="28">
        <f ca="1"/>
        <v>91.721161444404672</v>
      </c>
      <c r="X5" s="28">
        <f ca="1"/>
        <v>93.454944664629565</v>
      </c>
      <c r="Y5" s="28">
        <f ca="1"/>
        <v>94.788699255592888</v>
      </c>
      <c r="Z5" s="28">
        <f ca="1"/>
        <v>95.635246661218659</v>
      </c>
      <c r="AA5" s="28">
        <f ca="1"/>
        <v>96.137883423963402</v>
      </c>
      <c r="AB5" s="28">
        <f ca="1"/>
        <v>97.804491938142789</v>
      </c>
      <c r="AC5" s="28">
        <f ca="1"/>
        <v>99.527261899625842</v>
      </c>
      <c r="AD5" s="28">
        <f ca="1"/>
        <v>101.49275428194584</v>
      </c>
      <c r="AE5" s="28">
        <f ca="1"/>
        <v>103.5675581224187</v>
      </c>
      <c r="AF5" s="28">
        <f ca="1"/>
        <v>105.60120161143483</v>
      </c>
      <c r="AG5" s="28">
        <f ca="1"/>
        <v>107.7274639051281</v>
      </c>
      <c r="AH5" s="28">
        <f ca="1"/>
        <v>109.81033023286848</v>
      </c>
      <c r="AI5" s="28">
        <f ca="1"/>
        <v>111.98795669114888</v>
      </c>
      <c r="AJ5" s="28">
        <f ca="1"/>
        <v>114.12002726389403</v>
      </c>
      <c r="AK5" s="29">
        <f ca="1"/>
        <v>116.34771624640811</v>
      </c>
      <c r="AL5" s="3"/>
    </row>
    <row r="6" spans="2:38">
      <c r="B6" s="3"/>
      <c r="C6" s="23" t="s">
        <v>58</v>
      </c>
      <c r="D6" s="16" t="str">
        <f>"th " &amp; _yearDol &amp; "$"</f>
        <v>th 2013$</v>
      </c>
      <c r="E6" s="141">
        <f t="array" aca="1" ref="E6:AK6" ca="1">tiecU*tShpAxU</f>
        <v>53.252052374453307</v>
      </c>
      <c r="F6" s="28">
        <f ca="1"/>
        <v>54.360898096605702</v>
      </c>
      <c r="G6" s="28">
        <f ca="1"/>
        <v>54.102025580149245</v>
      </c>
      <c r="H6" s="28">
        <f ca="1"/>
        <v>54.05288539600781</v>
      </c>
      <c r="I6" s="28">
        <f ca="1"/>
        <v>53.985304977817421</v>
      </c>
      <c r="J6" s="28">
        <f ca="1"/>
        <v>53.824003589872738</v>
      </c>
      <c r="K6" s="28">
        <f ca="1"/>
        <v>53.724304742047636</v>
      </c>
      <c r="L6" s="28">
        <f ca="1"/>
        <v>53.96605418403005</v>
      </c>
      <c r="M6" s="28">
        <f ca="1"/>
        <v>54.011445529381319</v>
      </c>
      <c r="N6" s="28">
        <f ca="1"/>
        <v>54.069299230710719</v>
      </c>
      <c r="O6" s="28">
        <f ca="1"/>
        <v>54.234349457445582</v>
      </c>
      <c r="P6" s="28">
        <f ca="1"/>
        <v>54.581674305356614</v>
      </c>
      <c r="Q6" s="28">
        <f ca="1"/>
        <v>55.104485336634596</v>
      </c>
      <c r="R6" s="28">
        <f ca="1"/>
        <v>56.025281199474584</v>
      </c>
      <c r="S6" s="28">
        <f ca="1"/>
        <v>57.597159172196825</v>
      </c>
      <c r="T6" s="28">
        <f ca="1"/>
        <v>58.989295522925424</v>
      </c>
      <c r="U6" s="28">
        <f ca="1"/>
        <v>60.279402666580978</v>
      </c>
      <c r="V6" s="28">
        <f ca="1"/>
        <v>61.835069444534888</v>
      </c>
      <c r="W6" s="28">
        <f ca="1"/>
        <v>63.604318713561284</v>
      </c>
      <c r="X6" s="28">
        <f ca="1"/>
        <v>64.416398251486314</v>
      </c>
      <c r="Y6" s="28">
        <f ca="1"/>
        <v>64.908914612541025</v>
      </c>
      <c r="Z6" s="28">
        <f ca="1"/>
        <v>65.02563521487285</v>
      </c>
      <c r="AA6" s="28">
        <f ca="1"/>
        <v>64.956940277042136</v>
      </c>
      <c r="AB6" s="28">
        <f ca="1"/>
        <v>65.633453698717162</v>
      </c>
      <c r="AC6" s="28">
        <f ca="1"/>
        <v>66.38788217524737</v>
      </c>
      <c r="AD6" s="28">
        <f ca="1"/>
        <v>67.257612774567193</v>
      </c>
      <c r="AE6" s="28">
        <f ca="1"/>
        <v>68.148620567020416</v>
      </c>
      <c r="AF6" s="28">
        <f ca="1"/>
        <v>69.048747156530808</v>
      </c>
      <c r="AG6" s="28">
        <f ca="1"/>
        <v>69.958195183032984</v>
      </c>
      <c r="AH6" s="28">
        <f ca="1"/>
        <v>70.877167286461557</v>
      </c>
      <c r="AI6" s="28">
        <f ca="1"/>
        <v>71.806170066652996</v>
      </c>
      <c r="AJ6" s="28">
        <f ca="1"/>
        <v>72.745304843574644</v>
      </c>
      <c r="AK6" s="29">
        <f ca="1"/>
        <v>73.694875577128386</v>
      </c>
      <c r="AL6" s="3"/>
    </row>
    <row r="7" spans="2:38">
      <c r="B7" s="3"/>
      <c r="C7" s="23" t="s">
        <v>59</v>
      </c>
      <c r="D7" s="16" t="str">
        <f>"th " &amp; _yearDol &amp; "$"</f>
        <v>th 2013$</v>
      </c>
      <c r="E7" s="141">
        <f t="array" aca="1" ref="E7:AK7" ca="1">tecsU*tShpAxU</f>
        <v>121.19519264381508</v>
      </c>
      <c r="F7" s="28">
        <f ca="1"/>
        <v>124.26332658140927</v>
      </c>
      <c r="G7" s="28">
        <f ca="1"/>
        <v>124.15162299856028</v>
      </c>
      <c r="H7" s="28">
        <f ca="1"/>
        <v>124.56118460096697</v>
      </c>
      <c r="I7" s="28">
        <f ca="1"/>
        <v>124.86413277214547</v>
      </c>
      <c r="J7" s="28">
        <f ca="1"/>
        <v>124.98983418672208</v>
      </c>
      <c r="K7" s="28">
        <f ca="1"/>
        <v>125.19232417036451</v>
      </c>
      <c r="L7" s="28">
        <f ca="1"/>
        <v>126.23169205217111</v>
      </c>
      <c r="M7" s="28">
        <f ca="1"/>
        <v>126.85708507117273</v>
      </c>
      <c r="N7" s="28">
        <f ca="1"/>
        <v>127.44956414288262</v>
      </c>
      <c r="O7" s="28">
        <f ca="1"/>
        <v>128.33839954011486</v>
      </c>
      <c r="P7" s="28">
        <f ca="1"/>
        <v>129.70876848095637</v>
      </c>
      <c r="Q7" s="28">
        <f ca="1"/>
        <v>131.44206719637134</v>
      </c>
      <c r="R7" s="28">
        <f ca="1"/>
        <v>134.18269236748267</v>
      </c>
      <c r="S7" s="28">
        <f ca="1"/>
        <v>138.4401969526279</v>
      </c>
      <c r="T7" s="28">
        <f ca="1"/>
        <v>142.33729969963539</v>
      </c>
      <c r="U7" s="28">
        <f ca="1"/>
        <v>146.06410561647616</v>
      </c>
      <c r="V7" s="28">
        <f ca="1"/>
        <v>150.39386771714535</v>
      </c>
      <c r="W7" s="28">
        <f ca="1"/>
        <v>155.32548015796596</v>
      </c>
      <c r="X7" s="28">
        <f ca="1"/>
        <v>157.87134291611588</v>
      </c>
      <c r="Y7" s="28">
        <f ca="1"/>
        <v>159.69761386813391</v>
      </c>
      <c r="Z7" s="28">
        <f ca="1"/>
        <v>160.66088187609151</v>
      </c>
      <c r="AA7" s="28">
        <f ca="1"/>
        <v>161.09482370100554</v>
      </c>
      <c r="AB7" s="28">
        <f ca="1"/>
        <v>163.43794563685995</v>
      </c>
      <c r="AC7" s="28">
        <f ca="1"/>
        <v>165.91514407487321</v>
      </c>
      <c r="AD7" s="28">
        <f ca="1"/>
        <v>168.75036705651303</v>
      </c>
      <c r="AE7" s="28">
        <f ca="1"/>
        <v>171.71617868943912</v>
      </c>
      <c r="AF7" s="28">
        <f ca="1"/>
        <v>174.64994876796564</v>
      </c>
      <c r="AG7" s="28">
        <f ca="1"/>
        <v>177.68565908816109</v>
      </c>
      <c r="AH7" s="28">
        <f ca="1"/>
        <v>180.68749751933004</v>
      </c>
      <c r="AI7" s="28">
        <f ca="1"/>
        <v>183.79412675780188</v>
      </c>
      <c r="AJ7" s="28">
        <f ca="1"/>
        <v>186.86533210746867</v>
      </c>
      <c r="AK7" s="29">
        <f ca="1"/>
        <v>190.0425918235365</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tsavUElec*tShpAxU</f>
        <v>26.449395221725226</v>
      </c>
      <c r="F9" s="24">
        <f ca="1"/>
        <v>26.805136375310713</v>
      </c>
      <c r="G9" s="24">
        <f ca="1"/>
        <v>26.481931280779232</v>
      </c>
      <c r="H9" s="24">
        <f ca="1"/>
        <v>26.286322619251919</v>
      </c>
      <c r="I9" s="24">
        <f ca="1"/>
        <v>26.09102420786531</v>
      </c>
      <c r="J9" s="24">
        <f ca="1"/>
        <v>25.872099587687554</v>
      </c>
      <c r="K9" s="24">
        <f ca="1"/>
        <v>25.715108034653611</v>
      </c>
      <c r="L9" s="24">
        <f ca="1"/>
        <v>25.740008376517757</v>
      </c>
      <c r="M9" s="24">
        <f ca="1"/>
        <v>25.670345675462023</v>
      </c>
      <c r="N9" s="24">
        <f ca="1"/>
        <v>25.62474378640848</v>
      </c>
      <c r="O9" s="24">
        <f ca="1"/>
        <v>25.652472982685918</v>
      </c>
      <c r="P9" s="24">
        <f ca="1"/>
        <v>25.779558328993161</v>
      </c>
      <c r="Q9" s="24">
        <f ca="1"/>
        <v>25.99488746561607</v>
      </c>
      <c r="R9" s="24">
        <f ca="1"/>
        <v>26.405553408578172</v>
      </c>
      <c r="S9" s="24">
        <f ca="1"/>
        <v>27.12782307895014</v>
      </c>
      <c r="T9" s="24">
        <f ca="1"/>
        <v>27.781125507264719</v>
      </c>
      <c r="U9" s="24">
        <f ca="1"/>
        <v>28.393698923964713</v>
      </c>
      <c r="V9" s="24">
        <f ca="1"/>
        <v>29.133993858440295</v>
      </c>
      <c r="W9" s="24">
        <f ca="1"/>
        <v>29.978651950275143</v>
      </c>
      <c r="X9" s="24">
        <f ca="1"/>
        <v>30.371999406236796</v>
      </c>
      <c r="Y9" s="24">
        <f ca="1"/>
        <v>30.613059501111628</v>
      </c>
      <c r="Z9" s="24">
        <f ca="1"/>
        <v>30.674044050559395</v>
      </c>
      <c r="AA9" s="24">
        <f ca="1"/>
        <v>30.645546864358845</v>
      </c>
      <c r="AB9" s="24">
        <f ca="1"/>
        <v>30.964714049264526</v>
      </c>
      <c r="AC9" s="24">
        <f ca="1"/>
        <v>31.320640192563562</v>
      </c>
      <c r="AD9" s="24">
        <f ca="1"/>
        <v>31.730963858166422</v>
      </c>
      <c r="AE9" s="24">
        <f ca="1"/>
        <v>32.151325730872813</v>
      </c>
      <c r="AF9" s="24">
        <f ca="1"/>
        <v>32.575989692337849</v>
      </c>
      <c r="AG9" s="24">
        <f ca="1"/>
        <v>33.005051344533946</v>
      </c>
      <c r="AH9" s="24">
        <f ca="1"/>
        <v>33.43860628943353</v>
      </c>
      <c r="AI9" s="24">
        <f ca="1"/>
        <v>33.876893531967625</v>
      </c>
      <c r="AJ9" s="24">
        <f ca="1"/>
        <v>34.31996087312244</v>
      </c>
      <c r="AK9" s="26">
        <f ca="1"/>
        <v>34.767951715856604</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INDEX(_doName,2,stdCSL+1)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0.41700629629144714</v>
      </c>
      <c r="F13" s="28">
        <f ca="1"/>
        <v>0.4202802557740597</v>
      </c>
      <c r="G13" s="28">
        <f ca="1"/>
        <v>0.4231803227232831</v>
      </c>
      <c r="H13" s="28">
        <f ca="1"/>
        <v>0.42633864830372659</v>
      </c>
      <c r="I13" s="28">
        <f ca="1"/>
        <v>0.42911561124151376</v>
      </c>
      <c r="J13" s="28">
        <f ca="1"/>
        <v>0.43214438145901113</v>
      </c>
      <c r="K13" s="28">
        <f ca="1"/>
        <v>0.43478473713207677</v>
      </c>
      <c r="L13" s="28">
        <f ca="1"/>
        <v>0.43766772593539827</v>
      </c>
      <c r="M13" s="28">
        <f ca="1"/>
        <v>0.44080966388742127</v>
      </c>
      <c r="N13" s="28">
        <f ca="1"/>
        <v>0.44356970963076492</v>
      </c>
      <c r="O13" s="28">
        <f ca="1"/>
        <v>0.44658163206281642</v>
      </c>
      <c r="P13" s="28">
        <f ca="1"/>
        <v>0.44986591031579337</v>
      </c>
      <c r="Q13" s="28">
        <f ca="1"/>
        <v>0.45277745632870392</v>
      </c>
      <c r="R13" s="28">
        <f ca="1"/>
        <v>0.45595235984751525</v>
      </c>
      <c r="S13" s="28">
        <f ca="1"/>
        <v>0.45874876482071159</v>
      </c>
      <c r="T13" s="28">
        <f ca="1"/>
        <v>0.46180150324676106</v>
      </c>
      <c r="U13" s="28">
        <f ca="1"/>
        <v>0.46512990065480153</v>
      </c>
      <c r="V13" s="28">
        <f ca="1"/>
        <v>0.46809091146883475</v>
      </c>
      <c r="W13" s="28">
        <f ca="1"/>
        <v>0.47132045415150969</v>
      </c>
      <c r="X13" s="28">
        <f ca="1"/>
        <v>0.47417559035989143</v>
      </c>
      <c r="Y13" s="28">
        <f ca="1"/>
        <v>0.47729354809803226</v>
      </c>
      <c r="Z13" s="28">
        <f ca="1"/>
        <v>0.48069181374034997</v>
      </c>
      <c r="AA13" s="28">
        <f ca="1"/>
        <v>0.48372924425007113</v>
      </c>
      <c r="AB13" s="28">
        <f ca="1"/>
        <v>0.48704253437995249</v>
      </c>
      <c r="AC13" s="28">
        <f ca="1"/>
        <v>0.48998929161848537</v>
      </c>
      <c r="AD13" s="28">
        <f ca="1"/>
        <v>0.49320439393363813</v>
      </c>
      <c r="AE13" s="28">
        <f ca="1"/>
        <v>0.49670669568172343</v>
      </c>
      <c r="AF13" s="28">
        <f ca="1"/>
        <v>0.49985772020249897</v>
      </c>
      <c r="AG13" s="28">
        <f ca="1"/>
        <v>0.50329334318325891</v>
      </c>
      <c r="AH13" s="28">
        <f ca="1"/>
        <v>0.50637259408199498</v>
      </c>
      <c r="AI13" s="28">
        <f ca="1"/>
        <v>0.50973318056298922</v>
      </c>
      <c r="AJ13" s="28">
        <f ca="1"/>
        <v>0.51273179076474662</v>
      </c>
      <c r="AK13" s="29">
        <f ca="1"/>
        <v>0.51600501231609996</v>
      </c>
      <c r="AL13" s="3"/>
    </row>
    <row r="14" spans="2:38">
      <c r="B14" s="3"/>
      <c r="C14" s="23" t="s">
        <v>58</v>
      </c>
      <c r="D14" s="16" t="str">
        <f>_yearDol &amp; "$"</f>
        <v>2013$</v>
      </c>
      <c r="E14" s="141">
        <f t="array" aca="1" ref="E14:AK14" ca="1">tlccQmpol-tlccQmbc</f>
        <v>0.32683860419979283</v>
      </c>
      <c r="F14" s="28">
        <f ca="1"/>
        <v>0.32683860419979283</v>
      </c>
      <c r="G14" s="28">
        <f ca="1"/>
        <v>0.32683860419979283</v>
      </c>
      <c r="H14" s="28">
        <f ca="1"/>
        <v>0.32683860419979283</v>
      </c>
      <c r="I14" s="28">
        <f ca="1"/>
        <v>0.32683860419979283</v>
      </c>
      <c r="J14" s="28">
        <f ca="1"/>
        <v>0.32683860419979283</v>
      </c>
      <c r="K14" s="28">
        <f ca="1"/>
        <v>0.32683860419979283</v>
      </c>
      <c r="L14" s="28">
        <f ca="1"/>
        <v>0.32683860419979283</v>
      </c>
      <c r="M14" s="28">
        <f ca="1"/>
        <v>0.32683860419979283</v>
      </c>
      <c r="N14" s="28">
        <f ca="1"/>
        <v>0.32683860419979283</v>
      </c>
      <c r="O14" s="28">
        <f ca="1"/>
        <v>0.32683860419979283</v>
      </c>
      <c r="P14" s="28">
        <f ca="1"/>
        <v>0.32683860419979283</v>
      </c>
      <c r="Q14" s="28">
        <f ca="1"/>
        <v>0.32683860419979283</v>
      </c>
      <c r="R14" s="28">
        <f ca="1"/>
        <v>0.32683860419979283</v>
      </c>
      <c r="S14" s="28">
        <f ca="1"/>
        <v>0.32683860419979283</v>
      </c>
      <c r="T14" s="28">
        <f ca="1"/>
        <v>0.32683860419979283</v>
      </c>
      <c r="U14" s="28">
        <f ca="1"/>
        <v>0.32683860419979283</v>
      </c>
      <c r="V14" s="28">
        <f ca="1"/>
        <v>0.32683860419979283</v>
      </c>
      <c r="W14" s="28">
        <f ca="1"/>
        <v>0.32683860419979283</v>
      </c>
      <c r="X14" s="28">
        <f ca="1"/>
        <v>0.32683860419979283</v>
      </c>
      <c r="Y14" s="28">
        <f ca="1"/>
        <v>0.32683860419979283</v>
      </c>
      <c r="Z14" s="28">
        <f ca="1"/>
        <v>0.32683860419979283</v>
      </c>
      <c r="AA14" s="28">
        <f ca="1"/>
        <v>0.32683860419979283</v>
      </c>
      <c r="AB14" s="28">
        <f ca="1"/>
        <v>0.32683860419979283</v>
      </c>
      <c r="AC14" s="28">
        <f ca="1"/>
        <v>0.32683860419979283</v>
      </c>
      <c r="AD14" s="28">
        <f ca="1"/>
        <v>0.32683860419979283</v>
      </c>
      <c r="AE14" s="28">
        <f ca="1"/>
        <v>0.32683860419979283</v>
      </c>
      <c r="AF14" s="28">
        <f ca="1"/>
        <v>0.32683860419979283</v>
      </c>
      <c r="AG14" s="28">
        <f ca="1"/>
        <v>0.32683860419979283</v>
      </c>
      <c r="AH14" s="28">
        <f ca="1"/>
        <v>0.32683860419979283</v>
      </c>
      <c r="AI14" s="28">
        <f ca="1"/>
        <v>0.32683860419979283</v>
      </c>
      <c r="AJ14" s="28">
        <f ca="1"/>
        <v>0.32683860419979283</v>
      </c>
      <c r="AK14" s="29">
        <f ca="1"/>
        <v>0.32683860419979283</v>
      </c>
      <c r="AL14" s="3"/>
    </row>
    <row r="15" spans="2:38">
      <c r="B15" s="3"/>
      <c r="C15" s="23" t="s">
        <v>59</v>
      </c>
      <c r="D15" s="16" t="str">
        <f>_yearDol &amp; "$"</f>
        <v>2013$</v>
      </c>
      <c r="E15" s="141">
        <f t="array" aca="1" ref="E15:AK15" ca="1">tlccEmbc-tlccEmpol</f>
        <v>0.74384490049123997</v>
      </c>
      <c r="F15" s="28">
        <f ca="1"/>
        <v>0.74711885997385252</v>
      </c>
      <c r="G15" s="28">
        <f ca="1"/>
        <v>0.75001892692307592</v>
      </c>
      <c r="H15" s="28">
        <f ca="1"/>
        <v>0.75317725250351941</v>
      </c>
      <c r="I15" s="28">
        <f ca="1"/>
        <v>0.75595421544130659</v>
      </c>
      <c r="J15" s="28">
        <f ca="1"/>
        <v>0.75898298565880395</v>
      </c>
      <c r="K15" s="28">
        <f ca="1"/>
        <v>0.7616233413318696</v>
      </c>
      <c r="L15" s="28">
        <f ca="1"/>
        <v>0.76450633013519109</v>
      </c>
      <c r="M15" s="28">
        <f ca="1"/>
        <v>0.76764826808721409</v>
      </c>
      <c r="N15" s="28">
        <f ca="1"/>
        <v>0.77040831383055774</v>
      </c>
      <c r="O15" s="28">
        <f ca="1"/>
        <v>0.77342023626260925</v>
      </c>
      <c r="P15" s="28">
        <f ca="1"/>
        <v>0.7767045145155862</v>
      </c>
      <c r="Q15" s="28">
        <f ca="1"/>
        <v>0.77961606052849675</v>
      </c>
      <c r="R15" s="28">
        <f ca="1"/>
        <v>0.78279096404730808</v>
      </c>
      <c r="S15" s="28">
        <f ca="1"/>
        <v>0.78558736902050441</v>
      </c>
      <c r="T15" s="28">
        <f ca="1"/>
        <v>0.78864010744655388</v>
      </c>
      <c r="U15" s="28">
        <f ca="1"/>
        <v>0.79196850485459436</v>
      </c>
      <c r="V15" s="28">
        <f ca="1"/>
        <v>0.79492951566862757</v>
      </c>
      <c r="W15" s="28">
        <f ca="1"/>
        <v>0.79815905835130252</v>
      </c>
      <c r="X15" s="28">
        <f ca="1"/>
        <v>0.80101419455968426</v>
      </c>
      <c r="Y15" s="28">
        <f ca="1"/>
        <v>0.80413215229782509</v>
      </c>
      <c r="Z15" s="28">
        <f ca="1"/>
        <v>0.8075304179401428</v>
      </c>
      <c r="AA15" s="28">
        <f ca="1"/>
        <v>0.81056784844986396</v>
      </c>
      <c r="AB15" s="28">
        <f ca="1"/>
        <v>0.81388113857974531</v>
      </c>
      <c r="AC15" s="28">
        <f ca="1"/>
        <v>0.81682789581827819</v>
      </c>
      <c r="AD15" s="28">
        <f ca="1"/>
        <v>0.82004299813343096</v>
      </c>
      <c r="AE15" s="28">
        <f ca="1"/>
        <v>0.82354529988151626</v>
      </c>
      <c r="AF15" s="28">
        <f ca="1"/>
        <v>0.82669632440229179</v>
      </c>
      <c r="AG15" s="28">
        <f ca="1"/>
        <v>0.83013194738305174</v>
      </c>
      <c r="AH15" s="28">
        <f ca="1"/>
        <v>0.8332111982817878</v>
      </c>
      <c r="AI15" s="28">
        <f ca="1"/>
        <v>0.83657178476278204</v>
      </c>
      <c r="AJ15" s="28">
        <f ca="1"/>
        <v>0.83957039496453945</v>
      </c>
      <c r="AK15" s="29">
        <f ca="1"/>
        <v>0.84284361651589279</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0.1623352158412672</v>
      </c>
      <c r="F17" s="24">
        <f ca="1"/>
        <v>0.16116277811897817</v>
      </c>
      <c r="G17" s="24">
        <f ca="1"/>
        <v>0.15998139373732556</v>
      </c>
      <c r="H17" s="24">
        <f ca="1"/>
        <v>0.15894405879498663</v>
      </c>
      <c r="I17" s="24">
        <f ca="1"/>
        <v>0.15796065128733972</v>
      </c>
      <c r="J17" s="24">
        <f ca="1"/>
        <v>0.15710464389439949</v>
      </c>
      <c r="K17" s="24">
        <f ca="1"/>
        <v>0.15644111277470074</v>
      </c>
      <c r="L17" s="24">
        <f ca="1"/>
        <v>0.15589111594454153</v>
      </c>
      <c r="M17" s="24">
        <f ca="1"/>
        <v>0.15533855588682854</v>
      </c>
      <c r="N17" s="24">
        <f ca="1"/>
        <v>0.1548966901973472</v>
      </c>
      <c r="O17" s="24">
        <f ca="1"/>
        <v>0.15459240403561125</v>
      </c>
      <c r="P17" s="24">
        <f ca="1"/>
        <v>0.15436966652941919</v>
      </c>
      <c r="Q17" s="24">
        <f ca="1"/>
        <v>0.15418223550568655</v>
      </c>
      <c r="R17" s="24">
        <f ca="1"/>
        <v>0.15404392507116427</v>
      </c>
      <c r="S17" s="24">
        <f ca="1"/>
        <v>0.15393849206338928</v>
      </c>
      <c r="T17" s="24">
        <f ca="1"/>
        <v>0.15392528768825287</v>
      </c>
      <c r="U17" s="24">
        <f ca="1"/>
        <v>0.15395237035954779</v>
      </c>
      <c r="V17" s="24">
        <f ca="1"/>
        <v>0.15399212733154855</v>
      </c>
      <c r="W17" s="24">
        <f ca="1"/>
        <v>0.15404898531096478</v>
      </c>
      <c r="X17" s="24">
        <f ca="1"/>
        <v>0.1541027154908079</v>
      </c>
      <c r="Y17" s="24">
        <f ca="1"/>
        <v>0.15414723381763906</v>
      </c>
      <c r="Z17" s="24">
        <f ca="1"/>
        <v>0.15417706739071946</v>
      </c>
      <c r="AA17" s="24">
        <f ca="1"/>
        <v>0.15419672970074316</v>
      </c>
      <c r="AB17" s="24">
        <f ca="1"/>
        <v>0.15419672970074316</v>
      </c>
      <c r="AC17" s="24">
        <f ca="1"/>
        <v>0.15419672970074316</v>
      </c>
      <c r="AD17" s="24">
        <f ca="1"/>
        <v>0.15419672970074316</v>
      </c>
      <c r="AE17" s="24">
        <f ca="1"/>
        <v>0.15419672970074316</v>
      </c>
      <c r="AF17" s="24">
        <f ca="1"/>
        <v>0.15419672970074316</v>
      </c>
      <c r="AG17" s="24">
        <f ca="1"/>
        <v>0.15419672970074316</v>
      </c>
      <c r="AH17" s="24">
        <f ca="1"/>
        <v>0.15419672970074316</v>
      </c>
      <c r="AI17" s="24">
        <f ca="1"/>
        <v>0.15419672970074316</v>
      </c>
      <c r="AJ17" s="24">
        <f ca="1"/>
        <v>0.15419672970074316</v>
      </c>
      <c r="AK17" s="26">
        <f ca="1"/>
        <v>0.15419672970074316</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INDEX(_doName,2,1)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1206.6701338278999</v>
      </c>
      <c r="F21" s="28">
        <f ca="1">SUMPRODUCT(INDEX(bcEff,,2),INDEX(tlccQubc,,2))</f>
        <v>1206.6701338278999</v>
      </c>
      <c r="G21" s="28">
        <f ca="1">SUMPRODUCT(INDEX(bcEff,,3),INDEX(tlccQubc,,3))</f>
        <v>1206.6701338278999</v>
      </c>
      <c r="H21" s="28">
        <f ca="1">SUMPRODUCT(INDEX(bcEff,,4),INDEX(tlccQubc,,4))</f>
        <v>1206.6701338278999</v>
      </c>
      <c r="I21" s="28">
        <f ca="1">SUMPRODUCT(INDEX(bcEff,,5),INDEX(tlccQubc,,5))</f>
        <v>1206.6701338278999</v>
      </c>
      <c r="J21" s="28">
        <f ca="1">SUMPRODUCT(INDEX(bcEff,,6),INDEX(tlccQubc,,6))</f>
        <v>1206.6701338278999</v>
      </c>
      <c r="K21" s="28">
        <f ca="1">SUMPRODUCT(INDEX(bcEff,,7),INDEX(tlccQubc,,7))</f>
        <v>1206.6701338278999</v>
      </c>
      <c r="L21" s="28">
        <f ca="1">SUMPRODUCT(INDEX(bcEff,,8),INDEX(tlccQubc,,8))</f>
        <v>1206.6701338278999</v>
      </c>
      <c r="M21" s="28">
        <f ca="1">SUMPRODUCT(INDEX(bcEff,,9),INDEX(tlccQubc,,9))</f>
        <v>1206.6701338278999</v>
      </c>
      <c r="N21" s="28">
        <f ca="1">SUMPRODUCT(INDEX(bcEff,,10),INDEX(tlccQubc,,10))</f>
        <v>1206.6701338278999</v>
      </c>
      <c r="O21" s="28">
        <f ca="1">SUMPRODUCT(INDEX(bcEff,,11),INDEX(tlccQubc,,11))</f>
        <v>1206.6701338278999</v>
      </c>
      <c r="P21" s="28">
        <f ca="1">SUMPRODUCT(INDEX(bcEff,,12),INDEX(tlccQubc,,12))</f>
        <v>1206.6701338278999</v>
      </c>
      <c r="Q21" s="28">
        <f ca="1">SUMPRODUCT(INDEX(bcEff,,13),INDEX(tlccQubc,,13))</f>
        <v>1206.6701338278999</v>
      </c>
      <c r="R21" s="28">
        <f ca="1">SUMPRODUCT(INDEX(bcEff,,14),INDEX(tlccQubc,,14))</f>
        <v>1206.6701338278999</v>
      </c>
      <c r="S21" s="28">
        <f ca="1">SUMPRODUCT(INDEX(bcEff,,15),INDEX(tlccQubc,,15))</f>
        <v>1206.6701338278999</v>
      </c>
      <c r="T21" s="28">
        <f ca="1">SUMPRODUCT(INDEX(bcEff,,16),INDEX(tlccQubc,,16))</f>
        <v>1206.6701338278999</v>
      </c>
      <c r="U21" s="28">
        <f ca="1">SUMPRODUCT(INDEX(bcEff,,17),INDEX(tlccQubc,,17))</f>
        <v>1206.6701338278999</v>
      </c>
      <c r="V21" s="28">
        <f ca="1">SUMPRODUCT(INDEX(bcEff,,18),INDEX(tlccQubc,,18))</f>
        <v>1206.6701338278999</v>
      </c>
      <c r="W21" s="28">
        <f ca="1">SUMPRODUCT(INDEX(bcEff,,19),INDEX(tlccQubc,,19))</f>
        <v>1206.6701338278999</v>
      </c>
      <c r="X21" s="28">
        <f ca="1">SUMPRODUCT(INDEX(bcEff,,20),INDEX(tlccQubc,,20))</f>
        <v>1206.6701338278999</v>
      </c>
      <c r="Y21" s="28">
        <f ca="1">SUMPRODUCT(INDEX(bcEff,,21),INDEX(tlccQubc,,21))</f>
        <v>1206.6701338278999</v>
      </c>
      <c r="Z21" s="28">
        <f ca="1">SUMPRODUCT(INDEX(bcEff,,22),INDEX(tlccQubc,,22))</f>
        <v>1206.6701338278999</v>
      </c>
      <c r="AA21" s="28">
        <f ca="1">SUMPRODUCT(INDEX(bcEff,,23),INDEX(tlccQubc,,23))</f>
        <v>1206.6701338278999</v>
      </c>
      <c r="AB21" s="28">
        <f ca="1">SUMPRODUCT(INDEX(bcEff,,24),INDEX(tlccQubc,,24))</f>
        <v>1206.6701338278999</v>
      </c>
      <c r="AC21" s="28">
        <f ca="1">SUMPRODUCT(INDEX(bcEff,,25),INDEX(tlccQubc,,25))</f>
        <v>1206.6701338278999</v>
      </c>
      <c r="AD21" s="28">
        <f ca="1">SUMPRODUCT(INDEX(bcEff,,26),INDEX(tlccQubc,,26))</f>
        <v>1206.6701338278999</v>
      </c>
      <c r="AE21" s="28">
        <f ca="1">SUMPRODUCT(INDEX(bcEff,,27),INDEX(tlccQubc,,27))</f>
        <v>1206.6701338278999</v>
      </c>
      <c r="AF21" s="28">
        <f ca="1">SUMPRODUCT(INDEX(bcEff,,28),INDEX(tlccQubc,,28))</f>
        <v>1206.6701338278999</v>
      </c>
      <c r="AG21" s="28">
        <f ca="1">SUMPRODUCT(INDEX(bcEff,,29),INDEX(tlccQubc,,29))</f>
        <v>1206.6701338278999</v>
      </c>
      <c r="AH21" s="28">
        <f ca="1">SUMPRODUCT(INDEX(bcEff,,30),INDEX(tlccQubc,,30))</f>
        <v>1206.6701338278999</v>
      </c>
      <c r="AI21" s="28">
        <f ca="1">SUMPRODUCT(INDEX(bcEff,,31),INDEX(tlccQubc,,31))</f>
        <v>1206.6701338278999</v>
      </c>
      <c r="AJ21" s="28">
        <f ca="1">SUMPRODUCT(INDEX(bcEff,,32),INDEX(tlccQubc,,32))</f>
        <v>1206.6701338278999</v>
      </c>
      <c r="AK21" s="29">
        <f ca="1">SUMPRODUCT(INDEX(bcEff,,33),INDEX(tlccQubc,,33))</f>
        <v>1206.6701338278999</v>
      </c>
      <c r="AL21" s="3"/>
    </row>
    <row r="22" spans="2:38">
      <c r="B22" s="3"/>
      <c r="C22" s="23" t="s">
        <v>47</v>
      </c>
      <c r="D22" s="16" t="str">
        <f>_yearDol &amp; "$"</f>
        <v>2013$</v>
      </c>
      <c r="E22" s="141">
        <f ca="1">SUMPRODUCT(INDEX(bcEff,,1),INDEX(tlccEubc,,1))</f>
        <v>18895.818669550452</v>
      </c>
      <c r="F22" s="28">
        <f ca="1">SUMPRODUCT(INDEX(bcEff,,2),INDEX(tlccEubc,,2))</f>
        <v>18978.986739604887</v>
      </c>
      <c r="G22" s="28">
        <f ca="1">SUMPRODUCT(INDEX(bcEff,,3),INDEX(tlccEubc,,3))</f>
        <v>19052.656854318921</v>
      </c>
      <c r="H22" s="28">
        <f ca="1">SUMPRODUCT(INDEX(bcEff,,4),INDEX(tlccEubc,,4))</f>
        <v>19132.887487584791</v>
      </c>
      <c r="I22" s="28">
        <f ca="1">SUMPRODUCT(INDEX(bcEff,,5),INDEX(tlccEubc,,5))</f>
        <v>19203.430403355538</v>
      </c>
      <c r="J22" s="28">
        <f ca="1">SUMPRODUCT(INDEX(bcEff,,6),INDEX(tlccEubc,,6))</f>
        <v>19280.369954540238</v>
      </c>
      <c r="K22" s="28">
        <f ca="1">SUMPRODUCT(INDEX(bcEff,,7),INDEX(tlccEubc,,7))</f>
        <v>19347.442649451415</v>
      </c>
      <c r="L22" s="28">
        <f ca="1">SUMPRODUCT(INDEX(bcEff,,8),INDEX(tlccEubc,,8))</f>
        <v>19420.678929760954</v>
      </c>
      <c r="M22" s="28">
        <f ca="1">SUMPRODUCT(INDEX(bcEff,,9),INDEX(tlccEubc,,9))</f>
        <v>19500.493269694292</v>
      </c>
      <c r="N22" s="28">
        <f ca="1">SUMPRODUCT(INDEX(bcEff,,10),INDEX(tlccEubc,,10))</f>
        <v>19570.606439773139</v>
      </c>
      <c r="O22" s="28">
        <f ca="1">SUMPRODUCT(INDEX(bcEff,,11),INDEX(tlccEubc,,11))</f>
        <v>19647.118008308145</v>
      </c>
      <c r="P22" s="28">
        <f ca="1">SUMPRODUCT(INDEX(bcEff,,12),INDEX(tlccEubc,,12))</f>
        <v>19730.54820492812</v>
      </c>
      <c r="Q22" s="28">
        <f ca="1">SUMPRODUCT(INDEX(bcEff,,13),INDEX(tlccEubc,,13))</f>
        <v>19804.509921184803</v>
      </c>
      <c r="R22" s="28">
        <f ca="1">SUMPRODUCT(INDEX(bcEff,,14),INDEX(tlccEubc,,14))</f>
        <v>19885.161682302991</v>
      </c>
      <c r="S22" s="28">
        <f ca="1">SUMPRODUCT(INDEX(bcEff,,15),INDEX(tlccEubc,,15))</f>
        <v>19956.198482111362</v>
      </c>
      <c r="T22" s="28">
        <f ca="1">SUMPRODUCT(INDEX(bcEff,,16),INDEX(tlccEubc,,16))</f>
        <v>20033.746895400214</v>
      </c>
      <c r="U22" s="28">
        <f ca="1">SUMPRODUCT(INDEX(bcEff,,17),INDEX(tlccEubc,,17))</f>
        <v>20118.297846598249</v>
      </c>
      <c r="V22" s="28">
        <f ca="1">SUMPRODUCT(INDEX(bcEff,,18),INDEX(tlccEubc,,18))</f>
        <v>20193.516112323952</v>
      </c>
      <c r="W22" s="28">
        <f ca="1">SUMPRODUCT(INDEX(bcEff,,19),INDEX(tlccEubc,,19))</f>
        <v>20275.555866675244</v>
      </c>
      <c r="X22" s="28">
        <f ca="1">SUMPRODUCT(INDEX(bcEff,,20),INDEX(tlccEubc,,20))</f>
        <v>20348.084610269201</v>
      </c>
      <c r="Y22" s="28">
        <f ca="1">SUMPRODUCT(INDEX(bcEff,,21),INDEX(tlccEubc,,21))</f>
        <v>20427.289783279673</v>
      </c>
      <c r="Z22" s="28">
        <f ca="1">SUMPRODUCT(INDEX(bcEff,,22),INDEX(tlccEubc,,22))</f>
        <v>20513.615590339388</v>
      </c>
      <c r="AA22" s="28">
        <f ca="1">SUMPRODUCT(INDEX(bcEff,,23),INDEX(tlccEubc,,23))</f>
        <v>20590.775138176839</v>
      </c>
      <c r="AB22" s="28">
        <f ca="1">SUMPRODUCT(INDEX(bcEff,,24),INDEX(tlccEubc,,24))</f>
        <v>20674.942320600174</v>
      </c>
      <c r="AC22" s="28">
        <f ca="1">SUMPRODUCT(INDEX(bcEff,,25),INDEX(tlccEubc,,25))</f>
        <v>20749.79850426679</v>
      </c>
      <c r="AD22" s="28">
        <f ca="1">SUMPRODUCT(INDEX(bcEff,,26),INDEX(tlccEubc,,26))</f>
        <v>20831.471431456379</v>
      </c>
      <c r="AE22" s="28">
        <f ca="1">SUMPRODUCT(INDEX(bcEff,,27),INDEX(tlccEubc,,27))</f>
        <v>20920.440057326876</v>
      </c>
      <c r="AF22" s="28">
        <f ca="1">SUMPRODUCT(INDEX(bcEff,,28),INDEX(tlccEubc,,28))</f>
        <v>21000.485222666826</v>
      </c>
      <c r="AG22" s="28">
        <f ca="1">SUMPRODUCT(INDEX(bcEff,,29),INDEX(tlccEubc,,29))</f>
        <v>21087.760014436386</v>
      </c>
      <c r="AH22" s="28">
        <f ca="1">SUMPRODUCT(INDEX(bcEff,,30),INDEX(tlccEubc,,30))</f>
        <v>21165.98192146582</v>
      </c>
      <c r="AI22" s="28">
        <f ca="1">SUMPRODUCT(INDEX(bcEff,,31),INDEX(tlccEubc,,31))</f>
        <v>21251.350568527945</v>
      </c>
      <c r="AJ22" s="28">
        <f ca="1">SUMPRODUCT(INDEX(bcEff,,32),INDEX(tlccEubc,,32))</f>
        <v>21327.523967960857</v>
      </c>
      <c r="AK22" s="29">
        <f ca="1">SUMPRODUCT(INDEX(bcEff,,33),INDEX(tlccEubc,,33))</f>
        <v>21410.673292144522</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4123.785482972793</v>
      </c>
      <c r="F24" s="22">
        <f ca="1">SUMPRODUCT(INDEX(bcEff,,2),INDEX(tlccFubcElec,,2))</f>
        <v>4094.0021630999549</v>
      </c>
      <c r="G24" s="22">
        <f ca="1">SUMPRODUCT(INDEX(bcEff,,3),INDEX(tlccFubcElec,,3))</f>
        <v>4063.9915721386897</v>
      </c>
      <c r="H24" s="22">
        <f ca="1">SUMPRODUCT(INDEX(bcEff,,4),INDEX(tlccFubcElec,,4))</f>
        <v>4037.6402548563733</v>
      </c>
      <c r="I24" s="22">
        <f ca="1">SUMPRODUCT(INDEX(bcEff,,5),INDEX(tlccFubcElec,,5))</f>
        <v>4012.6588509016442</v>
      </c>
      <c r="J24" s="22">
        <f ca="1">SUMPRODUCT(INDEX(bcEff,,6),INDEX(tlccFubcElec,,6))</f>
        <v>3990.9137794960602</v>
      </c>
      <c r="K24" s="22">
        <f ca="1">SUMPRODUCT(INDEX(bcEff,,7),INDEX(tlccFubcElec,,7))</f>
        <v>3974.0581638709241</v>
      </c>
      <c r="L24" s="22">
        <f ca="1">SUMPRODUCT(INDEX(bcEff,,8),INDEX(tlccFubcElec,,8))</f>
        <v>3960.0866486243558</v>
      </c>
      <c r="M24" s="22">
        <f ca="1">SUMPRODUCT(INDEX(bcEff,,9),INDEX(tlccFubcElec,,9))</f>
        <v>3946.050019961885</v>
      </c>
      <c r="N24" s="22">
        <f ca="1">SUMPRODUCT(INDEX(bcEff,,10),INDEX(tlccFubcElec,,10))</f>
        <v>3934.82534940697</v>
      </c>
      <c r="O24" s="22">
        <f ca="1">SUMPRODUCT(INDEX(bcEff,,11),INDEX(tlccFubcElec,,11))</f>
        <v>3927.0955980610297</v>
      </c>
      <c r="P24" s="22">
        <f ca="1">SUMPRODUCT(INDEX(bcEff,,12),INDEX(tlccFubcElec,,12))</f>
        <v>3921.4374191464467</v>
      </c>
      <c r="Q24" s="22">
        <f ca="1">SUMPRODUCT(INDEX(bcEff,,13),INDEX(tlccFubcElec,,13))</f>
        <v>3916.6761273214793</v>
      </c>
      <c r="R24" s="22">
        <f ca="1">SUMPRODUCT(INDEX(bcEff,,14),INDEX(tlccFubcElec,,14))</f>
        <v>3913.1626409951696</v>
      </c>
      <c r="S24" s="22">
        <f ca="1">SUMPRODUCT(INDEX(bcEff,,15),INDEX(tlccFubcElec,,15))</f>
        <v>3910.4843366868804</v>
      </c>
      <c r="T24" s="22">
        <f ca="1">SUMPRODUCT(INDEX(bcEff,,16),INDEX(tlccFubcElec,,16))</f>
        <v>3910.1489072348604</v>
      </c>
      <c r="U24" s="22">
        <f ca="1">SUMPRODUCT(INDEX(bcEff,,17),INDEX(tlccFubcElec,,17))</f>
        <v>3910.8368856609577</v>
      </c>
      <c r="V24" s="22">
        <f ca="1">SUMPRODUCT(INDEX(bcEff,,18),INDEX(tlccFubcElec,,18))</f>
        <v>3911.8468281210507</v>
      </c>
      <c r="W24" s="22">
        <f ca="1">SUMPRODUCT(INDEX(bcEff,,19),INDEX(tlccFubcElec,,19))</f>
        <v>3913.2911857648328</v>
      </c>
      <c r="X24" s="22">
        <f ca="1">SUMPRODUCT(INDEX(bcEff,,20),INDEX(tlccFubcElec,,20))</f>
        <v>3914.6560882228841</v>
      </c>
      <c r="Y24" s="22">
        <f ca="1">SUMPRODUCT(INDEX(bcEff,,21),INDEX(tlccFubcElec,,21))</f>
        <v>3915.7869828858284</v>
      </c>
      <c r="Z24" s="22">
        <f ca="1">SUMPRODUCT(INDEX(bcEff,,22),INDEX(tlccFubcElec,,22))</f>
        <v>3916.5448422042996</v>
      </c>
      <c r="AA24" s="22">
        <f ca="1">SUMPRODUCT(INDEX(bcEff,,23),INDEX(tlccFubcElec,,23))</f>
        <v>3917.0443219432964</v>
      </c>
      <c r="AB24" s="22">
        <f ca="1">SUMPRODUCT(INDEX(bcEff,,24),INDEX(tlccFubcElec,,24))</f>
        <v>3917.0443219432964</v>
      </c>
      <c r="AC24" s="22">
        <f ca="1">SUMPRODUCT(INDEX(bcEff,,25),INDEX(tlccFubcElec,,25))</f>
        <v>3917.0443219432964</v>
      </c>
      <c r="AD24" s="22">
        <f ca="1">SUMPRODUCT(INDEX(bcEff,,26),INDEX(tlccFubcElec,,26))</f>
        <v>3917.0443219432964</v>
      </c>
      <c r="AE24" s="22">
        <f ca="1">SUMPRODUCT(INDEX(bcEff,,27),INDEX(tlccFubcElec,,27))</f>
        <v>3917.0443219432964</v>
      </c>
      <c r="AF24" s="22">
        <f ca="1">SUMPRODUCT(INDEX(bcEff,,28),INDEX(tlccFubcElec,,28))</f>
        <v>3917.0443219432964</v>
      </c>
      <c r="AG24" s="22">
        <f ca="1">SUMPRODUCT(INDEX(bcEff,,29),INDEX(tlccFubcElec,,29))</f>
        <v>3917.0443219432964</v>
      </c>
      <c r="AH24" s="22">
        <f ca="1">SUMPRODUCT(INDEX(bcEff,,30),INDEX(tlccFubcElec,,30))</f>
        <v>3917.0443219432964</v>
      </c>
      <c r="AI24" s="22">
        <f ca="1">SUMPRODUCT(INDEX(bcEff,,31),INDEX(tlccFubcElec,,31))</f>
        <v>3917.0443219432964</v>
      </c>
      <c r="AJ24" s="22">
        <f ca="1">SUMPRODUCT(INDEX(bcEff,,32),INDEX(tlccFubcElec,,32))</f>
        <v>3917.0443219432964</v>
      </c>
      <c r="AK24" s="25">
        <f ca="1">SUMPRODUCT(INDEX(bcEff,,33),INDEX(tlccFubcElec,,33))</f>
        <v>3917.0443219432964</v>
      </c>
      <c r="AL24" s="3"/>
    </row>
    <row r="25" spans="2:38">
      <c r="B25" s="3"/>
      <c r="C25" s="30" t="str">
        <f>"Std (CSL " &amp; stdCSL &amp; "): " &amp; INDEX(_doName,2,stdCSL+1)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1206.9969724320997</v>
      </c>
      <c r="F26" s="28">
        <f ca="1">SUMPRODUCT(INDEX(polEff,,2),INDEX(tlccQupol,,2))</f>
        <v>1206.9969724320997</v>
      </c>
      <c r="G26" s="28">
        <f ca="1">SUMPRODUCT(INDEX(polEff,,3),INDEX(tlccQupol,,3))</f>
        <v>1206.9969724320997</v>
      </c>
      <c r="H26" s="28">
        <f ca="1">SUMPRODUCT(INDEX(polEff,,4),INDEX(tlccQupol,,4))</f>
        <v>1206.9969724320997</v>
      </c>
      <c r="I26" s="28">
        <f ca="1">SUMPRODUCT(INDEX(polEff,,5),INDEX(tlccQupol,,5))</f>
        <v>1206.9969724320997</v>
      </c>
      <c r="J26" s="28">
        <f ca="1">SUMPRODUCT(INDEX(polEff,,6),INDEX(tlccQupol,,6))</f>
        <v>1206.9969724320997</v>
      </c>
      <c r="K26" s="28">
        <f ca="1">SUMPRODUCT(INDEX(polEff,,7),INDEX(tlccQupol,,7))</f>
        <v>1206.9969724320997</v>
      </c>
      <c r="L26" s="28">
        <f ca="1">SUMPRODUCT(INDEX(polEff,,8),INDEX(tlccQupol,,8))</f>
        <v>1206.9969724320997</v>
      </c>
      <c r="M26" s="28">
        <f ca="1">SUMPRODUCT(INDEX(polEff,,9),INDEX(tlccQupol,,9))</f>
        <v>1206.9969724320997</v>
      </c>
      <c r="N26" s="28">
        <f ca="1">SUMPRODUCT(INDEX(polEff,,10),INDEX(tlccQupol,,10))</f>
        <v>1206.9969724320997</v>
      </c>
      <c r="O26" s="28">
        <f ca="1">SUMPRODUCT(INDEX(polEff,,11),INDEX(tlccQupol,,11))</f>
        <v>1206.9969724320997</v>
      </c>
      <c r="P26" s="28">
        <f ca="1">SUMPRODUCT(INDEX(polEff,,12),INDEX(tlccQupol,,12))</f>
        <v>1206.9969724320997</v>
      </c>
      <c r="Q26" s="28">
        <f ca="1">SUMPRODUCT(INDEX(polEff,,13),INDEX(tlccQupol,,13))</f>
        <v>1206.9969724320997</v>
      </c>
      <c r="R26" s="28">
        <f ca="1">SUMPRODUCT(INDEX(polEff,,14),INDEX(tlccQupol,,14))</f>
        <v>1206.9969724320997</v>
      </c>
      <c r="S26" s="28">
        <f ca="1">SUMPRODUCT(INDEX(polEff,,15),INDEX(tlccQupol,,15))</f>
        <v>1206.9969724320997</v>
      </c>
      <c r="T26" s="28">
        <f ca="1">SUMPRODUCT(INDEX(polEff,,16),INDEX(tlccQupol,,16))</f>
        <v>1206.9969724320997</v>
      </c>
      <c r="U26" s="28">
        <f ca="1">SUMPRODUCT(INDEX(polEff,,17),INDEX(tlccQupol,,17))</f>
        <v>1206.9969724320997</v>
      </c>
      <c r="V26" s="28">
        <f ca="1">SUMPRODUCT(INDEX(polEff,,18),INDEX(tlccQupol,,18))</f>
        <v>1206.9969724320997</v>
      </c>
      <c r="W26" s="28">
        <f ca="1">SUMPRODUCT(INDEX(polEff,,19),INDEX(tlccQupol,,19))</f>
        <v>1206.9969724320997</v>
      </c>
      <c r="X26" s="28">
        <f ca="1">SUMPRODUCT(INDEX(polEff,,20),INDEX(tlccQupol,,20))</f>
        <v>1206.9969724320997</v>
      </c>
      <c r="Y26" s="28">
        <f ca="1">SUMPRODUCT(INDEX(polEff,,21),INDEX(tlccQupol,,21))</f>
        <v>1206.9969724320997</v>
      </c>
      <c r="Z26" s="28">
        <f ca="1">SUMPRODUCT(INDEX(polEff,,22),INDEX(tlccQupol,,22))</f>
        <v>1206.9969724320997</v>
      </c>
      <c r="AA26" s="28">
        <f ca="1">SUMPRODUCT(INDEX(polEff,,23),INDEX(tlccQupol,,23))</f>
        <v>1206.9969724320997</v>
      </c>
      <c r="AB26" s="28">
        <f ca="1">SUMPRODUCT(INDEX(polEff,,24),INDEX(tlccQupol,,24))</f>
        <v>1206.9969724320997</v>
      </c>
      <c r="AC26" s="28">
        <f ca="1">SUMPRODUCT(INDEX(polEff,,25),INDEX(tlccQupol,,25))</f>
        <v>1206.9969724320997</v>
      </c>
      <c r="AD26" s="28">
        <f ca="1">SUMPRODUCT(INDEX(polEff,,26),INDEX(tlccQupol,,26))</f>
        <v>1206.9969724320997</v>
      </c>
      <c r="AE26" s="28">
        <f ca="1">SUMPRODUCT(INDEX(polEff,,27),INDEX(tlccQupol,,27))</f>
        <v>1206.9969724320997</v>
      </c>
      <c r="AF26" s="28">
        <f ca="1">SUMPRODUCT(INDEX(polEff,,28),INDEX(tlccQupol,,28))</f>
        <v>1206.9969724320997</v>
      </c>
      <c r="AG26" s="28">
        <f ca="1">SUMPRODUCT(INDEX(polEff,,29),INDEX(tlccQupol,,29))</f>
        <v>1206.9969724320997</v>
      </c>
      <c r="AH26" s="28">
        <f ca="1">SUMPRODUCT(INDEX(polEff,,30),INDEX(tlccQupol,,30))</f>
        <v>1206.9969724320997</v>
      </c>
      <c r="AI26" s="28">
        <f ca="1">SUMPRODUCT(INDEX(polEff,,31),INDEX(tlccQupol,,31))</f>
        <v>1206.9969724320997</v>
      </c>
      <c r="AJ26" s="28">
        <f ca="1">SUMPRODUCT(INDEX(polEff,,32),INDEX(tlccQupol,,32))</f>
        <v>1206.9969724320997</v>
      </c>
      <c r="AK26" s="29">
        <f ca="1">SUMPRODUCT(INDEX(polEff,,33),INDEX(tlccQupol,,33))</f>
        <v>1206.9969724320997</v>
      </c>
      <c r="AL26" s="3"/>
    </row>
    <row r="27" spans="2:38">
      <c r="B27" s="3"/>
      <c r="C27" s="23" t="s">
        <v>47</v>
      </c>
      <c r="D27" s="16" t="str">
        <f>_yearDol &amp; "$"</f>
        <v>2013$</v>
      </c>
      <c r="E27" s="141">
        <f ca="1">SUMPRODUCT(INDEX(polEff,,1),INDEX(tlccEupol,,1))</f>
        <v>18895.074824649961</v>
      </c>
      <c r="F27" s="28">
        <f ca="1">SUMPRODUCT(INDEX(polEff,,2),INDEX(tlccEupol,,2))</f>
        <v>18978.239620744913</v>
      </c>
      <c r="G27" s="28">
        <f ca="1">SUMPRODUCT(INDEX(polEff,,3),INDEX(tlccEupol,,3))</f>
        <v>19051.906835391997</v>
      </c>
      <c r="H27" s="28">
        <f ca="1">SUMPRODUCT(INDEX(polEff,,4),INDEX(tlccEupol,,4))</f>
        <v>19132.134310332287</v>
      </c>
      <c r="I27" s="28">
        <f ca="1">SUMPRODUCT(INDEX(polEff,,5),INDEX(tlccEupol,,5))</f>
        <v>19202.674449140097</v>
      </c>
      <c r="J27" s="28">
        <f ca="1">SUMPRODUCT(INDEX(polEff,,6),INDEX(tlccEupol,,6))</f>
        <v>19279.610971554579</v>
      </c>
      <c r="K27" s="28">
        <f ca="1">SUMPRODUCT(INDEX(polEff,,7),INDEX(tlccEupol,,7))</f>
        <v>19346.681026110084</v>
      </c>
      <c r="L27" s="28">
        <f ca="1">SUMPRODUCT(INDEX(polEff,,8),INDEX(tlccEupol,,8))</f>
        <v>19419.914423430819</v>
      </c>
      <c r="M27" s="28">
        <f ca="1">SUMPRODUCT(INDEX(polEff,,9),INDEX(tlccEupol,,9))</f>
        <v>19499.725621426205</v>
      </c>
      <c r="N27" s="28">
        <f ca="1">SUMPRODUCT(INDEX(polEff,,10),INDEX(tlccEupol,,10))</f>
        <v>19569.836031459308</v>
      </c>
      <c r="O27" s="28">
        <f ca="1">SUMPRODUCT(INDEX(polEff,,11),INDEX(tlccEupol,,11))</f>
        <v>19646.344588071883</v>
      </c>
      <c r="P27" s="28">
        <f ca="1">SUMPRODUCT(INDEX(polEff,,12),INDEX(tlccEupol,,12))</f>
        <v>19729.771500413604</v>
      </c>
      <c r="Q27" s="28">
        <f ca="1">SUMPRODUCT(INDEX(polEff,,13),INDEX(tlccEupol,,13))</f>
        <v>19803.730305124274</v>
      </c>
      <c r="R27" s="28">
        <f ca="1">SUMPRODUCT(INDEX(polEff,,14),INDEX(tlccEupol,,14))</f>
        <v>19884.378891338944</v>
      </c>
      <c r="S27" s="28">
        <f ca="1">SUMPRODUCT(INDEX(polEff,,15),INDEX(tlccEupol,,15))</f>
        <v>19955.412894742341</v>
      </c>
      <c r="T27" s="28">
        <f ca="1">SUMPRODUCT(INDEX(polEff,,16),INDEX(tlccEupol,,16))</f>
        <v>20032.958255292768</v>
      </c>
      <c r="U27" s="28">
        <f ca="1">SUMPRODUCT(INDEX(polEff,,17),INDEX(tlccEupol,,17))</f>
        <v>20117.505878093394</v>
      </c>
      <c r="V27" s="28">
        <f ca="1">SUMPRODUCT(INDEX(polEff,,18),INDEX(tlccEupol,,18))</f>
        <v>20192.721182808284</v>
      </c>
      <c r="W27" s="28">
        <f ca="1">SUMPRODUCT(INDEX(polEff,,19),INDEX(tlccEupol,,19))</f>
        <v>20274.757707616893</v>
      </c>
      <c r="X27" s="28">
        <f ca="1">SUMPRODUCT(INDEX(polEff,,20),INDEX(tlccEupol,,20))</f>
        <v>20347.283596074642</v>
      </c>
      <c r="Y27" s="28">
        <f ca="1">SUMPRODUCT(INDEX(polEff,,21),INDEX(tlccEupol,,21))</f>
        <v>20426.485651127376</v>
      </c>
      <c r="Z27" s="28">
        <f ca="1">SUMPRODUCT(INDEX(polEff,,22),INDEX(tlccEupol,,22))</f>
        <v>20512.808059921448</v>
      </c>
      <c r="AA27" s="28">
        <f ca="1">SUMPRODUCT(INDEX(polEff,,23),INDEX(tlccEupol,,23))</f>
        <v>20589.96457032839</v>
      </c>
      <c r="AB27" s="28">
        <f ca="1">SUMPRODUCT(INDEX(polEff,,24),INDEX(tlccEupol,,24))</f>
        <v>20674.128439461594</v>
      </c>
      <c r="AC27" s="28">
        <f ca="1">SUMPRODUCT(INDEX(polEff,,25),INDEX(tlccEupol,,25))</f>
        <v>20748.981676370971</v>
      </c>
      <c r="AD27" s="28">
        <f ca="1">SUMPRODUCT(INDEX(polEff,,26),INDEX(tlccEupol,,26))</f>
        <v>20830.651388458245</v>
      </c>
      <c r="AE27" s="28">
        <f ca="1">SUMPRODUCT(INDEX(polEff,,27),INDEX(tlccEupol,,27))</f>
        <v>20919.616512026994</v>
      </c>
      <c r="AF27" s="28">
        <f ca="1">SUMPRODUCT(INDEX(polEff,,28),INDEX(tlccEupol,,28))</f>
        <v>20999.658526342424</v>
      </c>
      <c r="AG27" s="28">
        <f ca="1">SUMPRODUCT(INDEX(polEff,,29),INDEX(tlccEupol,,29))</f>
        <v>21086.929882489003</v>
      </c>
      <c r="AH27" s="28">
        <f ca="1">SUMPRODUCT(INDEX(polEff,,30),INDEX(tlccEupol,,30))</f>
        <v>21165.148710267538</v>
      </c>
      <c r="AI27" s="28">
        <f ca="1">SUMPRODUCT(INDEX(polEff,,31),INDEX(tlccEupol,,31))</f>
        <v>21250.513996743182</v>
      </c>
      <c r="AJ27" s="28">
        <f ca="1">SUMPRODUCT(INDEX(polEff,,32),INDEX(tlccEupol,,32))</f>
        <v>21326.684397565892</v>
      </c>
      <c r="AK27" s="29">
        <f ca="1">SUMPRODUCT(INDEX(polEff,,33),INDEX(tlccEupol,,33))</f>
        <v>21409.830448528006</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4123.6231477569518</v>
      </c>
      <c r="F29" s="24">
        <f ca="1">SUMPRODUCT(INDEX(polEff,,2),INDEX(tlccFupolElec,,2))</f>
        <v>4093.841000321836</v>
      </c>
      <c r="G29" s="24">
        <f ca="1">SUMPRODUCT(INDEX(polEff,,3),INDEX(tlccFupolElec,,3))</f>
        <v>4063.8315907449523</v>
      </c>
      <c r="H29" s="24">
        <f ca="1">SUMPRODUCT(INDEX(polEff,,4),INDEX(tlccFupolElec,,4))</f>
        <v>4037.4813107975783</v>
      </c>
      <c r="I29" s="24">
        <f ca="1">SUMPRODUCT(INDEX(polEff,,5),INDEX(tlccFupolElec,,5))</f>
        <v>4012.5008902503569</v>
      </c>
      <c r="J29" s="24">
        <f ca="1">SUMPRODUCT(INDEX(polEff,,6),INDEX(tlccFupolElec,,6))</f>
        <v>3990.7566748521658</v>
      </c>
      <c r="K29" s="24">
        <f ca="1">SUMPRODUCT(INDEX(polEff,,7),INDEX(tlccFupolElec,,7))</f>
        <v>3973.9017227581494</v>
      </c>
      <c r="L29" s="24">
        <f ca="1">SUMPRODUCT(INDEX(polEff,,8),INDEX(tlccFupolElec,,8))</f>
        <v>3959.9307575084113</v>
      </c>
      <c r="M29" s="24">
        <f ca="1">SUMPRODUCT(INDEX(polEff,,9),INDEX(tlccFupolElec,,9))</f>
        <v>3945.8946814059982</v>
      </c>
      <c r="N29" s="24">
        <f ca="1">SUMPRODUCT(INDEX(polEff,,10),INDEX(tlccFupolElec,,10))</f>
        <v>3934.6704527167726</v>
      </c>
      <c r="O29" s="24">
        <f ca="1">SUMPRODUCT(INDEX(polEff,,11),INDEX(tlccFupolElec,,11))</f>
        <v>3926.9410056569941</v>
      </c>
      <c r="P29" s="24">
        <f ca="1">SUMPRODUCT(INDEX(polEff,,12),INDEX(tlccFupolElec,,12))</f>
        <v>3921.2830494799173</v>
      </c>
      <c r="Q29" s="24">
        <f ca="1">SUMPRODUCT(INDEX(polEff,,13),INDEX(tlccFupolElec,,13))</f>
        <v>3916.5219450859736</v>
      </c>
      <c r="R29" s="24">
        <f ca="1">SUMPRODUCT(INDEX(polEff,,14),INDEX(tlccFupolElec,,14))</f>
        <v>3913.0085970700984</v>
      </c>
      <c r="S29" s="24">
        <f ca="1">SUMPRODUCT(INDEX(polEff,,15),INDEX(tlccFupolElec,,15))</f>
        <v>3910.330398194817</v>
      </c>
      <c r="T29" s="24">
        <f ca="1">SUMPRODUCT(INDEX(polEff,,16),INDEX(tlccFupolElec,,16))</f>
        <v>3909.9949819471722</v>
      </c>
      <c r="U29" s="24">
        <f ca="1">SUMPRODUCT(INDEX(polEff,,17),INDEX(tlccFupolElec,,17))</f>
        <v>3910.6829332905982</v>
      </c>
      <c r="V29" s="24">
        <f ca="1">SUMPRODUCT(INDEX(polEff,,18),INDEX(tlccFupolElec,,18))</f>
        <v>3911.6928359937192</v>
      </c>
      <c r="W29" s="24">
        <f ca="1">SUMPRODUCT(INDEX(polEff,,19),INDEX(tlccFupolElec,,19))</f>
        <v>3913.1371367795218</v>
      </c>
      <c r="X29" s="24">
        <f ca="1">SUMPRODUCT(INDEX(polEff,,20),INDEX(tlccFupolElec,,20))</f>
        <v>3914.5019855073933</v>
      </c>
      <c r="Y29" s="24">
        <f ca="1">SUMPRODUCT(INDEX(polEff,,21),INDEX(tlccFupolElec,,21))</f>
        <v>3915.6328356520107</v>
      </c>
      <c r="Z29" s="24">
        <f ca="1">SUMPRODUCT(INDEX(polEff,,22),INDEX(tlccFupolElec,,22))</f>
        <v>3916.3906651369089</v>
      </c>
      <c r="AA29" s="24">
        <f ca="1">SUMPRODUCT(INDEX(polEff,,23),INDEX(tlccFupolElec,,23))</f>
        <v>3916.8901252135956</v>
      </c>
      <c r="AB29" s="24">
        <f ca="1">SUMPRODUCT(INDEX(polEff,,24),INDEX(tlccFupolElec,,24))</f>
        <v>3916.8901252135956</v>
      </c>
      <c r="AC29" s="24">
        <f ca="1">SUMPRODUCT(INDEX(polEff,,25),INDEX(tlccFupolElec,,25))</f>
        <v>3916.8901252135956</v>
      </c>
      <c r="AD29" s="24">
        <f ca="1">SUMPRODUCT(INDEX(polEff,,26),INDEX(tlccFupolElec,,26))</f>
        <v>3916.8901252135956</v>
      </c>
      <c r="AE29" s="24">
        <f ca="1">SUMPRODUCT(INDEX(polEff,,27),INDEX(tlccFupolElec,,27))</f>
        <v>3916.8901252135956</v>
      </c>
      <c r="AF29" s="24">
        <f ca="1">SUMPRODUCT(INDEX(polEff,,28),INDEX(tlccFupolElec,,28))</f>
        <v>3916.8901252135956</v>
      </c>
      <c r="AG29" s="24">
        <f ca="1">SUMPRODUCT(INDEX(polEff,,29),INDEX(tlccFupolElec,,29))</f>
        <v>3916.8901252135956</v>
      </c>
      <c r="AH29" s="24">
        <f ca="1">SUMPRODUCT(INDEX(polEff,,30),INDEX(tlccFupolElec,,30))</f>
        <v>3916.8901252135956</v>
      </c>
      <c r="AI29" s="24">
        <f ca="1">SUMPRODUCT(INDEX(polEff,,31),INDEX(tlccFupolElec,,31))</f>
        <v>3916.8901252135956</v>
      </c>
      <c r="AJ29" s="24">
        <f ca="1">SUMPRODUCT(INDEX(polEff,,32),INDEX(tlccFupolElec,,32))</f>
        <v>3916.8901252135956</v>
      </c>
      <c r="AK29" s="26">
        <f ca="1">SUMPRODUCT(INDEX(polEff,,33),INDEX(tlccFupolElec,,33))</f>
        <v>3916.8901252135956</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INDEX(_doName,2,1)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INDEX(_doName,2,2)</f>
        <v>EL 1: EL 1</v>
      </c>
      <c r="D33" s="16" t="s">
        <v>35</v>
      </c>
      <c r="E33" s="145">
        <v>1.0999999999999999E-2</v>
      </c>
      <c r="F33" s="17">
        <f t="array" ref="F33:AK33">$E$33</f>
        <v>1.0999999999999999E-2</v>
      </c>
      <c r="G33" s="17">
        <v>1.0999999999999999E-2</v>
      </c>
      <c r="H33" s="17">
        <v>1.0999999999999999E-2</v>
      </c>
      <c r="I33" s="17">
        <v>1.0999999999999999E-2</v>
      </c>
      <c r="J33" s="17">
        <v>1.0999999999999999E-2</v>
      </c>
      <c r="K33" s="17">
        <v>1.0999999999999999E-2</v>
      </c>
      <c r="L33" s="17">
        <v>1.0999999999999999E-2</v>
      </c>
      <c r="M33" s="17">
        <v>1.0999999999999999E-2</v>
      </c>
      <c r="N33" s="17">
        <v>1.0999999999999999E-2</v>
      </c>
      <c r="O33" s="17">
        <v>1.0999999999999999E-2</v>
      </c>
      <c r="P33" s="17">
        <v>1.0999999999999999E-2</v>
      </c>
      <c r="Q33" s="17">
        <v>1.0999999999999999E-2</v>
      </c>
      <c r="R33" s="17">
        <v>1.0999999999999999E-2</v>
      </c>
      <c r="S33" s="17">
        <v>1.0999999999999999E-2</v>
      </c>
      <c r="T33" s="17">
        <v>1.0999999999999999E-2</v>
      </c>
      <c r="U33" s="17">
        <v>1.0999999999999999E-2</v>
      </c>
      <c r="V33" s="17">
        <v>1.0999999999999999E-2</v>
      </c>
      <c r="W33" s="17">
        <v>1.0999999999999999E-2</v>
      </c>
      <c r="X33" s="17">
        <v>1.0999999999999999E-2</v>
      </c>
      <c r="Y33" s="17">
        <v>1.0999999999999999E-2</v>
      </c>
      <c r="Z33" s="17">
        <v>1.0999999999999999E-2</v>
      </c>
      <c r="AA33" s="17">
        <v>1.0999999999999999E-2</v>
      </c>
      <c r="AB33" s="17">
        <v>1.0999999999999999E-2</v>
      </c>
      <c r="AC33" s="17">
        <v>1.0999999999999999E-2</v>
      </c>
      <c r="AD33" s="17">
        <v>1.0999999999999999E-2</v>
      </c>
      <c r="AE33" s="17">
        <v>1.0999999999999999E-2</v>
      </c>
      <c r="AF33" s="17">
        <v>1.0999999999999999E-2</v>
      </c>
      <c r="AG33" s="17">
        <v>1.0999999999999999E-2</v>
      </c>
      <c r="AH33" s="17">
        <v>1.0999999999999999E-2</v>
      </c>
      <c r="AI33" s="17">
        <v>1.0999999999999999E-2</v>
      </c>
      <c r="AJ33" s="17">
        <v>1.0999999999999999E-2</v>
      </c>
      <c r="AK33" s="18">
        <v>1.0999999999999999E-2</v>
      </c>
      <c r="AL33" s="3"/>
    </row>
    <row r="34" spans="2:38">
      <c r="B34" s="3"/>
      <c r="C34" s="12" t="str">
        <f>"EL 2: " &amp; INDEX(_doName,2,3)</f>
        <v>EL 2: EL 2</v>
      </c>
      <c r="D34" s="16" t="s">
        <v>35</v>
      </c>
      <c r="E34" s="145">
        <v>1.5E-3</v>
      </c>
      <c r="F34" s="17">
        <f t="array" ref="F34:AK34">$E$34</f>
        <v>1.5E-3</v>
      </c>
      <c r="G34" s="17">
        <v>1.5E-3</v>
      </c>
      <c r="H34" s="17">
        <v>1.5E-3</v>
      </c>
      <c r="I34" s="17">
        <v>1.5E-3</v>
      </c>
      <c r="J34" s="17">
        <v>1.5E-3</v>
      </c>
      <c r="K34" s="17">
        <v>1.5E-3</v>
      </c>
      <c r="L34" s="17">
        <v>1.5E-3</v>
      </c>
      <c r="M34" s="17">
        <v>1.5E-3</v>
      </c>
      <c r="N34" s="17">
        <v>1.5E-3</v>
      </c>
      <c r="O34" s="17">
        <v>1.5E-3</v>
      </c>
      <c r="P34" s="17">
        <v>1.5E-3</v>
      </c>
      <c r="Q34" s="17">
        <v>1.5E-3</v>
      </c>
      <c r="R34" s="17">
        <v>1.5E-3</v>
      </c>
      <c r="S34" s="17">
        <v>1.5E-3</v>
      </c>
      <c r="T34" s="17">
        <v>1.5E-3</v>
      </c>
      <c r="U34" s="17">
        <v>1.5E-3</v>
      </c>
      <c r="V34" s="17">
        <v>1.5E-3</v>
      </c>
      <c r="W34" s="17">
        <v>1.5E-3</v>
      </c>
      <c r="X34" s="17">
        <v>1.5E-3</v>
      </c>
      <c r="Y34" s="17">
        <v>1.5E-3</v>
      </c>
      <c r="Z34" s="17">
        <v>1.5E-3</v>
      </c>
      <c r="AA34" s="17">
        <v>1.5E-3</v>
      </c>
      <c r="AB34" s="17">
        <v>1.5E-3</v>
      </c>
      <c r="AC34" s="17">
        <v>1.5E-3</v>
      </c>
      <c r="AD34" s="17">
        <v>1.5E-3</v>
      </c>
      <c r="AE34" s="17">
        <v>1.5E-3</v>
      </c>
      <c r="AF34" s="17">
        <v>1.5E-3</v>
      </c>
      <c r="AG34" s="17">
        <v>1.5E-3</v>
      </c>
      <c r="AH34" s="17">
        <v>1.5E-3</v>
      </c>
      <c r="AI34" s="17">
        <v>1.5E-3</v>
      </c>
      <c r="AJ34" s="17">
        <v>1.5E-3</v>
      </c>
      <c r="AK34" s="18">
        <v>1.5E-3</v>
      </c>
      <c r="AL34" s="3"/>
    </row>
    <row r="35" spans="2:38">
      <c r="B35" s="3"/>
      <c r="C35" s="12" t="str">
        <f>"EL 3: " &amp; INDEX(_doName,2,4)</f>
        <v>EL 3: EL 3</v>
      </c>
      <c r="D35" s="16" t="s">
        <v>35</v>
      </c>
      <c r="E35" s="145">
        <v>2.63E-2</v>
      </c>
      <c r="F35" s="17">
        <f t="array" ref="F35:AK35">$E$35</f>
        <v>2.63E-2</v>
      </c>
      <c r="G35" s="17">
        <v>2.63E-2</v>
      </c>
      <c r="H35" s="17">
        <v>2.63E-2</v>
      </c>
      <c r="I35" s="17">
        <v>2.63E-2</v>
      </c>
      <c r="J35" s="17">
        <v>2.63E-2</v>
      </c>
      <c r="K35" s="17">
        <v>2.63E-2</v>
      </c>
      <c r="L35" s="17">
        <v>2.63E-2</v>
      </c>
      <c r="M35" s="17">
        <v>2.63E-2</v>
      </c>
      <c r="N35" s="17">
        <v>2.63E-2</v>
      </c>
      <c r="O35" s="17">
        <v>2.63E-2</v>
      </c>
      <c r="P35" s="17">
        <v>2.63E-2</v>
      </c>
      <c r="Q35" s="17">
        <v>2.63E-2</v>
      </c>
      <c r="R35" s="17">
        <v>2.63E-2</v>
      </c>
      <c r="S35" s="17">
        <v>2.63E-2</v>
      </c>
      <c r="T35" s="17">
        <v>2.63E-2</v>
      </c>
      <c r="U35" s="17">
        <v>2.63E-2</v>
      </c>
      <c r="V35" s="17">
        <v>2.63E-2</v>
      </c>
      <c r="W35" s="17">
        <v>2.63E-2</v>
      </c>
      <c r="X35" s="17">
        <v>2.63E-2</v>
      </c>
      <c r="Y35" s="17">
        <v>2.63E-2</v>
      </c>
      <c r="Z35" s="17">
        <v>2.63E-2</v>
      </c>
      <c r="AA35" s="17">
        <v>2.63E-2</v>
      </c>
      <c r="AB35" s="17">
        <v>2.63E-2</v>
      </c>
      <c r="AC35" s="17">
        <v>2.63E-2</v>
      </c>
      <c r="AD35" s="17">
        <v>2.63E-2</v>
      </c>
      <c r="AE35" s="17">
        <v>2.63E-2</v>
      </c>
      <c r="AF35" s="17">
        <v>2.63E-2</v>
      </c>
      <c r="AG35" s="17">
        <v>2.63E-2</v>
      </c>
      <c r="AH35" s="17">
        <v>2.63E-2</v>
      </c>
      <c r="AI35" s="17">
        <v>2.63E-2</v>
      </c>
      <c r="AJ35" s="17">
        <v>2.63E-2</v>
      </c>
      <c r="AK35" s="18">
        <v>2.63E-2</v>
      </c>
      <c r="AL35" s="3"/>
    </row>
    <row r="36" spans="2:38">
      <c r="B36" s="3"/>
      <c r="C36" s="12" t="str">
        <f>"EL 4: " &amp; INDEX(_doName,2,5)</f>
        <v>EL 4: EL 4</v>
      </c>
      <c r="D36" s="16" t="s">
        <v>35</v>
      </c>
      <c r="E36" s="145">
        <v>0.10780000000000001</v>
      </c>
      <c r="F36" s="17">
        <f t="array" ref="F36:AK36">$E$36</f>
        <v>0.10780000000000001</v>
      </c>
      <c r="G36" s="17">
        <v>0.10780000000000001</v>
      </c>
      <c r="H36" s="17">
        <v>0.10780000000000001</v>
      </c>
      <c r="I36" s="17">
        <v>0.10780000000000001</v>
      </c>
      <c r="J36" s="17">
        <v>0.10780000000000001</v>
      </c>
      <c r="K36" s="17">
        <v>0.10780000000000001</v>
      </c>
      <c r="L36" s="17">
        <v>0.10780000000000001</v>
      </c>
      <c r="M36" s="17">
        <v>0.10780000000000001</v>
      </c>
      <c r="N36" s="17">
        <v>0.10780000000000001</v>
      </c>
      <c r="O36" s="17">
        <v>0.10780000000000001</v>
      </c>
      <c r="P36" s="17">
        <v>0.10780000000000001</v>
      </c>
      <c r="Q36" s="17">
        <v>0.10780000000000001</v>
      </c>
      <c r="R36" s="17">
        <v>0.10780000000000001</v>
      </c>
      <c r="S36" s="17">
        <v>0.10780000000000001</v>
      </c>
      <c r="T36" s="17">
        <v>0.10780000000000001</v>
      </c>
      <c r="U36" s="17">
        <v>0.10780000000000001</v>
      </c>
      <c r="V36" s="17">
        <v>0.10780000000000001</v>
      </c>
      <c r="W36" s="17">
        <v>0.10780000000000001</v>
      </c>
      <c r="X36" s="17">
        <v>0.10780000000000001</v>
      </c>
      <c r="Y36" s="17">
        <v>0.10780000000000001</v>
      </c>
      <c r="Z36" s="17">
        <v>0.10780000000000001</v>
      </c>
      <c r="AA36" s="17">
        <v>0.10780000000000001</v>
      </c>
      <c r="AB36" s="17">
        <v>0.10780000000000001</v>
      </c>
      <c r="AC36" s="17">
        <v>0.10780000000000001</v>
      </c>
      <c r="AD36" s="17">
        <v>0.10780000000000001</v>
      </c>
      <c r="AE36" s="17">
        <v>0.10780000000000001</v>
      </c>
      <c r="AF36" s="17">
        <v>0.10780000000000001</v>
      </c>
      <c r="AG36" s="17">
        <v>0.10780000000000001</v>
      </c>
      <c r="AH36" s="17">
        <v>0.10780000000000001</v>
      </c>
      <c r="AI36" s="17">
        <v>0.10780000000000001</v>
      </c>
      <c r="AJ36" s="17">
        <v>0.10780000000000001</v>
      </c>
      <c r="AK36" s="18">
        <v>0.10780000000000001</v>
      </c>
      <c r="AL36" s="3"/>
    </row>
    <row r="37" spans="2:38">
      <c r="B37" s="3"/>
      <c r="C37" s="12" t="str">
        <f>"EL 5: " &amp; INDEX(_doName,2,6)</f>
        <v>EL 5: EL 5</v>
      </c>
      <c r="D37" s="16" t="s">
        <v>35</v>
      </c>
      <c r="E37" s="145">
        <v>0.53269999999999995</v>
      </c>
      <c r="F37" s="17">
        <f t="array" ref="F37:AK37">$E$37</f>
        <v>0.53269999999999995</v>
      </c>
      <c r="G37" s="17">
        <v>0.53269999999999995</v>
      </c>
      <c r="H37" s="17">
        <v>0.53269999999999995</v>
      </c>
      <c r="I37" s="17">
        <v>0.53269999999999995</v>
      </c>
      <c r="J37" s="17">
        <v>0.53269999999999995</v>
      </c>
      <c r="K37" s="17">
        <v>0.53269999999999995</v>
      </c>
      <c r="L37" s="17">
        <v>0.53269999999999995</v>
      </c>
      <c r="M37" s="17">
        <v>0.53269999999999995</v>
      </c>
      <c r="N37" s="17">
        <v>0.53269999999999995</v>
      </c>
      <c r="O37" s="17">
        <v>0.53269999999999995</v>
      </c>
      <c r="P37" s="17">
        <v>0.53269999999999995</v>
      </c>
      <c r="Q37" s="17">
        <v>0.53269999999999995</v>
      </c>
      <c r="R37" s="17">
        <v>0.53269999999999995</v>
      </c>
      <c r="S37" s="17">
        <v>0.53269999999999995</v>
      </c>
      <c r="T37" s="17">
        <v>0.53269999999999995</v>
      </c>
      <c r="U37" s="17">
        <v>0.53269999999999995</v>
      </c>
      <c r="V37" s="17">
        <v>0.53269999999999995</v>
      </c>
      <c r="W37" s="17">
        <v>0.53269999999999995</v>
      </c>
      <c r="X37" s="17">
        <v>0.53269999999999995</v>
      </c>
      <c r="Y37" s="17">
        <v>0.53269999999999995</v>
      </c>
      <c r="Z37" s="17">
        <v>0.53269999999999995</v>
      </c>
      <c r="AA37" s="17">
        <v>0.53269999999999995</v>
      </c>
      <c r="AB37" s="17">
        <v>0.53269999999999995</v>
      </c>
      <c r="AC37" s="17">
        <v>0.53269999999999995</v>
      </c>
      <c r="AD37" s="17">
        <v>0.53269999999999995</v>
      </c>
      <c r="AE37" s="17">
        <v>0.53269999999999995</v>
      </c>
      <c r="AF37" s="17">
        <v>0.53269999999999995</v>
      </c>
      <c r="AG37" s="17">
        <v>0.53269999999999995</v>
      </c>
      <c r="AH37" s="17">
        <v>0.53269999999999995</v>
      </c>
      <c r="AI37" s="17">
        <v>0.53269999999999995</v>
      </c>
      <c r="AJ37" s="17">
        <v>0.53269999999999995</v>
      </c>
      <c r="AK37" s="18">
        <v>0.53269999999999995</v>
      </c>
      <c r="AL37" s="3"/>
    </row>
    <row r="38" spans="2:38">
      <c r="B38" s="3"/>
      <c r="C38" s="4" t="str">
        <f>"EL 6: " &amp; INDEX(_doName,2,7)</f>
        <v>EL 6: EL 6</v>
      </c>
      <c r="D38" s="5" t="s">
        <v>35</v>
      </c>
      <c r="E38" s="146">
        <v>0.32069999999999999</v>
      </c>
      <c r="F38" s="19">
        <f t="array" ref="F38:AK38">$E$38</f>
        <v>0.32069999999999999</v>
      </c>
      <c r="G38" s="19">
        <v>0.32069999999999999</v>
      </c>
      <c r="H38" s="19">
        <v>0.32069999999999999</v>
      </c>
      <c r="I38" s="19">
        <v>0.32069999999999999</v>
      </c>
      <c r="J38" s="19">
        <v>0.32069999999999999</v>
      </c>
      <c r="K38" s="19">
        <v>0.32069999999999999</v>
      </c>
      <c r="L38" s="19">
        <v>0.32069999999999999</v>
      </c>
      <c r="M38" s="19">
        <v>0.32069999999999999</v>
      </c>
      <c r="N38" s="19">
        <v>0.32069999999999999</v>
      </c>
      <c r="O38" s="19">
        <v>0.32069999999999999</v>
      </c>
      <c r="P38" s="19">
        <v>0.32069999999999999</v>
      </c>
      <c r="Q38" s="19">
        <v>0.32069999999999999</v>
      </c>
      <c r="R38" s="19">
        <v>0.32069999999999999</v>
      </c>
      <c r="S38" s="19">
        <v>0.32069999999999999</v>
      </c>
      <c r="T38" s="19">
        <v>0.32069999999999999</v>
      </c>
      <c r="U38" s="19">
        <v>0.32069999999999999</v>
      </c>
      <c r="V38" s="19">
        <v>0.32069999999999999</v>
      </c>
      <c r="W38" s="19">
        <v>0.32069999999999999</v>
      </c>
      <c r="X38" s="19">
        <v>0.32069999999999999</v>
      </c>
      <c r="Y38" s="19">
        <v>0.32069999999999999</v>
      </c>
      <c r="Z38" s="19">
        <v>0.32069999999999999</v>
      </c>
      <c r="AA38" s="19">
        <v>0.32069999999999999</v>
      </c>
      <c r="AB38" s="19">
        <v>0.32069999999999999</v>
      </c>
      <c r="AC38" s="19">
        <v>0.32069999999999999</v>
      </c>
      <c r="AD38" s="19">
        <v>0.32069999999999999</v>
      </c>
      <c r="AE38" s="19">
        <v>0.32069999999999999</v>
      </c>
      <c r="AF38" s="19">
        <v>0.32069999999999999</v>
      </c>
      <c r="AG38" s="19">
        <v>0.32069999999999999</v>
      </c>
      <c r="AH38" s="19">
        <v>0.32069999999999999</v>
      </c>
      <c r="AI38" s="19">
        <v>0.32069999999999999</v>
      </c>
      <c r="AJ38" s="19">
        <v>0.32069999999999999</v>
      </c>
      <c r="AK38" s="20">
        <v>0.32069999999999999</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INDEX(_doName,2,1)</f>
        <v>EL 0: EL 0</v>
      </c>
      <c r="D41" s="16" t="s">
        <v>35</v>
      </c>
      <c r="E41" s="145">
        <f>INDEX(bcAxU,1)</f>
        <v>1.8E-3</v>
      </c>
      <c r="F41" s="17">
        <f t="array" ref="F41:AK41">$E$41</f>
        <v>1.8E-3</v>
      </c>
      <c r="G41" s="17">
        <v>1.8E-3</v>
      </c>
      <c r="H41" s="17">
        <v>1.8E-3</v>
      </c>
      <c r="I41" s="17">
        <v>1.8E-3</v>
      </c>
      <c r="J41" s="17">
        <v>1.8E-3</v>
      </c>
      <c r="K41" s="17">
        <v>1.8E-3</v>
      </c>
      <c r="L41" s="17">
        <v>1.8E-3</v>
      </c>
      <c r="M41" s="17">
        <v>1.8E-3</v>
      </c>
      <c r="N41" s="17">
        <v>1.8E-3</v>
      </c>
      <c r="O41" s="17">
        <v>1.8E-3</v>
      </c>
      <c r="P41" s="17">
        <v>1.8E-3</v>
      </c>
      <c r="Q41" s="17">
        <v>1.8E-3</v>
      </c>
      <c r="R41" s="17">
        <v>1.8E-3</v>
      </c>
      <c r="S41" s="17">
        <v>1.8E-3</v>
      </c>
      <c r="T41" s="17">
        <v>1.8E-3</v>
      </c>
      <c r="U41" s="17">
        <v>1.8E-3</v>
      </c>
      <c r="V41" s="17">
        <v>1.8E-3</v>
      </c>
      <c r="W41" s="17">
        <v>1.8E-3</v>
      </c>
      <c r="X41" s="17">
        <v>1.8E-3</v>
      </c>
      <c r="Y41" s="17">
        <v>1.8E-3</v>
      </c>
      <c r="Z41" s="17">
        <v>1.8E-3</v>
      </c>
      <c r="AA41" s="17">
        <v>1.8E-3</v>
      </c>
      <c r="AB41" s="17">
        <v>1.8E-3</v>
      </c>
      <c r="AC41" s="17">
        <v>1.8E-3</v>
      </c>
      <c r="AD41" s="17">
        <v>1.8E-3</v>
      </c>
      <c r="AE41" s="17">
        <v>1.8E-3</v>
      </c>
      <c r="AF41" s="17">
        <v>1.8E-3</v>
      </c>
      <c r="AG41" s="17">
        <v>1.8E-3</v>
      </c>
      <c r="AH41" s="17">
        <v>1.8E-3</v>
      </c>
      <c r="AI41" s="17">
        <v>1.8E-3</v>
      </c>
      <c r="AJ41" s="17">
        <v>1.8E-3</v>
      </c>
      <c r="AK41" s="18">
        <v>1.8E-3</v>
      </c>
      <c r="AL41" s="3"/>
    </row>
    <row r="42" spans="2:38">
      <c r="B42" s="3"/>
      <c r="C42" s="12" t="str">
        <f>"EL 1: " &amp; INDEX(_doName,2,2)</f>
        <v>EL 1: EL 1</v>
      </c>
      <c r="D42" s="16" t="s">
        <v>35</v>
      </c>
      <c r="E42" s="145">
        <f>INDEX(bcAxU,2)</f>
        <v>9.1999999999999998E-3</v>
      </c>
      <c r="F42" s="17">
        <f t="array" ref="F42:AK42">$E$42</f>
        <v>9.1999999999999998E-3</v>
      </c>
      <c r="G42" s="17">
        <v>9.1999999999999998E-3</v>
      </c>
      <c r="H42" s="17">
        <v>9.1999999999999998E-3</v>
      </c>
      <c r="I42" s="17">
        <v>9.1999999999999998E-3</v>
      </c>
      <c r="J42" s="17">
        <v>9.1999999999999998E-3</v>
      </c>
      <c r="K42" s="17">
        <v>9.1999999999999998E-3</v>
      </c>
      <c r="L42" s="17">
        <v>9.1999999999999998E-3</v>
      </c>
      <c r="M42" s="17">
        <v>9.1999999999999998E-3</v>
      </c>
      <c r="N42" s="17">
        <v>9.1999999999999998E-3</v>
      </c>
      <c r="O42" s="17">
        <v>9.1999999999999998E-3</v>
      </c>
      <c r="P42" s="17">
        <v>9.1999999999999998E-3</v>
      </c>
      <c r="Q42" s="17">
        <v>9.1999999999999998E-3</v>
      </c>
      <c r="R42" s="17">
        <v>9.1999999999999998E-3</v>
      </c>
      <c r="S42" s="17">
        <v>9.1999999999999998E-3</v>
      </c>
      <c r="T42" s="17">
        <v>9.1999999999999998E-3</v>
      </c>
      <c r="U42" s="17">
        <v>9.1999999999999998E-3</v>
      </c>
      <c r="V42" s="17">
        <v>9.1999999999999998E-3</v>
      </c>
      <c r="W42" s="17">
        <v>9.1999999999999998E-3</v>
      </c>
      <c r="X42" s="17">
        <v>9.1999999999999998E-3</v>
      </c>
      <c r="Y42" s="17">
        <v>9.1999999999999998E-3</v>
      </c>
      <c r="Z42" s="17">
        <v>9.1999999999999998E-3</v>
      </c>
      <c r="AA42" s="17">
        <v>9.1999999999999998E-3</v>
      </c>
      <c r="AB42" s="17">
        <v>9.1999999999999998E-3</v>
      </c>
      <c r="AC42" s="17">
        <v>9.1999999999999998E-3</v>
      </c>
      <c r="AD42" s="17">
        <v>9.1999999999999998E-3</v>
      </c>
      <c r="AE42" s="17">
        <v>9.1999999999999998E-3</v>
      </c>
      <c r="AF42" s="17">
        <v>9.1999999999999998E-3</v>
      </c>
      <c r="AG42" s="17">
        <v>9.1999999999999998E-3</v>
      </c>
      <c r="AH42" s="17">
        <v>9.1999999999999998E-3</v>
      </c>
      <c r="AI42" s="17">
        <v>9.1999999999999998E-3</v>
      </c>
      <c r="AJ42" s="17">
        <v>9.1999999999999998E-3</v>
      </c>
      <c r="AK42" s="18">
        <v>9.1999999999999998E-3</v>
      </c>
      <c r="AL42" s="3"/>
    </row>
    <row r="43" spans="2:38">
      <c r="B43" s="3"/>
      <c r="C43" s="12" t="str">
        <f>"EL 2: " &amp; INDEX(_doName,2,3)</f>
        <v>EL 2: EL 2</v>
      </c>
      <c r="D43" s="16" t="s">
        <v>35</v>
      </c>
      <c r="E43" s="145">
        <f>INDEX(bcAxU,3)</f>
        <v>1.5E-3</v>
      </c>
      <c r="F43" s="17">
        <f t="array" ref="F43:AK43">$E$43</f>
        <v>1.5E-3</v>
      </c>
      <c r="G43" s="17">
        <v>1.5E-3</v>
      </c>
      <c r="H43" s="17">
        <v>1.5E-3</v>
      </c>
      <c r="I43" s="17">
        <v>1.5E-3</v>
      </c>
      <c r="J43" s="17">
        <v>1.5E-3</v>
      </c>
      <c r="K43" s="17">
        <v>1.5E-3</v>
      </c>
      <c r="L43" s="17">
        <v>1.5E-3</v>
      </c>
      <c r="M43" s="17">
        <v>1.5E-3</v>
      </c>
      <c r="N43" s="17">
        <v>1.5E-3</v>
      </c>
      <c r="O43" s="17">
        <v>1.5E-3</v>
      </c>
      <c r="P43" s="17">
        <v>1.5E-3</v>
      </c>
      <c r="Q43" s="17">
        <v>1.5E-3</v>
      </c>
      <c r="R43" s="17">
        <v>1.5E-3</v>
      </c>
      <c r="S43" s="17">
        <v>1.5E-3</v>
      </c>
      <c r="T43" s="17">
        <v>1.5E-3</v>
      </c>
      <c r="U43" s="17">
        <v>1.5E-3</v>
      </c>
      <c r="V43" s="17">
        <v>1.5E-3</v>
      </c>
      <c r="W43" s="17">
        <v>1.5E-3</v>
      </c>
      <c r="X43" s="17">
        <v>1.5E-3</v>
      </c>
      <c r="Y43" s="17">
        <v>1.5E-3</v>
      </c>
      <c r="Z43" s="17">
        <v>1.5E-3</v>
      </c>
      <c r="AA43" s="17">
        <v>1.5E-3</v>
      </c>
      <c r="AB43" s="17">
        <v>1.5E-3</v>
      </c>
      <c r="AC43" s="17">
        <v>1.5E-3</v>
      </c>
      <c r="AD43" s="17">
        <v>1.5E-3</v>
      </c>
      <c r="AE43" s="17">
        <v>1.5E-3</v>
      </c>
      <c r="AF43" s="17">
        <v>1.5E-3</v>
      </c>
      <c r="AG43" s="17">
        <v>1.5E-3</v>
      </c>
      <c r="AH43" s="17">
        <v>1.5E-3</v>
      </c>
      <c r="AI43" s="17">
        <v>1.5E-3</v>
      </c>
      <c r="AJ43" s="17">
        <v>1.5E-3</v>
      </c>
      <c r="AK43" s="18">
        <v>1.5E-3</v>
      </c>
      <c r="AL43" s="3"/>
    </row>
    <row r="44" spans="2:38">
      <c r="B44" s="3"/>
      <c r="C44" s="12" t="str">
        <f>"EL 3: " &amp; INDEX(_doName,2,4)</f>
        <v>EL 3: EL 3</v>
      </c>
      <c r="D44" s="16" t="s">
        <v>35</v>
      </c>
      <c r="E44" s="145">
        <f>INDEX(bcAxU,4)</f>
        <v>2.63E-2</v>
      </c>
      <c r="F44" s="17">
        <f t="array" ref="F44:AK44">$E$44</f>
        <v>2.63E-2</v>
      </c>
      <c r="G44" s="17">
        <v>2.63E-2</v>
      </c>
      <c r="H44" s="17">
        <v>2.63E-2</v>
      </c>
      <c r="I44" s="17">
        <v>2.63E-2</v>
      </c>
      <c r="J44" s="17">
        <v>2.63E-2</v>
      </c>
      <c r="K44" s="17">
        <v>2.63E-2</v>
      </c>
      <c r="L44" s="17">
        <v>2.63E-2</v>
      </c>
      <c r="M44" s="17">
        <v>2.63E-2</v>
      </c>
      <c r="N44" s="17">
        <v>2.63E-2</v>
      </c>
      <c r="O44" s="17">
        <v>2.63E-2</v>
      </c>
      <c r="P44" s="17">
        <v>2.63E-2</v>
      </c>
      <c r="Q44" s="17">
        <v>2.63E-2</v>
      </c>
      <c r="R44" s="17">
        <v>2.63E-2</v>
      </c>
      <c r="S44" s="17">
        <v>2.63E-2</v>
      </c>
      <c r="T44" s="17">
        <v>2.63E-2</v>
      </c>
      <c r="U44" s="17">
        <v>2.63E-2</v>
      </c>
      <c r="V44" s="17">
        <v>2.63E-2</v>
      </c>
      <c r="W44" s="17">
        <v>2.63E-2</v>
      </c>
      <c r="X44" s="17">
        <v>2.63E-2</v>
      </c>
      <c r="Y44" s="17">
        <v>2.63E-2</v>
      </c>
      <c r="Z44" s="17">
        <v>2.63E-2</v>
      </c>
      <c r="AA44" s="17">
        <v>2.63E-2</v>
      </c>
      <c r="AB44" s="17">
        <v>2.63E-2</v>
      </c>
      <c r="AC44" s="17">
        <v>2.63E-2</v>
      </c>
      <c r="AD44" s="17">
        <v>2.63E-2</v>
      </c>
      <c r="AE44" s="17">
        <v>2.63E-2</v>
      </c>
      <c r="AF44" s="17">
        <v>2.63E-2</v>
      </c>
      <c r="AG44" s="17">
        <v>2.63E-2</v>
      </c>
      <c r="AH44" s="17">
        <v>2.63E-2</v>
      </c>
      <c r="AI44" s="17">
        <v>2.63E-2</v>
      </c>
      <c r="AJ44" s="17">
        <v>2.63E-2</v>
      </c>
      <c r="AK44" s="18">
        <v>2.63E-2</v>
      </c>
      <c r="AL44" s="3"/>
    </row>
    <row r="45" spans="2:38">
      <c r="B45" s="3"/>
      <c r="C45" s="12" t="str">
        <f>"EL 4: " &amp; INDEX(_doName,2,5)</f>
        <v>EL 4: EL 4</v>
      </c>
      <c r="D45" s="16" t="s">
        <v>35</v>
      </c>
      <c r="E45" s="145">
        <f>INDEX(bcAxU,5)</f>
        <v>0.10780000000000001</v>
      </c>
      <c r="F45" s="17">
        <f t="array" ref="F45:AK45">$E$45</f>
        <v>0.10780000000000001</v>
      </c>
      <c r="G45" s="17">
        <v>0.10780000000000001</v>
      </c>
      <c r="H45" s="17">
        <v>0.10780000000000001</v>
      </c>
      <c r="I45" s="17">
        <v>0.10780000000000001</v>
      </c>
      <c r="J45" s="17">
        <v>0.10780000000000001</v>
      </c>
      <c r="K45" s="17">
        <v>0.10780000000000001</v>
      </c>
      <c r="L45" s="17">
        <v>0.10780000000000001</v>
      </c>
      <c r="M45" s="17">
        <v>0.10780000000000001</v>
      </c>
      <c r="N45" s="17">
        <v>0.10780000000000001</v>
      </c>
      <c r="O45" s="17">
        <v>0.10780000000000001</v>
      </c>
      <c r="P45" s="17">
        <v>0.10780000000000001</v>
      </c>
      <c r="Q45" s="17">
        <v>0.10780000000000001</v>
      </c>
      <c r="R45" s="17">
        <v>0.10780000000000001</v>
      </c>
      <c r="S45" s="17">
        <v>0.10780000000000001</v>
      </c>
      <c r="T45" s="17">
        <v>0.10780000000000001</v>
      </c>
      <c r="U45" s="17">
        <v>0.10780000000000001</v>
      </c>
      <c r="V45" s="17">
        <v>0.10780000000000001</v>
      </c>
      <c r="W45" s="17">
        <v>0.10780000000000001</v>
      </c>
      <c r="X45" s="17">
        <v>0.10780000000000001</v>
      </c>
      <c r="Y45" s="17">
        <v>0.10780000000000001</v>
      </c>
      <c r="Z45" s="17">
        <v>0.10780000000000001</v>
      </c>
      <c r="AA45" s="17">
        <v>0.10780000000000001</v>
      </c>
      <c r="AB45" s="17">
        <v>0.10780000000000001</v>
      </c>
      <c r="AC45" s="17">
        <v>0.10780000000000001</v>
      </c>
      <c r="AD45" s="17">
        <v>0.10780000000000001</v>
      </c>
      <c r="AE45" s="17">
        <v>0.10780000000000001</v>
      </c>
      <c r="AF45" s="17">
        <v>0.10780000000000001</v>
      </c>
      <c r="AG45" s="17">
        <v>0.10780000000000001</v>
      </c>
      <c r="AH45" s="17">
        <v>0.10780000000000001</v>
      </c>
      <c r="AI45" s="17">
        <v>0.10780000000000001</v>
      </c>
      <c r="AJ45" s="17">
        <v>0.10780000000000001</v>
      </c>
      <c r="AK45" s="18">
        <v>0.10780000000000001</v>
      </c>
      <c r="AL45" s="3"/>
    </row>
    <row r="46" spans="2:38">
      <c r="B46" s="3"/>
      <c r="C46" s="12" t="str">
        <f>"EL 5: " &amp; INDEX(_doName,2,6)</f>
        <v>EL 5: EL 5</v>
      </c>
      <c r="D46" s="16" t="s">
        <v>35</v>
      </c>
      <c r="E46" s="145">
        <f>INDEX(bcAxU,6)</f>
        <v>0.53269999999999995</v>
      </c>
      <c r="F46" s="17">
        <f t="array" ref="F46:AK46">$E$46</f>
        <v>0.53269999999999995</v>
      </c>
      <c r="G46" s="17">
        <v>0.53269999999999995</v>
      </c>
      <c r="H46" s="17">
        <v>0.53269999999999995</v>
      </c>
      <c r="I46" s="17">
        <v>0.53269999999999995</v>
      </c>
      <c r="J46" s="17">
        <v>0.53269999999999995</v>
      </c>
      <c r="K46" s="17">
        <v>0.53269999999999995</v>
      </c>
      <c r="L46" s="17">
        <v>0.53269999999999995</v>
      </c>
      <c r="M46" s="17">
        <v>0.53269999999999995</v>
      </c>
      <c r="N46" s="17">
        <v>0.53269999999999995</v>
      </c>
      <c r="O46" s="17">
        <v>0.53269999999999995</v>
      </c>
      <c r="P46" s="17">
        <v>0.53269999999999995</v>
      </c>
      <c r="Q46" s="17">
        <v>0.53269999999999995</v>
      </c>
      <c r="R46" s="17">
        <v>0.53269999999999995</v>
      </c>
      <c r="S46" s="17">
        <v>0.53269999999999995</v>
      </c>
      <c r="T46" s="17">
        <v>0.53269999999999995</v>
      </c>
      <c r="U46" s="17">
        <v>0.53269999999999995</v>
      </c>
      <c r="V46" s="17">
        <v>0.53269999999999995</v>
      </c>
      <c r="W46" s="17">
        <v>0.53269999999999995</v>
      </c>
      <c r="X46" s="17">
        <v>0.53269999999999995</v>
      </c>
      <c r="Y46" s="17">
        <v>0.53269999999999995</v>
      </c>
      <c r="Z46" s="17">
        <v>0.53269999999999995</v>
      </c>
      <c r="AA46" s="17">
        <v>0.53269999999999995</v>
      </c>
      <c r="AB46" s="17">
        <v>0.53269999999999995</v>
      </c>
      <c r="AC46" s="17">
        <v>0.53269999999999995</v>
      </c>
      <c r="AD46" s="17">
        <v>0.53269999999999995</v>
      </c>
      <c r="AE46" s="17">
        <v>0.53269999999999995</v>
      </c>
      <c r="AF46" s="17">
        <v>0.53269999999999995</v>
      </c>
      <c r="AG46" s="17">
        <v>0.53269999999999995</v>
      </c>
      <c r="AH46" s="17">
        <v>0.53269999999999995</v>
      </c>
      <c r="AI46" s="17">
        <v>0.53269999999999995</v>
      </c>
      <c r="AJ46" s="17">
        <v>0.53269999999999995</v>
      </c>
      <c r="AK46" s="18">
        <v>0.53269999999999995</v>
      </c>
      <c r="AL46" s="3"/>
    </row>
    <row r="47" spans="2:38">
      <c r="B47" s="3"/>
      <c r="C47" s="4" t="str">
        <f>"EL 6: " &amp; INDEX(_doName,2,7)</f>
        <v>EL 6: EL 6</v>
      </c>
      <c r="D47" s="5" t="s">
        <v>35</v>
      </c>
      <c r="E47" s="146">
        <f>INDEX(bcAxU,7)</f>
        <v>0.32069999999999999</v>
      </c>
      <c r="F47" s="19">
        <f t="array" ref="F47:AK47">$E$47</f>
        <v>0.32069999999999999</v>
      </c>
      <c r="G47" s="19">
        <v>0.32069999999999999</v>
      </c>
      <c r="H47" s="19">
        <v>0.32069999999999999</v>
      </c>
      <c r="I47" s="19">
        <v>0.32069999999999999</v>
      </c>
      <c r="J47" s="19">
        <v>0.32069999999999999</v>
      </c>
      <c r="K47" s="19">
        <v>0.32069999999999999</v>
      </c>
      <c r="L47" s="19">
        <v>0.32069999999999999</v>
      </c>
      <c r="M47" s="19">
        <v>0.32069999999999999</v>
      </c>
      <c r="N47" s="19">
        <v>0.32069999999999999</v>
      </c>
      <c r="O47" s="19">
        <v>0.32069999999999999</v>
      </c>
      <c r="P47" s="19">
        <v>0.32069999999999999</v>
      </c>
      <c r="Q47" s="19">
        <v>0.32069999999999999</v>
      </c>
      <c r="R47" s="19">
        <v>0.32069999999999999</v>
      </c>
      <c r="S47" s="19">
        <v>0.32069999999999999</v>
      </c>
      <c r="T47" s="19">
        <v>0.32069999999999999</v>
      </c>
      <c r="U47" s="19">
        <v>0.32069999999999999</v>
      </c>
      <c r="V47" s="19">
        <v>0.32069999999999999</v>
      </c>
      <c r="W47" s="19">
        <v>0.32069999999999999</v>
      </c>
      <c r="X47" s="19">
        <v>0.32069999999999999</v>
      </c>
      <c r="Y47" s="19">
        <v>0.32069999999999999</v>
      </c>
      <c r="Z47" s="19">
        <v>0.32069999999999999</v>
      </c>
      <c r="AA47" s="19">
        <v>0.32069999999999999</v>
      </c>
      <c r="AB47" s="19">
        <v>0.32069999999999999</v>
      </c>
      <c r="AC47" s="19">
        <v>0.32069999999999999</v>
      </c>
      <c r="AD47" s="19">
        <v>0.32069999999999999</v>
      </c>
      <c r="AE47" s="19">
        <v>0.32069999999999999</v>
      </c>
      <c r="AF47" s="19">
        <v>0.32069999999999999</v>
      </c>
      <c r="AG47" s="19">
        <v>0.32069999999999999</v>
      </c>
      <c r="AH47" s="19">
        <v>0.32069999999999999</v>
      </c>
      <c r="AI47" s="19">
        <v>0.32069999999999999</v>
      </c>
      <c r="AJ47" s="19">
        <v>0.32069999999999999</v>
      </c>
      <c r="AK47" s="20">
        <v>0.32069999999999999</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326.82268499999998</v>
      </c>
      <c r="F50" s="28">
        <f ca="1"/>
        <v>326.82268499999998</v>
      </c>
      <c r="G50" s="28">
        <f ca="1"/>
        <v>326.82268499999998</v>
      </c>
      <c r="H50" s="28">
        <f ca="1"/>
        <v>326.82268499999998</v>
      </c>
      <c r="I50" s="28">
        <f ca="1"/>
        <v>326.82268499999998</v>
      </c>
      <c r="J50" s="28">
        <f ca="1"/>
        <v>326.82268499999998</v>
      </c>
      <c r="K50" s="28">
        <f ca="1"/>
        <v>326.82268499999998</v>
      </c>
      <c r="L50" s="28">
        <f ca="1"/>
        <v>326.82268499999998</v>
      </c>
      <c r="M50" s="28">
        <f ca="1"/>
        <v>326.82268499999998</v>
      </c>
      <c r="N50" s="28">
        <f ca="1"/>
        <v>326.82268499999998</v>
      </c>
      <c r="O50" s="28">
        <f ca="1"/>
        <v>326.82268499999998</v>
      </c>
      <c r="P50" s="28">
        <f ca="1"/>
        <v>326.82268499999998</v>
      </c>
      <c r="Q50" s="28">
        <f ca="1"/>
        <v>326.82268499999998</v>
      </c>
      <c r="R50" s="28">
        <f ca="1"/>
        <v>326.82268499999998</v>
      </c>
      <c r="S50" s="28">
        <f ca="1"/>
        <v>326.82268499999998</v>
      </c>
      <c r="T50" s="28">
        <f ca="1"/>
        <v>326.82268499999998</v>
      </c>
      <c r="U50" s="28">
        <f ca="1"/>
        <v>326.82268499999998</v>
      </c>
      <c r="V50" s="28">
        <f ca="1"/>
        <v>326.82268499999998</v>
      </c>
      <c r="W50" s="28">
        <f ca="1"/>
        <v>326.82268499999998</v>
      </c>
      <c r="X50" s="28">
        <f ca="1"/>
        <v>326.82268499999998</v>
      </c>
      <c r="Y50" s="28">
        <f ca="1"/>
        <v>326.82268499999998</v>
      </c>
      <c r="Z50" s="28">
        <f ca="1"/>
        <v>326.82268499999998</v>
      </c>
      <c r="AA50" s="28">
        <f ca="1"/>
        <v>326.82268499999998</v>
      </c>
      <c r="AB50" s="28">
        <f ca="1"/>
        <v>326.82268499999998</v>
      </c>
      <c r="AC50" s="28">
        <f ca="1"/>
        <v>326.82268499999998</v>
      </c>
      <c r="AD50" s="28">
        <f ca="1"/>
        <v>326.82268499999998</v>
      </c>
      <c r="AE50" s="28">
        <f ca="1"/>
        <v>326.82268499999998</v>
      </c>
      <c r="AF50" s="28">
        <f ca="1"/>
        <v>326.82268499999998</v>
      </c>
      <c r="AG50" s="28">
        <f ca="1"/>
        <v>326.82268499999998</v>
      </c>
      <c r="AH50" s="28">
        <f ca="1"/>
        <v>326.82268499999998</v>
      </c>
      <c r="AI50" s="28">
        <f ca="1"/>
        <v>326.82268499999998</v>
      </c>
      <c r="AJ50" s="28">
        <f ca="1"/>
        <v>326.82268499999998</v>
      </c>
      <c r="AK50" s="29">
        <f ca="1"/>
        <v>326.82268499999998</v>
      </c>
      <c r="AL50" s="3"/>
    </row>
    <row r="51" spans="2:38" hidden="1">
      <c r="B51" s="3"/>
      <c r="C51" s="12"/>
      <c r="D51" s="16"/>
      <c r="E51" s="141">
        <f t="array" aca="1" ref="E51:AK51" ca="1">tlccQubc1</f>
        <v>710.84157900000002</v>
      </c>
      <c r="F51" s="28">
        <f ca="1"/>
        <v>710.84157900000002</v>
      </c>
      <c r="G51" s="28">
        <f ca="1"/>
        <v>710.84157900000002</v>
      </c>
      <c r="H51" s="28">
        <f ca="1"/>
        <v>710.84157900000002</v>
      </c>
      <c r="I51" s="28">
        <f ca="1"/>
        <v>710.84157900000002</v>
      </c>
      <c r="J51" s="28">
        <f ca="1"/>
        <v>710.84157900000002</v>
      </c>
      <c r="K51" s="28">
        <f ca="1"/>
        <v>710.84157900000002</v>
      </c>
      <c r="L51" s="28">
        <f ca="1"/>
        <v>710.84157900000002</v>
      </c>
      <c r="M51" s="28">
        <f ca="1"/>
        <v>710.84157900000002</v>
      </c>
      <c r="N51" s="28">
        <f ca="1"/>
        <v>710.84157900000002</v>
      </c>
      <c r="O51" s="28">
        <f ca="1"/>
        <v>710.84157900000002</v>
      </c>
      <c r="P51" s="28">
        <f ca="1"/>
        <v>710.84157900000002</v>
      </c>
      <c r="Q51" s="28">
        <f ca="1"/>
        <v>710.84157900000002</v>
      </c>
      <c r="R51" s="28">
        <f ca="1"/>
        <v>710.84157900000002</v>
      </c>
      <c r="S51" s="28">
        <f ca="1"/>
        <v>710.84157900000002</v>
      </c>
      <c r="T51" s="28">
        <f ca="1"/>
        <v>710.84157900000002</v>
      </c>
      <c r="U51" s="28">
        <f ca="1"/>
        <v>710.84157900000002</v>
      </c>
      <c r="V51" s="28">
        <f ca="1"/>
        <v>710.84157900000002</v>
      </c>
      <c r="W51" s="28">
        <f ca="1"/>
        <v>710.84157900000002</v>
      </c>
      <c r="X51" s="28">
        <f ca="1"/>
        <v>710.84157900000002</v>
      </c>
      <c r="Y51" s="28">
        <f ca="1"/>
        <v>710.84157900000002</v>
      </c>
      <c r="Z51" s="28">
        <f ca="1"/>
        <v>710.84157900000002</v>
      </c>
      <c r="AA51" s="28">
        <f ca="1"/>
        <v>710.84157900000002</v>
      </c>
      <c r="AB51" s="28">
        <f ca="1"/>
        <v>710.84157900000002</v>
      </c>
      <c r="AC51" s="28">
        <f ca="1"/>
        <v>710.84157900000002</v>
      </c>
      <c r="AD51" s="28">
        <f ca="1"/>
        <v>710.84157900000002</v>
      </c>
      <c r="AE51" s="28">
        <f ca="1"/>
        <v>710.84157900000002</v>
      </c>
      <c r="AF51" s="28">
        <f ca="1"/>
        <v>710.84157900000002</v>
      </c>
      <c r="AG51" s="28">
        <f ca="1"/>
        <v>710.84157900000002</v>
      </c>
      <c r="AH51" s="28">
        <f ca="1"/>
        <v>710.84157900000002</v>
      </c>
      <c r="AI51" s="28">
        <f ca="1"/>
        <v>710.84157900000002</v>
      </c>
      <c r="AJ51" s="28">
        <f ca="1"/>
        <v>710.84157900000002</v>
      </c>
      <c r="AK51" s="29">
        <f ca="1"/>
        <v>710.84157900000002</v>
      </c>
      <c r="AL51" s="3"/>
    </row>
    <row r="52" spans="2:38" hidden="1">
      <c r="B52" s="3"/>
      <c r="C52" s="12"/>
      <c r="D52" s="16"/>
      <c r="E52" s="141">
        <f t="array" aca="1" ref="E52:AK52" ca="1">tlccQubc2</f>
        <v>326.82268499999998</v>
      </c>
      <c r="F52" s="28">
        <f ca="1"/>
        <v>326.82268499999998</v>
      </c>
      <c r="G52" s="28">
        <f ca="1"/>
        <v>326.82268499999998</v>
      </c>
      <c r="H52" s="28">
        <f ca="1"/>
        <v>326.82268499999998</v>
      </c>
      <c r="I52" s="28">
        <f ca="1"/>
        <v>326.82268499999998</v>
      </c>
      <c r="J52" s="28">
        <f ca="1"/>
        <v>326.82268499999998</v>
      </c>
      <c r="K52" s="28">
        <f ca="1"/>
        <v>326.82268499999998</v>
      </c>
      <c r="L52" s="28">
        <f ca="1"/>
        <v>326.82268499999998</v>
      </c>
      <c r="M52" s="28">
        <f ca="1"/>
        <v>326.82268499999998</v>
      </c>
      <c r="N52" s="28">
        <f ca="1"/>
        <v>326.82268499999998</v>
      </c>
      <c r="O52" s="28">
        <f ca="1"/>
        <v>326.82268499999998</v>
      </c>
      <c r="P52" s="28">
        <f ca="1"/>
        <v>326.82268499999998</v>
      </c>
      <c r="Q52" s="28">
        <f ca="1"/>
        <v>326.82268499999998</v>
      </c>
      <c r="R52" s="28">
        <f ca="1"/>
        <v>326.82268499999998</v>
      </c>
      <c r="S52" s="28">
        <f ca="1"/>
        <v>326.82268499999998</v>
      </c>
      <c r="T52" s="28">
        <f ca="1"/>
        <v>326.82268499999998</v>
      </c>
      <c r="U52" s="28">
        <f ca="1"/>
        <v>326.82268499999998</v>
      </c>
      <c r="V52" s="28">
        <f ca="1"/>
        <v>326.82268499999998</v>
      </c>
      <c r="W52" s="28">
        <f ca="1"/>
        <v>326.82268499999998</v>
      </c>
      <c r="X52" s="28">
        <f ca="1"/>
        <v>326.82268499999998</v>
      </c>
      <c r="Y52" s="28">
        <f ca="1"/>
        <v>326.82268499999998</v>
      </c>
      <c r="Z52" s="28">
        <f ca="1"/>
        <v>326.82268499999998</v>
      </c>
      <c r="AA52" s="28">
        <f ca="1"/>
        <v>326.82268499999998</v>
      </c>
      <c r="AB52" s="28">
        <f ca="1"/>
        <v>326.82268499999998</v>
      </c>
      <c r="AC52" s="28">
        <f ca="1"/>
        <v>326.82268499999998</v>
      </c>
      <c r="AD52" s="28">
        <f ca="1"/>
        <v>326.82268499999998</v>
      </c>
      <c r="AE52" s="28">
        <f ca="1"/>
        <v>326.82268499999998</v>
      </c>
      <c r="AF52" s="28">
        <f ca="1"/>
        <v>326.82268499999998</v>
      </c>
      <c r="AG52" s="28">
        <f ca="1"/>
        <v>326.82268499999998</v>
      </c>
      <c r="AH52" s="28">
        <f ca="1"/>
        <v>326.82268499999998</v>
      </c>
      <c r="AI52" s="28">
        <f ca="1"/>
        <v>326.82268499999998</v>
      </c>
      <c r="AJ52" s="28">
        <f ca="1"/>
        <v>326.82268499999998</v>
      </c>
      <c r="AK52" s="29">
        <f ca="1"/>
        <v>326.82268499999998</v>
      </c>
      <c r="AL52" s="3"/>
    </row>
    <row r="53" spans="2:38" hidden="1">
      <c r="B53" s="3"/>
      <c r="C53" s="12"/>
      <c r="D53" s="16"/>
      <c r="E53" s="141">
        <f t="array" aca="1" ref="E53:AK53" ca="1">tlccQubc3</f>
        <v>662.81799999999998</v>
      </c>
      <c r="F53" s="28">
        <f ca="1"/>
        <v>662.81799999999998</v>
      </c>
      <c r="G53" s="28">
        <f ca="1"/>
        <v>662.81799999999998</v>
      </c>
      <c r="H53" s="28">
        <f ca="1"/>
        <v>662.81799999999998</v>
      </c>
      <c r="I53" s="28">
        <f ca="1"/>
        <v>662.81799999999998</v>
      </c>
      <c r="J53" s="28">
        <f ca="1"/>
        <v>662.81799999999998</v>
      </c>
      <c r="K53" s="28">
        <f ca="1"/>
        <v>662.81799999999998</v>
      </c>
      <c r="L53" s="28">
        <f ca="1"/>
        <v>662.81799999999998</v>
      </c>
      <c r="M53" s="28">
        <f ca="1"/>
        <v>662.81799999999998</v>
      </c>
      <c r="N53" s="28">
        <f ca="1"/>
        <v>662.81799999999998</v>
      </c>
      <c r="O53" s="28">
        <f ca="1"/>
        <v>662.81799999999998</v>
      </c>
      <c r="P53" s="28">
        <f ca="1"/>
        <v>662.81799999999998</v>
      </c>
      <c r="Q53" s="28">
        <f ca="1"/>
        <v>662.81799999999998</v>
      </c>
      <c r="R53" s="28">
        <f ca="1"/>
        <v>662.81799999999998</v>
      </c>
      <c r="S53" s="28">
        <f ca="1"/>
        <v>662.81799999999998</v>
      </c>
      <c r="T53" s="28">
        <f ca="1"/>
        <v>662.81799999999998</v>
      </c>
      <c r="U53" s="28">
        <f ca="1"/>
        <v>662.81799999999998</v>
      </c>
      <c r="V53" s="28">
        <f ca="1"/>
        <v>662.81799999999998</v>
      </c>
      <c r="W53" s="28">
        <f ca="1"/>
        <v>662.81799999999998</v>
      </c>
      <c r="X53" s="28">
        <f ca="1"/>
        <v>662.81799999999998</v>
      </c>
      <c r="Y53" s="28">
        <f ca="1"/>
        <v>662.81799999999998</v>
      </c>
      <c r="Z53" s="28">
        <f ca="1"/>
        <v>662.81799999999998</v>
      </c>
      <c r="AA53" s="28">
        <f ca="1"/>
        <v>662.81799999999998</v>
      </c>
      <c r="AB53" s="28">
        <f ca="1"/>
        <v>662.81799999999998</v>
      </c>
      <c r="AC53" s="28">
        <f ca="1"/>
        <v>662.81799999999998</v>
      </c>
      <c r="AD53" s="28">
        <f ca="1"/>
        <v>662.81799999999998</v>
      </c>
      <c r="AE53" s="28">
        <f ca="1"/>
        <v>662.81799999999998</v>
      </c>
      <c r="AF53" s="28">
        <f ca="1"/>
        <v>662.81799999999998</v>
      </c>
      <c r="AG53" s="28">
        <f ca="1"/>
        <v>662.81799999999998</v>
      </c>
      <c r="AH53" s="28">
        <f ca="1"/>
        <v>662.81799999999998</v>
      </c>
      <c r="AI53" s="28">
        <f ca="1"/>
        <v>662.81799999999998</v>
      </c>
      <c r="AJ53" s="28">
        <f ca="1"/>
        <v>662.81799999999998</v>
      </c>
      <c r="AK53" s="29">
        <f ca="1"/>
        <v>662.81799999999998</v>
      </c>
      <c r="AL53" s="3"/>
    </row>
    <row r="54" spans="2:38" hidden="1">
      <c r="B54" s="3"/>
      <c r="C54" s="12"/>
      <c r="D54" s="16"/>
      <c r="E54" s="141">
        <f t="array" aca="1" ref="E54:AK54" ca="1">tlccQubc4</f>
        <v>1383.336994</v>
      </c>
      <c r="F54" s="28">
        <f ca="1"/>
        <v>1383.336994</v>
      </c>
      <c r="G54" s="28">
        <f ca="1"/>
        <v>1383.336994</v>
      </c>
      <c r="H54" s="28">
        <f ca="1"/>
        <v>1383.336994</v>
      </c>
      <c r="I54" s="28">
        <f ca="1"/>
        <v>1383.336994</v>
      </c>
      <c r="J54" s="28">
        <f ca="1"/>
        <v>1383.336994</v>
      </c>
      <c r="K54" s="28">
        <f ca="1"/>
        <v>1383.336994</v>
      </c>
      <c r="L54" s="28">
        <f ca="1"/>
        <v>1383.336994</v>
      </c>
      <c r="M54" s="28">
        <f ca="1"/>
        <v>1383.336994</v>
      </c>
      <c r="N54" s="28">
        <f ca="1"/>
        <v>1383.336994</v>
      </c>
      <c r="O54" s="28">
        <f ca="1"/>
        <v>1383.336994</v>
      </c>
      <c r="P54" s="28">
        <f ca="1"/>
        <v>1383.336994</v>
      </c>
      <c r="Q54" s="28">
        <f ca="1"/>
        <v>1383.336994</v>
      </c>
      <c r="R54" s="28">
        <f ca="1"/>
        <v>1383.336994</v>
      </c>
      <c r="S54" s="28">
        <f ca="1"/>
        <v>1383.336994</v>
      </c>
      <c r="T54" s="28">
        <f ca="1"/>
        <v>1383.336994</v>
      </c>
      <c r="U54" s="28">
        <f ca="1"/>
        <v>1383.336994</v>
      </c>
      <c r="V54" s="28">
        <f ca="1"/>
        <v>1383.336994</v>
      </c>
      <c r="W54" s="28">
        <f ca="1"/>
        <v>1383.336994</v>
      </c>
      <c r="X54" s="28">
        <f ca="1"/>
        <v>1383.336994</v>
      </c>
      <c r="Y54" s="28">
        <f ca="1"/>
        <v>1383.336994</v>
      </c>
      <c r="Z54" s="28">
        <f ca="1"/>
        <v>1383.336994</v>
      </c>
      <c r="AA54" s="28">
        <f ca="1"/>
        <v>1383.336994</v>
      </c>
      <c r="AB54" s="28">
        <f ca="1"/>
        <v>1383.336994</v>
      </c>
      <c r="AC54" s="28">
        <f ca="1"/>
        <v>1383.336994</v>
      </c>
      <c r="AD54" s="28">
        <f ca="1"/>
        <v>1383.336994</v>
      </c>
      <c r="AE54" s="28">
        <f ca="1"/>
        <v>1383.336994</v>
      </c>
      <c r="AF54" s="28">
        <f ca="1"/>
        <v>1383.336994</v>
      </c>
      <c r="AG54" s="28">
        <f ca="1"/>
        <v>1383.336994</v>
      </c>
      <c r="AH54" s="28">
        <f ca="1"/>
        <v>1383.336994</v>
      </c>
      <c r="AI54" s="28">
        <f ca="1"/>
        <v>1383.336994</v>
      </c>
      <c r="AJ54" s="28">
        <f ca="1"/>
        <v>1383.336994</v>
      </c>
      <c r="AK54" s="29">
        <f ca="1"/>
        <v>1383.336994</v>
      </c>
      <c r="AL54" s="3"/>
    </row>
    <row r="55" spans="2:38" hidden="1">
      <c r="B55" s="3"/>
      <c r="C55" s="12"/>
      <c r="D55" s="16"/>
      <c r="E55" s="141">
        <f t="array" aca="1" ref="E55:AK55" ca="1">tlccQubc5</f>
        <v>1264.3701199999998</v>
      </c>
      <c r="F55" s="28">
        <f ca="1"/>
        <v>1264.3701199999998</v>
      </c>
      <c r="G55" s="28">
        <f ca="1"/>
        <v>1264.3701199999998</v>
      </c>
      <c r="H55" s="28">
        <f ca="1"/>
        <v>1264.3701199999998</v>
      </c>
      <c r="I55" s="28">
        <f ca="1"/>
        <v>1264.3701199999998</v>
      </c>
      <c r="J55" s="28">
        <f ca="1"/>
        <v>1264.3701199999998</v>
      </c>
      <c r="K55" s="28">
        <f ca="1"/>
        <v>1264.3701199999998</v>
      </c>
      <c r="L55" s="28">
        <f ca="1"/>
        <v>1264.3701199999998</v>
      </c>
      <c r="M55" s="28">
        <f ca="1"/>
        <v>1264.3701199999998</v>
      </c>
      <c r="N55" s="28">
        <f ca="1"/>
        <v>1264.3701199999998</v>
      </c>
      <c r="O55" s="28">
        <f ca="1"/>
        <v>1264.3701199999998</v>
      </c>
      <c r="P55" s="28">
        <f ca="1"/>
        <v>1264.3701199999998</v>
      </c>
      <c r="Q55" s="28">
        <f ca="1"/>
        <v>1264.3701199999998</v>
      </c>
      <c r="R55" s="28">
        <f ca="1"/>
        <v>1264.3701199999998</v>
      </c>
      <c r="S55" s="28">
        <f ca="1"/>
        <v>1264.3701199999998</v>
      </c>
      <c r="T55" s="28">
        <f ca="1"/>
        <v>1264.3701199999998</v>
      </c>
      <c r="U55" s="28">
        <f ca="1"/>
        <v>1264.3701199999998</v>
      </c>
      <c r="V55" s="28">
        <f ca="1"/>
        <v>1264.3701199999998</v>
      </c>
      <c r="W55" s="28">
        <f ca="1"/>
        <v>1264.3701199999998</v>
      </c>
      <c r="X55" s="28">
        <f ca="1"/>
        <v>1264.3701199999998</v>
      </c>
      <c r="Y55" s="28">
        <f ca="1"/>
        <v>1264.3701199999998</v>
      </c>
      <c r="Z55" s="28">
        <f ca="1"/>
        <v>1264.3701199999998</v>
      </c>
      <c r="AA55" s="28">
        <f ca="1"/>
        <v>1264.3701199999998</v>
      </c>
      <c r="AB55" s="28">
        <f ca="1"/>
        <v>1264.3701199999998</v>
      </c>
      <c r="AC55" s="28">
        <f ca="1"/>
        <v>1264.3701199999998</v>
      </c>
      <c r="AD55" s="28">
        <f ca="1"/>
        <v>1264.3701199999998</v>
      </c>
      <c r="AE55" s="28">
        <f ca="1"/>
        <v>1264.3701199999998</v>
      </c>
      <c r="AF55" s="28">
        <f ca="1"/>
        <v>1264.3701199999998</v>
      </c>
      <c r="AG55" s="28">
        <f ca="1"/>
        <v>1264.3701199999998</v>
      </c>
      <c r="AH55" s="28">
        <f ca="1"/>
        <v>1264.3701199999998</v>
      </c>
      <c r="AI55" s="28">
        <f ca="1"/>
        <v>1264.3701199999998</v>
      </c>
      <c r="AJ55" s="28">
        <f ca="1"/>
        <v>1264.3701199999998</v>
      </c>
      <c r="AK55" s="29">
        <f ca="1"/>
        <v>1264.3701199999998</v>
      </c>
      <c r="AL55" s="3"/>
    </row>
    <row r="56" spans="2:38" hidden="1">
      <c r="B56" s="3"/>
      <c r="C56" s="4"/>
      <c r="D56" s="5"/>
      <c r="E56" s="147">
        <f t="array" aca="1" ref="E56:AK56" ca="1">tlccQubc6</f>
        <v>1119.3204619999999</v>
      </c>
      <c r="F56" s="35">
        <f ca="1"/>
        <v>1119.3204619999999</v>
      </c>
      <c r="G56" s="35">
        <f ca="1"/>
        <v>1119.3204619999999</v>
      </c>
      <c r="H56" s="35">
        <f ca="1"/>
        <v>1119.3204619999999</v>
      </c>
      <c r="I56" s="35">
        <f ca="1"/>
        <v>1119.3204619999999</v>
      </c>
      <c r="J56" s="35">
        <f ca="1"/>
        <v>1119.3204619999999</v>
      </c>
      <c r="K56" s="35">
        <f ca="1"/>
        <v>1119.3204619999999</v>
      </c>
      <c r="L56" s="35">
        <f ca="1"/>
        <v>1119.3204619999999</v>
      </c>
      <c r="M56" s="35">
        <f ca="1"/>
        <v>1119.3204619999999</v>
      </c>
      <c r="N56" s="35">
        <f ca="1"/>
        <v>1119.3204619999999</v>
      </c>
      <c r="O56" s="35">
        <f ca="1"/>
        <v>1119.3204619999999</v>
      </c>
      <c r="P56" s="35">
        <f ca="1"/>
        <v>1119.3204619999999</v>
      </c>
      <c r="Q56" s="35">
        <f ca="1"/>
        <v>1119.3204619999999</v>
      </c>
      <c r="R56" s="35">
        <f ca="1"/>
        <v>1119.3204619999999</v>
      </c>
      <c r="S56" s="35">
        <f ca="1"/>
        <v>1119.3204619999999</v>
      </c>
      <c r="T56" s="35">
        <f ca="1"/>
        <v>1119.3204619999999</v>
      </c>
      <c r="U56" s="35">
        <f ca="1"/>
        <v>1119.3204619999999</v>
      </c>
      <c r="V56" s="35">
        <f ca="1"/>
        <v>1119.3204619999999</v>
      </c>
      <c r="W56" s="35">
        <f ca="1"/>
        <v>1119.3204619999999</v>
      </c>
      <c r="X56" s="35">
        <f ca="1"/>
        <v>1119.3204619999999</v>
      </c>
      <c r="Y56" s="35">
        <f ca="1"/>
        <v>1119.3204619999999</v>
      </c>
      <c r="Z56" s="35">
        <f ca="1"/>
        <v>1119.3204619999999</v>
      </c>
      <c r="AA56" s="35">
        <f ca="1"/>
        <v>1119.3204619999999</v>
      </c>
      <c r="AB56" s="35">
        <f ca="1"/>
        <v>1119.3204619999999</v>
      </c>
      <c r="AC56" s="35">
        <f ca="1"/>
        <v>1119.3204619999999</v>
      </c>
      <c r="AD56" s="35">
        <f ca="1"/>
        <v>1119.3204619999999</v>
      </c>
      <c r="AE56" s="35">
        <f ca="1"/>
        <v>1119.3204619999999</v>
      </c>
      <c r="AF56" s="35">
        <f ca="1"/>
        <v>1119.3204619999999</v>
      </c>
      <c r="AG56" s="35">
        <f ca="1"/>
        <v>1119.3204619999999</v>
      </c>
      <c r="AH56" s="35">
        <f ca="1"/>
        <v>1119.3204619999999</v>
      </c>
      <c r="AI56" s="35">
        <f ca="1"/>
        <v>1119.3204619999999</v>
      </c>
      <c r="AJ56" s="35">
        <f ca="1"/>
        <v>1119.3204619999999</v>
      </c>
      <c r="AK56" s="36">
        <f ca="1"/>
        <v>1119.3204619999999</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3692.9924737694218</v>
      </c>
      <c r="F59" s="28">
        <f ca="1"/>
        <v>3709.2468135331656</v>
      </c>
      <c r="G59" s="28">
        <f ca="1"/>
        <v>3723.6448760854423</v>
      </c>
      <c r="H59" s="28">
        <f ca="1"/>
        <v>3739.3251241867897</v>
      </c>
      <c r="I59" s="28">
        <f ca="1"/>
        <v>3753.1120080246906</v>
      </c>
      <c r="J59" s="28">
        <f ca="1"/>
        <v>3768.1490481460669</v>
      </c>
      <c r="K59" s="28">
        <f ca="1"/>
        <v>3781.2577131811299</v>
      </c>
      <c r="L59" s="28">
        <f ca="1"/>
        <v>3795.5709872826569</v>
      </c>
      <c r="M59" s="28">
        <f ca="1"/>
        <v>3811.1698751544805</v>
      </c>
      <c r="N59" s="28">
        <f ca="1"/>
        <v>3824.8727696382516</v>
      </c>
      <c r="O59" s="28">
        <f ca="1"/>
        <v>3839.8261649738756</v>
      </c>
      <c r="P59" s="28">
        <f ca="1"/>
        <v>3856.1317346658184</v>
      </c>
      <c r="Q59" s="28">
        <f ca="1"/>
        <v>3870.5867877259539</v>
      </c>
      <c r="R59" s="28">
        <f ca="1"/>
        <v>3886.3493409137504</v>
      </c>
      <c r="S59" s="28">
        <f ca="1"/>
        <v>3900.2327492825898</v>
      </c>
      <c r="T59" s="28">
        <f ca="1"/>
        <v>3915.3887852097314</v>
      </c>
      <c r="U59" s="28">
        <f ca="1"/>
        <v>3931.9133948011422</v>
      </c>
      <c r="V59" s="28">
        <f ca="1"/>
        <v>3946.6140274687627</v>
      </c>
      <c r="W59" s="28">
        <f ca="1"/>
        <v>3962.6478495892839</v>
      </c>
      <c r="X59" s="28">
        <f ca="1"/>
        <v>3976.8228429520254</v>
      </c>
      <c r="Y59" s="28">
        <f ca="1"/>
        <v>3992.302675444419</v>
      </c>
      <c r="Z59" s="28">
        <f ca="1"/>
        <v>4009.1741622711461</v>
      </c>
      <c r="AA59" s="28">
        <f ca="1"/>
        <v>4024.2541984646764</v>
      </c>
      <c r="AB59" s="28">
        <f ca="1"/>
        <v>4040.7038044152619</v>
      </c>
      <c r="AC59" s="28">
        <f ca="1"/>
        <v>4055.3336718864912</v>
      </c>
      <c r="AD59" s="28">
        <f ca="1"/>
        <v>4071.2958014293558</v>
      </c>
      <c r="AE59" s="28">
        <f ca="1"/>
        <v>4088.6837998795522</v>
      </c>
      <c r="AF59" s="28">
        <f ca="1"/>
        <v>4104.3278001915587</v>
      </c>
      <c r="AG59" s="28">
        <f ca="1"/>
        <v>4121.3847562722267</v>
      </c>
      <c r="AH59" s="28">
        <f ca="1"/>
        <v>4136.6724195905235</v>
      </c>
      <c r="AI59" s="28">
        <f ca="1"/>
        <v>4153.3568393878131</v>
      </c>
      <c r="AJ59" s="28">
        <f ca="1"/>
        <v>4168.2441430673543</v>
      </c>
      <c r="AK59" s="29">
        <f ca="1"/>
        <v>4184.49481914439</v>
      </c>
      <c r="AL59" s="3"/>
    </row>
    <row r="60" spans="2:38" hidden="1">
      <c r="B60" s="3"/>
      <c r="C60" s="12"/>
      <c r="D60" s="16"/>
      <c r="E60" s="141">
        <f t="array" aca="1" ref="E60:AK60" ca="1">tlccEubc1</f>
        <v>9178.330179871502</v>
      </c>
      <c r="F60" s="28">
        <f ca="1"/>
        <v>9218.7276890099893</v>
      </c>
      <c r="G60" s="28">
        <f ca="1"/>
        <v>9254.5117240422551</v>
      </c>
      <c r="H60" s="28">
        <f ca="1"/>
        <v>9293.4824220327591</v>
      </c>
      <c r="I60" s="28">
        <f ca="1"/>
        <v>9327.7474721011167</v>
      </c>
      <c r="J60" s="28">
        <f ca="1"/>
        <v>9365.1195816145428</v>
      </c>
      <c r="K60" s="28">
        <f ca="1"/>
        <v>9397.6990295185733</v>
      </c>
      <c r="L60" s="28">
        <f ca="1"/>
        <v>9433.2723366920727</v>
      </c>
      <c r="M60" s="28">
        <f ca="1"/>
        <v>9472.0408271082633</v>
      </c>
      <c r="N60" s="28">
        <f ca="1"/>
        <v>9506.0971353421191</v>
      </c>
      <c r="O60" s="28">
        <f ca="1"/>
        <v>9543.2613593895185</v>
      </c>
      <c r="P60" s="28">
        <f ca="1"/>
        <v>9583.7861921549611</v>
      </c>
      <c r="Q60" s="28">
        <f ca="1"/>
        <v>9619.7118677949275</v>
      </c>
      <c r="R60" s="28">
        <f ca="1"/>
        <v>9658.8871216474545</v>
      </c>
      <c r="S60" s="28">
        <f ca="1"/>
        <v>9693.3920676868183</v>
      </c>
      <c r="T60" s="28">
        <f ca="1"/>
        <v>9731.0599218580246</v>
      </c>
      <c r="U60" s="28">
        <f ca="1"/>
        <v>9772.1291425511899</v>
      </c>
      <c r="V60" s="28">
        <f ca="1"/>
        <v>9808.6651662324657</v>
      </c>
      <c r="W60" s="28">
        <f ca="1"/>
        <v>9848.5146147522646</v>
      </c>
      <c r="X60" s="28">
        <f ca="1"/>
        <v>9883.7442477138247</v>
      </c>
      <c r="Y60" s="28">
        <f ca="1"/>
        <v>9922.2168454116181</v>
      </c>
      <c r="Z60" s="28">
        <f ca="1"/>
        <v>9964.1481728705749</v>
      </c>
      <c r="AA60" s="28">
        <f ca="1"/>
        <v>10001.627142105339</v>
      </c>
      <c r="AB60" s="28">
        <f ca="1"/>
        <v>10042.509953488139</v>
      </c>
      <c r="AC60" s="28">
        <f ca="1"/>
        <v>10078.870101821083</v>
      </c>
      <c r="AD60" s="28">
        <f ca="1"/>
        <v>10118.541370137747</v>
      </c>
      <c r="AE60" s="28">
        <f ca="1"/>
        <v>10161.756402953697</v>
      </c>
      <c r="AF60" s="28">
        <f ca="1"/>
        <v>10200.637012978614</v>
      </c>
      <c r="AG60" s="28">
        <f ca="1"/>
        <v>10243.0292940038</v>
      </c>
      <c r="AH60" s="28">
        <f ca="1"/>
        <v>10281.024286577074</v>
      </c>
      <c r="AI60" s="28">
        <f ca="1"/>
        <v>10322.49068945951</v>
      </c>
      <c r="AJ60" s="28">
        <f ca="1"/>
        <v>10359.490653480394</v>
      </c>
      <c r="AK60" s="29">
        <f ca="1"/>
        <v>10399.879057123399</v>
      </c>
      <c r="AL60" s="3"/>
    </row>
    <row r="61" spans="2:38" hidden="1">
      <c r="B61" s="3"/>
      <c r="C61" s="12"/>
      <c r="D61" s="16"/>
      <c r="E61" s="141">
        <f t="array" aca="1" ref="E61:AK61" ca="1">tlccEubc2</f>
        <v>2590.4519939046922</v>
      </c>
      <c r="F61" s="28">
        <f ca="1"/>
        <v>2601.8536111973531</v>
      </c>
      <c r="G61" s="28">
        <f ca="1"/>
        <v>2611.9531416220229</v>
      </c>
      <c r="H61" s="28">
        <f ca="1"/>
        <v>2622.9520619414006</v>
      </c>
      <c r="I61" s="28">
        <f ca="1"/>
        <v>2632.6228806558424</v>
      </c>
      <c r="J61" s="28">
        <f ca="1"/>
        <v>2643.1706223156248</v>
      </c>
      <c r="K61" s="28">
        <f ca="1"/>
        <v>2652.3657040057974</v>
      </c>
      <c r="L61" s="28">
        <f ca="1"/>
        <v>2662.4057595160552</v>
      </c>
      <c r="M61" s="28">
        <f ca="1"/>
        <v>2673.3476096490517</v>
      </c>
      <c r="N61" s="28">
        <f ca="1"/>
        <v>2682.959513975929</v>
      </c>
      <c r="O61" s="28">
        <f ca="1"/>
        <v>2693.448582945864</v>
      </c>
      <c r="P61" s="28">
        <f ca="1"/>
        <v>2704.886135505275</v>
      </c>
      <c r="Q61" s="28">
        <f ca="1"/>
        <v>2715.0256419590746</v>
      </c>
      <c r="R61" s="28">
        <f ca="1"/>
        <v>2726.0822952353469</v>
      </c>
      <c r="S61" s="28">
        <f ca="1"/>
        <v>2735.8208211453502</v>
      </c>
      <c r="T61" s="28">
        <f ca="1"/>
        <v>2746.45203249117</v>
      </c>
      <c r="U61" s="28">
        <f ca="1"/>
        <v>2758.0432307317874</v>
      </c>
      <c r="V61" s="28">
        <f ca="1"/>
        <v>2768.3549991623959</v>
      </c>
      <c r="W61" s="28">
        <f ca="1"/>
        <v>2779.6019342095246</v>
      </c>
      <c r="X61" s="28">
        <f ca="1"/>
        <v>2789.544992604825</v>
      </c>
      <c r="Y61" s="28">
        <f ca="1"/>
        <v>2800.4033312638003</v>
      </c>
      <c r="Z61" s="28">
        <f ca="1"/>
        <v>2812.2378467687372</v>
      </c>
      <c r="AA61" s="28">
        <f ca="1"/>
        <v>2822.8157480515438</v>
      </c>
      <c r="AB61" s="28">
        <f ca="1"/>
        <v>2834.3543349390884</v>
      </c>
      <c r="AC61" s="28">
        <f ca="1"/>
        <v>2844.6164650762557</v>
      </c>
      <c r="AD61" s="28">
        <f ca="1"/>
        <v>2855.8131113177465</v>
      </c>
      <c r="AE61" s="28">
        <f ca="1"/>
        <v>2868.009934239878</v>
      </c>
      <c r="AF61" s="28">
        <f ca="1"/>
        <v>2878.9834285236398</v>
      </c>
      <c r="AG61" s="28">
        <f ca="1"/>
        <v>2890.948041558448</v>
      </c>
      <c r="AH61" s="28">
        <f ca="1"/>
        <v>2901.6715830241556</v>
      </c>
      <c r="AI61" s="28">
        <f ca="1"/>
        <v>2913.3748802385485</v>
      </c>
      <c r="AJ61" s="28">
        <f ca="1"/>
        <v>2923.817589172957</v>
      </c>
      <c r="AK61" s="29">
        <f ca="1"/>
        <v>2935.2166365701719</v>
      </c>
      <c r="AL61" s="3"/>
    </row>
    <row r="62" spans="2:38" hidden="1">
      <c r="B62" s="3"/>
      <c r="C62" s="12"/>
      <c r="D62" s="16"/>
      <c r="E62" s="141">
        <f t="array" aca="1" ref="E62:AK62" ca="1">tlccEubc3</f>
        <v>17079.111159336699</v>
      </c>
      <c r="F62" s="28">
        <f ca="1"/>
        <v>17154.283171632531</v>
      </c>
      <c r="G62" s="28">
        <f ca="1"/>
        <v>17220.870393934238</v>
      </c>
      <c r="H62" s="28">
        <f ca="1"/>
        <v>17293.387384486228</v>
      </c>
      <c r="I62" s="28">
        <f ca="1"/>
        <v>17357.148067260656</v>
      </c>
      <c r="J62" s="28">
        <f ca="1"/>
        <v>17426.690391423112</v>
      </c>
      <c r="K62" s="28">
        <f ca="1"/>
        <v>17487.314492033809</v>
      </c>
      <c r="L62" s="28">
        <f ca="1"/>
        <v>17553.509590228663</v>
      </c>
      <c r="M62" s="28">
        <f ca="1"/>
        <v>17625.650311288129</v>
      </c>
      <c r="N62" s="28">
        <f ca="1"/>
        <v>17689.022565565716</v>
      </c>
      <c r="O62" s="28">
        <f ca="1"/>
        <v>17758.178054768759</v>
      </c>
      <c r="P62" s="28">
        <f ca="1"/>
        <v>17833.586991901193</v>
      </c>
      <c r="Q62" s="28">
        <f ca="1"/>
        <v>17900.437780193257</v>
      </c>
      <c r="R62" s="28">
        <f ca="1"/>
        <v>17973.335409950552</v>
      </c>
      <c r="S62" s="28">
        <f ca="1"/>
        <v>18037.54249309142</v>
      </c>
      <c r="T62" s="28">
        <f ca="1"/>
        <v>18107.63514130914</v>
      </c>
      <c r="U62" s="28">
        <f ca="1"/>
        <v>18184.057079907954</v>
      </c>
      <c r="V62" s="28">
        <f ca="1"/>
        <v>18252.043608780183</v>
      </c>
      <c r="W62" s="28">
        <f ca="1"/>
        <v>18326.195785436503</v>
      </c>
      <c r="X62" s="28">
        <f ca="1"/>
        <v>18391.751371873437</v>
      </c>
      <c r="Y62" s="28">
        <f ca="1"/>
        <v>18463.341493365257</v>
      </c>
      <c r="Z62" s="28">
        <f ca="1"/>
        <v>18541.367647218442</v>
      </c>
      <c r="AA62" s="28">
        <f ca="1"/>
        <v>18611.108816816119</v>
      </c>
      <c r="AB62" s="28">
        <f ca="1"/>
        <v>18687.183883459984</v>
      </c>
      <c r="AC62" s="28">
        <f ca="1"/>
        <v>18754.843142059141</v>
      </c>
      <c r="AD62" s="28">
        <f ca="1"/>
        <v>18828.663759549891</v>
      </c>
      <c r="AE62" s="28">
        <f ca="1"/>
        <v>18909.078642731645</v>
      </c>
      <c r="AF62" s="28">
        <f ca="1"/>
        <v>18981.427996867398</v>
      </c>
      <c r="AG62" s="28">
        <f ca="1"/>
        <v>19060.311896851163</v>
      </c>
      <c r="AH62" s="28">
        <f ca="1"/>
        <v>19131.013286857815</v>
      </c>
      <c r="AI62" s="28">
        <f ca="1"/>
        <v>19208.174305292334</v>
      </c>
      <c r="AJ62" s="28">
        <f ca="1"/>
        <v>19277.024138107248</v>
      </c>
      <c r="AK62" s="29">
        <f ca="1"/>
        <v>19352.179206823312</v>
      </c>
      <c r="AL62" s="3"/>
    </row>
    <row r="63" spans="2:38" hidden="1">
      <c r="B63" s="3"/>
      <c r="C63" s="12"/>
      <c r="D63" s="16"/>
      <c r="E63" s="141">
        <f t="array" aca="1" ref="E63:AK63" ca="1">tlccEubc4</f>
        <v>19707.579712956962</v>
      </c>
      <c r="F63" s="28">
        <f ca="1"/>
        <v>19794.320668659064</v>
      </c>
      <c r="G63" s="28">
        <f ca="1"/>
        <v>19871.155638531483</v>
      </c>
      <c r="H63" s="28">
        <f ca="1"/>
        <v>19954.83296567772</v>
      </c>
      <c r="I63" s="28">
        <f ca="1"/>
        <v>20028.406392690798</v>
      </c>
      <c r="J63" s="28">
        <f ca="1"/>
        <v>20108.651253449068</v>
      </c>
      <c r="K63" s="28">
        <f ca="1"/>
        <v>20178.605379525376</v>
      </c>
      <c r="L63" s="28">
        <f ca="1"/>
        <v>20254.987877543659</v>
      </c>
      <c r="M63" s="28">
        <f ca="1"/>
        <v>20338.231027469104</v>
      </c>
      <c r="N63" s="28">
        <f ca="1"/>
        <v>20411.356246991018</v>
      </c>
      <c r="O63" s="28">
        <f ca="1"/>
        <v>20491.154739040292</v>
      </c>
      <c r="P63" s="28">
        <f ca="1"/>
        <v>20578.169082219043</v>
      </c>
      <c r="Q63" s="28">
        <f ca="1"/>
        <v>20655.308180785065</v>
      </c>
      <c r="R63" s="28">
        <f ca="1"/>
        <v>20739.424727362039</v>
      </c>
      <c r="S63" s="28">
        <f ca="1"/>
        <v>20813.513255584032</v>
      </c>
      <c r="T63" s="28">
        <f ca="1"/>
        <v>20894.393135055256</v>
      </c>
      <c r="U63" s="28">
        <f ca="1"/>
        <v>20982.576380231429</v>
      </c>
      <c r="V63" s="28">
        <f ca="1"/>
        <v>21061.02600941042</v>
      </c>
      <c r="W63" s="28">
        <f ca="1"/>
        <v>21146.590177165417</v>
      </c>
      <c r="X63" s="28">
        <f ca="1"/>
        <v>21222.234742815373</v>
      </c>
      <c r="Y63" s="28">
        <f ca="1"/>
        <v>21304.842556114188</v>
      </c>
      <c r="Z63" s="28">
        <f ca="1"/>
        <v>21394.876904647408</v>
      </c>
      <c r="AA63" s="28">
        <f ca="1"/>
        <v>21475.351213075901</v>
      </c>
      <c r="AB63" s="28">
        <f ca="1"/>
        <v>21563.134202838381</v>
      </c>
      <c r="AC63" s="28">
        <f ca="1"/>
        <v>21641.206194976763</v>
      </c>
      <c r="AD63" s="28">
        <f ca="1"/>
        <v>21726.387776739779</v>
      </c>
      <c r="AE63" s="28">
        <f ca="1"/>
        <v>21819.178479114616</v>
      </c>
      <c r="AF63" s="28">
        <f ca="1"/>
        <v>21902.662370665505</v>
      </c>
      <c r="AG63" s="28">
        <f ca="1"/>
        <v>21993.686472124631</v>
      </c>
      <c r="AH63" s="28">
        <f ca="1"/>
        <v>22075.268778508951</v>
      </c>
      <c r="AI63" s="28">
        <f ca="1"/>
        <v>22164.304847619576</v>
      </c>
      <c r="AJ63" s="28">
        <f ca="1"/>
        <v>22243.7506428817</v>
      </c>
      <c r="AK63" s="29">
        <f ca="1"/>
        <v>22330.472047393709</v>
      </c>
      <c r="AL63" s="3"/>
    </row>
    <row r="64" spans="2:38" hidden="1">
      <c r="B64" s="3"/>
      <c r="C64" s="12"/>
      <c r="D64" s="16"/>
      <c r="E64" s="141">
        <f t="array" aca="1" ref="E64:AK64" ca="1">tlccEubc5</f>
        <v>19496.8197617732</v>
      </c>
      <c r="F64" s="28">
        <f ca="1"/>
        <v>19582.633078472671</v>
      </c>
      <c r="G64" s="28">
        <f ca="1"/>
        <v>19658.646347520556</v>
      </c>
      <c r="H64" s="28">
        <f ca="1"/>
        <v>19741.428799210684</v>
      </c>
      <c r="I64" s="28">
        <f ca="1"/>
        <v>19814.215405512557</v>
      </c>
      <c r="J64" s="28">
        <f ca="1"/>
        <v>19893.602098845786</v>
      </c>
      <c r="K64" s="28">
        <f ca="1"/>
        <v>19962.808110317892</v>
      </c>
      <c r="L64" s="28">
        <f ca="1"/>
        <v>20038.373746408517</v>
      </c>
      <c r="M64" s="28">
        <f ca="1"/>
        <v>20120.726664125323</v>
      </c>
      <c r="N64" s="28">
        <f ca="1"/>
        <v>20193.069856228278</v>
      </c>
      <c r="O64" s="28">
        <f ca="1"/>
        <v>20272.014954480172</v>
      </c>
      <c r="P64" s="28">
        <f ca="1"/>
        <v>20358.0987349522</v>
      </c>
      <c r="Q64" s="28">
        <f ca="1"/>
        <v>20434.41288023195</v>
      </c>
      <c r="R64" s="28">
        <f ca="1"/>
        <v>20517.629854182109</v>
      </c>
      <c r="S64" s="28">
        <f ca="1"/>
        <v>20590.926053015181</v>
      </c>
      <c r="T64" s="28">
        <f ca="1"/>
        <v>20670.940973942674</v>
      </c>
      <c r="U64" s="28">
        <f ca="1"/>
        <v>20758.181155753427</v>
      </c>
      <c r="V64" s="28">
        <f ca="1"/>
        <v>20835.79181636007</v>
      </c>
      <c r="W64" s="28">
        <f ca="1"/>
        <v>20920.440930106317</v>
      </c>
      <c r="X64" s="28">
        <f ca="1"/>
        <v>20995.276525542995</v>
      </c>
      <c r="Y64" s="28">
        <f ca="1"/>
        <v>21077.00090115175</v>
      </c>
      <c r="Z64" s="28">
        <f ca="1"/>
        <v>21166.072389953926</v>
      </c>
      <c r="AA64" s="28">
        <f ca="1"/>
        <v>21245.68607716139</v>
      </c>
      <c r="AB64" s="28">
        <f ca="1"/>
        <v>21332.53028403391</v>
      </c>
      <c r="AC64" s="28">
        <f ca="1"/>
        <v>21409.7673461864</v>
      </c>
      <c r="AD64" s="28">
        <f ca="1"/>
        <v>21494.037965452968</v>
      </c>
      <c r="AE64" s="28">
        <f ca="1"/>
        <v>21585.836330656639</v>
      </c>
      <c r="AF64" s="28">
        <f ca="1"/>
        <v>21668.427415421294</v>
      </c>
      <c r="AG64" s="28">
        <f ca="1"/>
        <v>21758.478072375325</v>
      </c>
      <c r="AH64" s="28">
        <f ca="1"/>
        <v>21839.187908209686</v>
      </c>
      <c r="AI64" s="28">
        <f ca="1"/>
        <v>21927.271793548764</v>
      </c>
      <c r="AJ64" s="28">
        <f ca="1"/>
        <v>22005.867966879858</v>
      </c>
      <c r="AK64" s="29">
        <f ca="1"/>
        <v>22091.661941476708</v>
      </c>
      <c r="AL64" s="3"/>
    </row>
    <row r="65" spans="2:38" hidden="1">
      <c r="B65" s="3"/>
      <c r="C65" s="4"/>
      <c r="D65" s="5"/>
      <c r="E65" s="147">
        <f t="array" aca="1" ref="E65:AK65" ca="1">tlccEubc6</f>
        <v>18214.004876233528</v>
      </c>
      <c r="F65" s="35">
        <f ca="1"/>
        <v>18294.17201056148</v>
      </c>
      <c r="G65" s="35">
        <f ca="1"/>
        <v>18365.183902245037</v>
      </c>
      <c r="H65" s="35">
        <f ca="1"/>
        <v>18442.519590689317</v>
      </c>
      <c r="I65" s="35">
        <f ca="1"/>
        <v>18510.517121481811</v>
      </c>
      <c r="J65" s="35">
        <f ca="1"/>
        <v>18584.68047925744</v>
      </c>
      <c r="K65" s="35">
        <f ca="1"/>
        <v>18649.333004429205</v>
      </c>
      <c r="L65" s="35">
        <f ca="1"/>
        <v>18719.92671566251</v>
      </c>
      <c r="M65" s="35">
        <f ca="1"/>
        <v>18796.861131797745</v>
      </c>
      <c r="N65" s="35">
        <f ca="1"/>
        <v>18864.444423320445</v>
      </c>
      <c r="O65" s="35">
        <f ca="1"/>
        <v>18938.195241253015</v>
      </c>
      <c r="P65" s="35">
        <f ca="1"/>
        <v>19018.615043889578</v>
      </c>
      <c r="Q65" s="35">
        <f ca="1"/>
        <v>19089.908015319528</v>
      </c>
      <c r="R65" s="35">
        <f ca="1"/>
        <v>19167.649636149679</v>
      </c>
      <c r="S65" s="35">
        <f ca="1"/>
        <v>19236.123230267436</v>
      </c>
      <c r="T65" s="35">
        <f ca="1"/>
        <v>19310.873480705828</v>
      </c>
      <c r="U65" s="35">
        <f ca="1"/>
        <v>19392.373597972131</v>
      </c>
      <c r="V65" s="35">
        <f ca="1"/>
        <v>19464.877779064718</v>
      </c>
      <c r="W65" s="35">
        <f ca="1"/>
        <v>19543.957310464302</v>
      </c>
      <c r="X65" s="35">
        <f ca="1"/>
        <v>19613.869014878364</v>
      </c>
      <c r="Y65" s="35">
        <f ca="1"/>
        <v>19690.216244530835</v>
      </c>
      <c r="Z65" s="35">
        <f ca="1"/>
        <v>19773.427175913457</v>
      </c>
      <c r="AA65" s="35">
        <f ca="1"/>
        <v>19847.802592249569</v>
      </c>
      <c r="AB65" s="35">
        <f ca="1"/>
        <v>19928.932788187991</v>
      </c>
      <c r="AC65" s="35">
        <f ca="1"/>
        <v>20001.087952151167</v>
      </c>
      <c r="AD65" s="35">
        <f ca="1"/>
        <v>20079.813892535258</v>
      </c>
      <c r="AE65" s="35">
        <f ca="1"/>
        <v>20165.572282461395</v>
      </c>
      <c r="AF65" s="35">
        <f ca="1"/>
        <v>20242.729195179349</v>
      </c>
      <c r="AG65" s="35">
        <f ca="1"/>
        <v>20326.854869259016</v>
      </c>
      <c r="AH65" s="35">
        <f ca="1"/>
        <v>20402.254311907043</v>
      </c>
      <c r="AI65" s="35">
        <f ca="1"/>
        <v>20484.542620292046</v>
      </c>
      <c r="AJ65" s="35">
        <f ca="1"/>
        <v>20557.967471206088</v>
      </c>
      <c r="AK65" s="36">
        <f ca="1"/>
        <v>20638.116536066518</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805.95125399880055</v>
      </c>
      <c r="F68" s="28">
        <f ca="1"/>
        <v>800.13041193539209</v>
      </c>
      <c r="G68" s="28">
        <f ca="1"/>
        <v>794.26515208656008</v>
      </c>
      <c r="H68" s="28">
        <f ca="1"/>
        <v>789.11505946028376</v>
      </c>
      <c r="I68" s="28">
        <f ca="1"/>
        <v>784.23270223605425</v>
      </c>
      <c r="J68" s="28">
        <f ca="1"/>
        <v>779.98285276158811</v>
      </c>
      <c r="K68" s="28">
        <f ca="1"/>
        <v>776.68859688768487</v>
      </c>
      <c r="L68" s="28">
        <f ca="1"/>
        <v>773.958008626067</v>
      </c>
      <c r="M68" s="28">
        <f ca="1"/>
        <v>771.21469462024754</v>
      </c>
      <c r="N68" s="28">
        <f ca="1"/>
        <v>769.02094876542299</v>
      </c>
      <c r="O68" s="28">
        <f ca="1"/>
        <v>767.51024875057453</v>
      </c>
      <c r="P68" s="28">
        <f ca="1"/>
        <v>766.40441615807242</v>
      </c>
      <c r="Q68" s="28">
        <f ca="1"/>
        <v>765.47387087805453</v>
      </c>
      <c r="R68" s="28">
        <f ca="1"/>
        <v>764.78719628688384</v>
      </c>
      <c r="S68" s="28">
        <f ca="1"/>
        <v>764.26374938966535</v>
      </c>
      <c r="T68" s="28">
        <f ca="1"/>
        <v>764.19819316987639</v>
      </c>
      <c r="U68" s="28">
        <f ca="1"/>
        <v>764.3326514431127</v>
      </c>
      <c r="V68" s="28">
        <f ca="1"/>
        <v>764.53003425934787</v>
      </c>
      <c r="W68" s="28">
        <f ca="1"/>
        <v>764.81231903362516</v>
      </c>
      <c r="X68" s="28">
        <f ca="1"/>
        <v>765.07907511300766</v>
      </c>
      <c r="Y68" s="28">
        <f ca="1"/>
        <v>765.3000967872689</v>
      </c>
      <c r="Z68" s="28">
        <f ca="1"/>
        <v>765.44821255871204</v>
      </c>
      <c r="AA68" s="28">
        <f ca="1"/>
        <v>765.54583071165746</v>
      </c>
      <c r="AB68" s="28">
        <f ca="1"/>
        <v>765.54583071165746</v>
      </c>
      <c r="AC68" s="28">
        <f ca="1"/>
        <v>765.54583071165746</v>
      </c>
      <c r="AD68" s="28">
        <f ca="1"/>
        <v>765.54583071165746</v>
      </c>
      <c r="AE68" s="28">
        <f ca="1"/>
        <v>765.54583071165746</v>
      </c>
      <c r="AF68" s="28">
        <f ca="1"/>
        <v>765.54583071165746</v>
      </c>
      <c r="AG68" s="28">
        <f ca="1"/>
        <v>765.54583071165746</v>
      </c>
      <c r="AH68" s="28">
        <f ca="1"/>
        <v>765.54583071165746</v>
      </c>
      <c r="AI68" s="28">
        <f ca="1"/>
        <v>765.54583071165746</v>
      </c>
      <c r="AJ68" s="28">
        <f ca="1"/>
        <v>765.54583071165746</v>
      </c>
      <c r="AK68" s="29">
        <f ca="1"/>
        <v>765.54583071165746</v>
      </c>
      <c r="AL68" s="3"/>
    </row>
    <row r="69" spans="2:38" hidden="1">
      <c r="B69" s="3"/>
      <c r="C69" s="12"/>
      <c r="D69" s="16"/>
      <c r="E69" s="141">
        <f t="array" aca="1" ref="E69:AK69" ca="1">tlccFubcElec1</f>
        <v>2003.0603286153198</v>
      </c>
      <c r="F69" s="28">
        <f ca="1"/>
        <v>1988.5935754978084</v>
      </c>
      <c r="G69" s="28">
        <f ca="1"/>
        <v>1974.0164292226157</v>
      </c>
      <c r="H69" s="28">
        <f ca="1"/>
        <v>1961.2167143798072</v>
      </c>
      <c r="I69" s="28">
        <f ca="1"/>
        <v>1949.082412190364</v>
      </c>
      <c r="J69" s="28">
        <f ca="1"/>
        <v>1938.5201048018546</v>
      </c>
      <c r="K69" s="28">
        <f ca="1"/>
        <v>1930.3327693760655</v>
      </c>
      <c r="L69" s="28">
        <f ca="1"/>
        <v>1923.5463378226784</v>
      </c>
      <c r="M69" s="28">
        <f ca="1"/>
        <v>1916.7282785086347</v>
      </c>
      <c r="N69" s="28">
        <f ca="1"/>
        <v>1911.276081156672</v>
      </c>
      <c r="O69" s="28">
        <f ca="1"/>
        <v>1907.5214827821826</v>
      </c>
      <c r="P69" s="28">
        <f ca="1"/>
        <v>1904.7731163206374</v>
      </c>
      <c r="Q69" s="28">
        <f ca="1"/>
        <v>1902.4603978713069</v>
      </c>
      <c r="R69" s="28">
        <f ca="1"/>
        <v>1900.7537802248696</v>
      </c>
      <c r="S69" s="28">
        <f ca="1"/>
        <v>1899.4528383766462</v>
      </c>
      <c r="T69" s="28">
        <f ca="1"/>
        <v>1899.2899090896683</v>
      </c>
      <c r="U69" s="28">
        <f ca="1"/>
        <v>1899.6240831872176</v>
      </c>
      <c r="V69" s="28">
        <f ca="1"/>
        <v>1900.114645968514</v>
      </c>
      <c r="W69" s="28">
        <f ca="1"/>
        <v>1900.8162187124256</v>
      </c>
      <c r="X69" s="28">
        <f ca="1"/>
        <v>1901.4791974191119</v>
      </c>
      <c r="Y69" s="28">
        <f ca="1"/>
        <v>1902.0285107246993</v>
      </c>
      <c r="Z69" s="28">
        <f ca="1"/>
        <v>1902.396628305444</v>
      </c>
      <c r="AA69" s="28">
        <f ca="1"/>
        <v>1902.6392422954934</v>
      </c>
      <c r="AB69" s="28">
        <f ca="1"/>
        <v>1902.6392422954934</v>
      </c>
      <c r="AC69" s="28">
        <f ca="1"/>
        <v>1902.6392422954934</v>
      </c>
      <c r="AD69" s="28">
        <f ca="1"/>
        <v>1902.6392422954934</v>
      </c>
      <c r="AE69" s="28">
        <f ca="1"/>
        <v>1902.6392422954934</v>
      </c>
      <c r="AF69" s="28">
        <f ca="1"/>
        <v>1902.6392422954934</v>
      </c>
      <c r="AG69" s="28">
        <f ca="1"/>
        <v>1902.6392422954934</v>
      </c>
      <c r="AH69" s="28">
        <f ca="1"/>
        <v>1902.6392422954934</v>
      </c>
      <c r="AI69" s="28">
        <f ca="1"/>
        <v>1902.6392422954934</v>
      </c>
      <c r="AJ69" s="28">
        <f ca="1"/>
        <v>1902.6392422954934</v>
      </c>
      <c r="AK69" s="29">
        <f ca="1"/>
        <v>1902.6392422954934</v>
      </c>
      <c r="AL69" s="3"/>
    </row>
    <row r="70" spans="2:38" hidden="1">
      <c r="B70" s="3"/>
      <c r="C70" s="12"/>
      <c r="D70" s="16"/>
      <c r="E70" s="141">
        <f t="array" aca="1" ref="E70:AK70" ca="1">tlccFubcElec2</f>
        <v>565.33503594720128</v>
      </c>
      <c r="F70" s="28">
        <f ca="1"/>
        <v>561.25200246244299</v>
      </c>
      <c r="G70" s="28">
        <f ca="1"/>
        <v>557.13781209295439</v>
      </c>
      <c r="H70" s="28">
        <f ca="1"/>
        <v>553.525276240989</v>
      </c>
      <c r="I70" s="28">
        <f ca="1"/>
        <v>550.1005435624653</v>
      </c>
      <c r="J70" s="28">
        <f ca="1"/>
        <v>547.11948386003678</v>
      </c>
      <c r="K70" s="28">
        <f ca="1"/>
        <v>544.80872591574155</v>
      </c>
      <c r="L70" s="28">
        <f ca="1"/>
        <v>542.89335298793799</v>
      </c>
      <c r="M70" s="28">
        <f ca="1"/>
        <v>540.96905357851404</v>
      </c>
      <c r="N70" s="28">
        <f ca="1"/>
        <v>539.43024910920792</v>
      </c>
      <c r="O70" s="28">
        <f ca="1"/>
        <v>538.37056759253755</v>
      </c>
      <c r="P70" s="28">
        <f ca="1"/>
        <v>537.59488059492833</v>
      </c>
      <c r="Q70" s="28">
        <f ca="1"/>
        <v>536.9421489976769</v>
      </c>
      <c r="R70" s="28">
        <f ca="1"/>
        <v>536.46048065513446</v>
      </c>
      <c r="S70" s="28">
        <f ca="1"/>
        <v>536.09330848561774</v>
      </c>
      <c r="T70" s="28">
        <f ca="1"/>
        <v>536.04732403223159</v>
      </c>
      <c r="U70" s="28">
        <f ca="1"/>
        <v>536.14163987621885</v>
      </c>
      <c r="V70" s="28">
        <f ca="1"/>
        <v>536.28009418218096</v>
      </c>
      <c r="W70" s="28">
        <f ca="1"/>
        <v>536.47810302232062</v>
      </c>
      <c r="X70" s="28">
        <f ca="1"/>
        <v>536.66521924923711</v>
      </c>
      <c r="Y70" s="28">
        <f ca="1"/>
        <v>536.82025504767228</v>
      </c>
      <c r="Z70" s="28">
        <f ca="1"/>
        <v>536.92415095273816</v>
      </c>
      <c r="AA70" s="28">
        <f ca="1"/>
        <v>536.99262527017447</v>
      </c>
      <c r="AB70" s="28">
        <f ca="1"/>
        <v>536.99262527017447</v>
      </c>
      <c r="AC70" s="28">
        <f ca="1"/>
        <v>536.99262527017447</v>
      </c>
      <c r="AD70" s="28">
        <f ca="1"/>
        <v>536.99262527017447</v>
      </c>
      <c r="AE70" s="28">
        <f ca="1"/>
        <v>536.99262527017447</v>
      </c>
      <c r="AF70" s="28">
        <f ca="1"/>
        <v>536.99262527017447</v>
      </c>
      <c r="AG70" s="28">
        <f ca="1"/>
        <v>536.99262527017447</v>
      </c>
      <c r="AH70" s="28">
        <f ca="1"/>
        <v>536.99262527017447</v>
      </c>
      <c r="AI70" s="28">
        <f ca="1"/>
        <v>536.99262527017447</v>
      </c>
      <c r="AJ70" s="28">
        <f ca="1"/>
        <v>536.99262527017447</v>
      </c>
      <c r="AK70" s="29">
        <f ca="1"/>
        <v>536.99262527017447</v>
      </c>
      <c r="AL70" s="3"/>
    </row>
    <row r="71" spans="2:38" hidden="1">
      <c r="B71" s="3"/>
      <c r="C71" s="12"/>
      <c r="D71" s="16"/>
      <c r="E71" s="141">
        <f t="array" aca="1" ref="E71:AK71" ca="1">tlccFubcElec3</f>
        <v>3727.3108878021944</v>
      </c>
      <c r="F71" s="28">
        <f ca="1"/>
        <v>3700.3910363949622</v>
      </c>
      <c r="G71" s="28">
        <f ca="1"/>
        <v>3673.2657645055374</v>
      </c>
      <c r="H71" s="28">
        <f ca="1"/>
        <v>3649.4479514258169</v>
      </c>
      <c r="I71" s="28">
        <f ca="1"/>
        <v>3626.8683436024926</v>
      </c>
      <c r="J71" s="28">
        <f ca="1"/>
        <v>3607.2139164406703</v>
      </c>
      <c r="K71" s="28">
        <f ca="1"/>
        <v>3591.9788563485322</v>
      </c>
      <c r="L71" s="28">
        <f ca="1"/>
        <v>3579.3506095319476</v>
      </c>
      <c r="M71" s="28">
        <f ca="1"/>
        <v>3566.6635095220922</v>
      </c>
      <c r="N71" s="28">
        <f ca="1"/>
        <v>3556.5180165171628</v>
      </c>
      <c r="O71" s="28">
        <f ca="1"/>
        <v>3549.5314294430568</v>
      </c>
      <c r="P71" s="28">
        <f ca="1"/>
        <v>3544.4172468648071</v>
      </c>
      <c r="Q71" s="28">
        <f ca="1"/>
        <v>3540.1137216372022</v>
      </c>
      <c r="R71" s="28">
        <f ca="1"/>
        <v>3536.9380336941044</v>
      </c>
      <c r="S71" s="28">
        <f ca="1"/>
        <v>3534.5172305630117</v>
      </c>
      <c r="T71" s="28">
        <f ca="1"/>
        <v>3534.2140504257891</v>
      </c>
      <c r="U71" s="28">
        <f ca="1"/>
        <v>3534.8358842939074</v>
      </c>
      <c r="V71" s="28">
        <f ca="1"/>
        <v>3535.7487274917653</v>
      </c>
      <c r="W71" s="28">
        <f ca="1"/>
        <v>3537.0542197376103</v>
      </c>
      <c r="X71" s="28">
        <f ca="1"/>
        <v>3538.2878958863071</v>
      </c>
      <c r="Y71" s="28">
        <f ca="1"/>
        <v>3539.3100625357488</v>
      </c>
      <c r="Z71" s="28">
        <f ca="1"/>
        <v>3539.995058712399</v>
      </c>
      <c r="AA71" s="28">
        <f ca="1"/>
        <v>3540.4465167906833</v>
      </c>
      <c r="AB71" s="28">
        <f ca="1"/>
        <v>3540.4465167906833</v>
      </c>
      <c r="AC71" s="28">
        <f ca="1"/>
        <v>3540.4465167906833</v>
      </c>
      <c r="AD71" s="28">
        <f ca="1"/>
        <v>3540.4465167906833</v>
      </c>
      <c r="AE71" s="28">
        <f ca="1"/>
        <v>3540.4465167906833</v>
      </c>
      <c r="AF71" s="28">
        <f ca="1"/>
        <v>3540.4465167906833</v>
      </c>
      <c r="AG71" s="28">
        <f ca="1"/>
        <v>3540.4465167906833</v>
      </c>
      <c r="AH71" s="28">
        <f ca="1"/>
        <v>3540.4465167906833</v>
      </c>
      <c r="AI71" s="28">
        <f ca="1"/>
        <v>3540.4465167906833</v>
      </c>
      <c r="AJ71" s="28">
        <f ca="1"/>
        <v>3540.4465167906833</v>
      </c>
      <c r="AK71" s="29">
        <f ca="1"/>
        <v>3540.4465167906833</v>
      </c>
      <c r="AL71" s="3"/>
    </row>
    <row r="72" spans="2:38" hidden="1">
      <c r="B72" s="3"/>
      <c r="C72" s="12"/>
      <c r="D72" s="16"/>
      <c r="E72" s="141">
        <f t="array" aca="1" ref="E72:AK72" ca="1">tlccFubcElec4</f>
        <v>4300.9425813226517</v>
      </c>
      <c r="F72" s="28">
        <f ca="1"/>
        <v>4269.8797752714736</v>
      </c>
      <c r="G72" s="28">
        <f ca="1"/>
        <v>4238.5799346059221</v>
      </c>
      <c r="H72" s="28">
        <f ca="1"/>
        <v>4211.0965693723465</v>
      </c>
      <c r="I72" s="28">
        <f ca="1"/>
        <v>4185.0419687017366</v>
      </c>
      <c r="J72" s="28">
        <f ca="1"/>
        <v>4162.3627328568218</v>
      </c>
      <c r="K72" s="28">
        <f ca="1"/>
        <v>4144.7830029518855</v>
      </c>
      <c r="L72" s="28">
        <f ca="1"/>
        <v>4130.2112738700307</v>
      </c>
      <c r="M72" s="28">
        <f ca="1"/>
        <v>4115.5716341113894</v>
      </c>
      <c r="N72" s="28">
        <f ca="1"/>
        <v>4103.8647536855551</v>
      </c>
      <c r="O72" s="28">
        <f ca="1"/>
        <v>4095.8029335826282</v>
      </c>
      <c r="P72" s="28">
        <f ca="1"/>
        <v>4089.901680298005</v>
      </c>
      <c r="Q72" s="28">
        <f ca="1"/>
        <v>4084.9358442144699</v>
      </c>
      <c r="R72" s="28">
        <f ca="1"/>
        <v>4081.2714191341365</v>
      </c>
      <c r="S72" s="28">
        <f ca="1"/>
        <v>4078.478055344282</v>
      </c>
      <c r="T72" s="28">
        <f ca="1"/>
        <v>4078.1282159020557</v>
      </c>
      <c r="U72" s="28">
        <f ca="1"/>
        <v>4078.845749760219</v>
      </c>
      <c r="V72" s="28">
        <f ca="1"/>
        <v>4079.8990791705955</v>
      </c>
      <c r="W72" s="28">
        <f ca="1"/>
        <v>4081.4054861644736</v>
      </c>
      <c r="X72" s="28">
        <f ca="1"/>
        <v>4082.8290245918297</v>
      </c>
      <c r="Y72" s="28">
        <f ca="1"/>
        <v>4084.0085022903977</v>
      </c>
      <c r="Z72" s="28">
        <f ca="1"/>
        <v>4084.798919111769</v>
      </c>
      <c r="AA72" s="28">
        <f ca="1"/>
        <v>4085.3198564124186</v>
      </c>
      <c r="AB72" s="28">
        <f ca="1"/>
        <v>4085.3198564124186</v>
      </c>
      <c r="AC72" s="28">
        <f ca="1"/>
        <v>4085.3198564124186</v>
      </c>
      <c r="AD72" s="28">
        <f ca="1"/>
        <v>4085.3198564124186</v>
      </c>
      <c r="AE72" s="28">
        <f ca="1"/>
        <v>4085.3198564124186</v>
      </c>
      <c r="AF72" s="28">
        <f ca="1"/>
        <v>4085.3198564124186</v>
      </c>
      <c r="AG72" s="28">
        <f ca="1"/>
        <v>4085.3198564124186</v>
      </c>
      <c r="AH72" s="28">
        <f ca="1"/>
        <v>4085.3198564124186</v>
      </c>
      <c r="AI72" s="28">
        <f ca="1"/>
        <v>4085.3198564124186</v>
      </c>
      <c r="AJ72" s="28">
        <f ca="1"/>
        <v>4085.3198564124186</v>
      </c>
      <c r="AK72" s="29">
        <f ca="1"/>
        <v>4085.3198564124186</v>
      </c>
      <c r="AL72" s="3"/>
    </row>
    <row r="73" spans="2:38" hidden="1">
      <c r="B73" s="3"/>
      <c r="C73" s="12"/>
      <c r="D73" s="16"/>
      <c r="E73" s="141">
        <f t="array" aca="1" ref="E73:AK73" ca="1">tlccFubcElec5</f>
        <v>4254.9467532358676</v>
      </c>
      <c r="F73" s="28">
        <f ca="1"/>
        <v>4224.2161440136424</v>
      </c>
      <c r="G73" s="28">
        <f ca="1"/>
        <v>4193.2510351105311</v>
      </c>
      <c r="H73" s="28">
        <f ca="1"/>
        <v>4166.0615868773857</v>
      </c>
      <c r="I73" s="28">
        <f ca="1"/>
        <v>4140.2856234846877</v>
      </c>
      <c r="J73" s="28">
        <f ca="1"/>
        <v>4117.8489275512766</v>
      </c>
      <c r="K73" s="28">
        <f ca="1"/>
        <v>4100.45720160576</v>
      </c>
      <c r="L73" s="28">
        <f ca="1"/>
        <v>4086.0413078397937</v>
      </c>
      <c r="M73" s="28">
        <f ca="1"/>
        <v>4071.5582296582629</v>
      </c>
      <c r="N73" s="28">
        <f ca="1"/>
        <v>4059.9765468255887</v>
      </c>
      <c r="O73" s="28">
        <f ca="1"/>
        <v>4052.00094272869</v>
      </c>
      <c r="P73" s="28">
        <f ca="1"/>
        <v>4046.1627995708463</v>
      </c>
      <c r="Q73" s="28">
        <f ca="1"/>
        <v>4041.2500699258385</v>
      </c>
      <c r="R73" s="28">
        <f ca="1"/>
        <v>4037.6248335263231</v>
      </c>
      <c r="S73" s="28">
        <f ca="1"/>
        <v>4034.8613429743068</v>
      </c>
      <c r="T73" s="28">
        <f ca="1"/>
        <v>4034.5152448410004</v>
      </c>
      <c r="U73" s="28">
        <f ca="1"/>
        <v>4035.2251051338085</v>
      </c>
      <c r="V73" s="28">
        <f ca="1"/>
        <v>4036.2671698603249</v>
      </c>
      <c r="W73" s="28">
        <f ca="1"/>
        <v>4037.7574667955801</v>
      </c>
      <c r="X73" s="28">
        <f ca="1"/>
        <v>4039.1657813905917</v>
      </c>
      <c r="Y73" s="28">
        <f ca="1"/>
        <v>4040.3326453300992</v>
      </c>
      <c r="Z73" s="28">
        <f ca="1"/>
        <v>4041.1146091494725</v>
      </c>
      <c r="AA73" s="28">
        <f ca="1"/>
        <v>4041.6299753591179</v>
      </c>
      <c r="AB73" s="28">
        <f ca="1"/>
        <v>4041.6299753591179</v>
      </c>
      <c r="AC73" s="28">
        <f ca="1"/>
        <v>4041.6299753591179</v>
      </c>
      <c r="AD73" s="28">
        <f ca="1"/>
        <v>4041.6299753591179</v>
      </c>
      <c r="AE73" s="28">
        <f ca="1"/>
        <v>4041.6299753591179</v>
      </c>
      <c r="AF73" s="28">
        <f ca="1"/>
        <v>4041.6299753591179</v>
      </c>
      <c r="AG73" s="28">
        <f ca="1"/>
        <v>4041.6299753591179</v>
      </c>
      <c r="AH73" s="28">
        <f ca="1"/>
        <v>4041.6299753591179</v>
      </c>
      <c r="AI73" s="28">
        <f ca="1"/>
        <v>4041.6299753591179</v>
      </c>
      <c r="AJ73" s="28">
        <f ca="1"/>
        <v>4041.6299753591179</v>
      </c>
      <c r="AK73" s="29">
        <f ca="1"/>
        <v>4041.6299753591179</v>
      </c>
      <c r="AL73" s="3"/>
    </row>
    <row r="74" spans="2:38" hidden="1">
      <c r="B74" s="3"/>
      <c r="C74" s="4"/>
      <c r="D74" s="5"/>
      <c r="E74" s="147">
        <f t="array" aca="1" ref="E74:AK74" ca="1">tlccFubcElec6</f>
        <v>3974.9878112687502</v>
      </c>
      <c r="F74" s="35">
        <f ca="1"/>
        <v>3946.2791565721186</v>
      </c>
      <c r="G74" s="35">
        <f ca="1"/>
        <v>3917.3514313612504</v>
      </c>
      <c r="H74" s="35">
        <f ca="1"/>
        <v>3891.9509430379412</v>
      </c>
      <c r="I74" s="35">
        <f ca="1"/>
        <v>3867.8709377519144</v>
      </c>
      <c r="J74" s="35">
        <f ca="1"/>
        <v>3846.9104891181869</v>
      </c>
      <c r="K74" s="35">
        <f ca="1"/>
        <v>3830.6630710752261</v>
      </c>
      <c r="L74" s="35">
        <f ca="1"/>
        <v>3817.1956870322447</v>
      </c>
      <c r="M74" s="35">
        <f ca="1"/>
        <v>3803.6655390468541</v>
      </c>
      <c r="N74" s="35">
        <f ca="1"/>
        <v>3792.8458858846025</v>
      </c>
      <c r="O74" s="35">
        <f ca="1"/>
        <v>3785.3950455072072</v>
      </c>
      <c r="P74" s="35">
        <f ca="1"/>
        <v>3779.9410294551326</v>
      </c>
      <c r="Q74" s="35">
        <f ca="1"/>
        <v>3775.3515383071845</v>
      </c>
      <c r="R74" s="35">
        <f ca="1"/>
        <v>3771.9648283583265</v>
      </c>
      <c r="S74" s="35">
        <f ca="1"/>
        <v>3769.3831647329325</v>
      </c>
      <c r="T74" s="35">
        <f ca="1"/>
        <v>3769.0598385102603</v>
      </c>
      <c r="U74" s="35">
        <f ca="1"/>
        <v>3769.7229927576</v>
      </c>
      <c r="V74" s="35">
        <f ca="1"/>
        <v>3770.6964936793938</v>
      </c>
      <c r="W74" s="35">
        <f ca="1"/>
        <v>3772.0887348744936</v>
      </c>
      <c r="X74" s="35">
        <f ca="1"/>
        <v>3773.4043878483753</v>
      </c>
      <c r="Y74" s="35">
        <f ca="1"/>
        <v>3774.4944766804911</v>
      </c>
      <c r="Z74" s="35">
        <f ca="1"/>
        <v>3775.2249903228767</v>
      </c>
      <c r="AA74" s="35">
        <f ca="1"/>
        <v>3775.7064474410236</v>
      </c>
      <c r="AB74" s="35">
        <f ca="1"/>
        <v>3775.7064474410236</v>
      </c>
      <c r="AC74" s="35">
        <f ca="1"/>
        <v>3775.7064474410236</v>
      </c>
      <c r="AD74" s="35">
        <f ca="1"/>
        <v>3775.7064474410236</v>
      </c>
      <c r="AE74" s="35">
        <f ca="1"/>
        <v>3775.7064474410236</v>
      </c>
      <c r="AF74" s="35">
        <f ca="1"/>
        <v>3775.7064474410236</v>
      </c>
      <c r="AG74" s="35">
        <f ca="1"/>
        <v>3775.7064474410236</v>
      </c>
      <c r="AH74" s="35">
        <f ca="1"/>
        <v>3775.7064474410236</v>
      </c>
      <c r="AI74" s="35">
        <f ca="1"/>
        <v>3775.7064474410236</v>
      </c>
      <c r="AJ74" s="35">
        <f ca="1"/>
        <v>3775.7064474410236</v>
      </c>
      <c r="AK74" s="36">
        <f ca="1"/>
        <v>3775.7064474410236</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677.71472400000005</v>
      </c>
      <c r="F78" s="28">
        <f ca="1"/>
        <v>677.71472400000005</v>
      </c>
      <c r="G78" s="28">
        <f ca="1"/>
        <v>677.71472400000005</v>
      </c>
      <c r="H78" s="28">
        <f ca="1"/>
        <v>677.71472400000005</v>
      </c>
      <c r="I78" s="28">
        <f ca="1"/>
        <v>677.71472400000005</v>
      </c>
      <c r="J78" s="28">
        <f ca="1"/>
        <v>677.71472400000005</v>
      </c>
      <c r="K78" s="28">
        <f ca="1"/>
        <v>677.71472400000005</v>
      </c>
      <c r="L78" s="28">
        <f ca="1"/>
        <v>677.71472400000005</v>
      </c>
      <c r="M78" s="28">
        <f ca="1"/>
        <v>677.71472400000005</v>
      </c>
      <c r="N78" s="28">
        <f ca="1"/>
        <v>677.71472400000005</v>
      </c>
      <c r="O78" s="28">
        <f ca="1"/>
        <v>677.71472400000005</v>
      </c>
      <c r="P78" s="28">
        <f ca="1"/>
        <v>677.71472400000005</v>
      </c>
      <c r="Q78" s="28">
        <f ca="1"/>
        <v>677.71472400000005</v>
      </c>
      <c r="R78" s="28">
        <f ca="1"/>
        <v>677.71472400000005</v>
      </c>
      <c r="S78" s="28">
        <f ca="1"/>
        <v>677.71472400000005</v>
      </c>
      <c r="T78" s="28">
        <f ca="1"/>
        <v>677.71472400000005</v>
      </c>
      <c r="U78" s="28">
        <f ca="1"/>
        <v>677.71472400000005</v>
      </c>
      <c r="V78" s="28">
        <f ca="1"/>
        <v>677.71472400000005</v>
      </c>
      <c r="W78" s="28">
        <f ca="1"/>
        <v>677.71472400000005</v>
      </c>
      <c r="X78" s="28">
        <f ca="1"/>
        <v>677.71472400000005</v>
      </c>
      <c r="Y78" s="28">
        <f ca="1"/>
        <v>677.71472400000005</v>
      </c>
      <c r="Z78" s="28">
        <f ca="1"/>
        <v>677.71472400000005</v>
      </c>
      <c r="AA78" s="28">
        <f ca="1"/>
        <v>677.71472400000005</v>
      </c>
      <c r="AB78" s="28">
        <f ca="1"/>
        <v>677.71472400000005</v>
      </c>
      <c r="AC78" s="28">
        <f ca="1"/>
        <v>677.71472400000005</v>
      </c>
      <c r="AD78" s="28">
        <f ca="1"/>
        <v>677.71472400000005</v>
      </c>
      <c r="AE78" s="28">
        <f ca="1"/>
        <v>677.71472400000005</v>
      </c>
      <c r="AF78" s="28">
        <f ca="1"/>
        <v>677.71472400000005</v>
      </c>
      <c r="AG78" s="28">
        <f ca="1"/>
        <v>677.71472400000005</v>
      </c>
      <c r="AH78" s="28">
        <f ca="1"/>
        <v>677.71472400000005</v>
      </c>
      <c r="AI78" s="28">
        <f ca="1"/>
        <v>677.71472400000005</v>
      </c>
      <c r="AJ78" s="28">
        <f ca="1"/>
        <v>677.71472400000005</v>
      </c>
      <c r="AK78" s="29">
        <f ca="1"/>
        <v>677.71472400000005</v>
      </c>
      <c r="AL78" s="3"/>
    </row>
    <row r="79" spans="2:38" hidden="1">
      <c r="B79" s="3"/>
      <c r="C79" s="12"/>
      <c r="D79" s="16"/>
      <c r="E79" s="141">
        <f t="array" aca="1" ref="E79:AK79" ca="1">tlccQupol2</f>
        <v>326.82268499999998</v>
      </c>
      <c r="F79" s="28">
        <f ca="1"/>
        <v>326.82268499999998</v>
      </c>
      <c r="G79" s="28">
        <f ca="1"/>
        <v>326.82268499999998</v>
      </c>
      <c r="H79" s="28">
        <f ca="1"/>
        <v>326.82268499999998</v>
      </c>
      <c r="I79" s="28">
        <f ca="1"/>
        <v>326.82268499999998</v>
      </c>
      <c r="J79" s="28">
        <f ca="1"/>
        <v>326.82268499999998</v>
      </c>
      <c r="K79" s="28">
        <f ca="1"/>
        <v>326.82268499999998</v>
      </c>
      <c r="L79" s="28">
        <f ca="1"/>
        <v>326.82268499999998</v>
      </c>
      <c r="M79" s="28">
        <f ca="1"/>
        <v>326.82268499999998</v>
      </c>
      <c r="N79" s="28">
        <f ca="1"/>
        <v>326.82268499999998</v>
      </c>
      <c r="O79" s="28">
        <f ca="1"/>
        <v>326.82268499999998</v>
      </c>
      <c r="P79" s="28">
        <f ca="1"/>
        <v>326.82268499999998</v>
      </c>
      <c r="Q79" s="28">
        <f ca="1"/>
        <v>326.82268499999998</v>
      </c>
      <c r="R79" s="28">
        <f ca="1"/>
        <v>326.82268499999998</v>
      </c>
      <c r="S79" s="28">
        <f ca="1"/>
        <v>326.82268499999998</v>
      </c>
      <c r="T79" s="28">
        <f ca="1"/>
        <v>326.82268499999998</v>
      </c>
      <c r="U79" s="28">
        <f ca="1"/>
        <v>326.82268499999998</v>
      </c>
      <c r="V79" s="28">
        <f ca="1"/>
        <v>326.82268499999998</v>
      </c>
      <c r="W79" s="28">
        <f ca="1"/>
        <v>326.82268499999998</v>
      </c>
      <c r="X79" s="28">
        <f ca="1"/>
        <v>326.82268499999998</v>
      </c>
      <c r="Y79" s="28">
        <f ca="1"/>
        <v>326.82268499999998</v>
      </c>
      <c r="Z79" s="28">
        <f ca="1"/>
        <v>326.82268499999998</v>
      </c>
      <c r="AA79" s="28">
        <f ca="1"/>
        <v>326.82268499999998</v>
      </c>
      <c r="AB79" s="28">
        <f ca="1"/>
        <v>326.82268499999998</v>
      </c>
      <c r="AC79" s="28">
        <f ca="1"/>
        <v>326.82268499999998</v>
      </c>
      <c r="AD79" s="28">
        <f ca="1"/>
        <v>326.82268499999998</v>
      </c>
      <c r="AE79" s="28">
        <f ca="1"/>
        <v>326.82268499999998</v>
      </c>
      <c r="AF79" s="28">
        <f ca="1"/>
        <v>326.82268499999998</v>
      </c>
      <c r="AG79" s="28">
        <f ca="1"/>
        <v>326.82268499999998</v>
      </c>
      <c r="AH79" s="28">
        <f ca="1"/>
        <v>326.82268499999998</v>
      </c>
      <c r="AI79" s="28">
        <f ca="1"/>
        <v>326.82268499999998</v>
      </c>
      <c r="AJ79" s="28">
        <f ca="1"/>
        <v>326.82268499999998</v>
      </c>
      <c r="AK79" s="29">
        <f ca="1"/>
        <v>326.82268499999998</v>
      </c>
      <c r="AL79" s="3"/>
    </row>
    <row r="80" spans="2:38" hidden="1">
      <c r="B80" s="3"/>
      <c r="C80" s="12"/>
      <c r="D80" s="16"/>
      <c r="E80" s="141">
        <f t="array" aca="1" ref="E80:AK80" ca="1">tlccQupol3</f>
        <v>662.81799999999998</v>
      </c>
      <c r="F80" s="28">
        <f ca="1"/>
        <v>662.81799999999998</v>
      </c>
      <c r="G80" s="28">
        <f ca="1"/>
        <v>662.81799999999998</v>
      </c>
      <c r="H80" s="28">
        <f ca="1"/>
        <v>662.81799999999998</v>
      </c>
      <c r="I80" s="28">
        <f ca="1"/>
        <v>662.81799999999998</v>
      </c>
      <c r="J80" s="28">
        <f ca="1"/>
        <v>662.81799999999998</v>
      </c>
      <c r="K80" s="28">
        <f ca="1"/>
        <v>662.81799999999998</v>
      </c>
      <c r="L80" s="28">
        <f ca="1"/>
        <v>662.81799999999998</v>
      </c>
      <c r="M80" s="28">
        <f ca="1"/>
        <v>662.81799999999998</v>
      </c>
      <c r="N80" s="28">
        <f ca="1"/>
        <v>662.81799999999998</v>
      </c>
      <c r="O80" s="28">
        <f ca="1"/>
        <v>662.81799999999998</v>
      </c>
      <c r="P80" s="28">
        <f ca="1"/>
        <v>662.81799999999998</v>
      </c>
      <c r="Q80" s="28">
        <f ca="1"/>
        <v>662.81799999999998</v>
      </c>
      <c r="R80" s="28">
        <f ca="1"/>
        <v>662.81799999999998</v>
      </c>
      <c r="S80" s="28">
        <f ca="1"/>
        <v>662.81799999999998</v>
      </c>
      <c r="T80" s="28">
        <f ca="1"/>
        <v>662.81799999999998</v>
      </c>
      <c r="U80" s="28">
        <f ca="1"/>
        <v>662.81799999999998</v>
      </c>
      <c r="V80" s="28">
        <f ca="1"/>
        <v>662.81799999999998</v>
      </c>
      <c r="W80" s="28">
        <f ca="1"/>
        <v>662.81799999999998</v>
      </c>
      <c r="X80" s="28">
        <f ca="1"/>
        <v>662.81799999999998</v>
      </c>
      <c r="Y80" s="28">
        <f ca="1"/>
        <v>662.81799999999998</v>
      </c>
      <c r="Z80" s="28">
        <f ca="1"/>
        <v>662.81799999999998</v>
      </c>
      <c r="AA80" s="28">
        <f ca="1"/>
        <v>662.81799999999998</v>
      </c>
      <c r="AB80" s="28">
        <f ca="1"/>
        <v>662.81799999999998</v>
      </c>
      <c r="AC80" s="28">
        <f ca="1"/>
        <v>662.81799999999998</v>
      </c>
      <c r="AD80" s="28">
        <f ca="1"/>
        <v>662.81799999999998</v>
      </c>
      <c r="AE80" s="28">
        <f ca="1"/>
        <v>662.81799999999998</v>
      </c>
      <c r="AF80" s="28">
        <f ca="1"/>
        <v>662.81799999999998</v>
      </c>
      <c r="AG80" s="28">
        <f ca="1"/>
        <v>662.81799999999998</v>
      </c>
      <c r="AH80" s="28">
        <f ca="1"/>
        <v>662.81799999999998</v>
      </c>
      <c r="AI80" s="28">
        <f ca="1"/>
        <v>662.81799999999998</v>
      </c>
      <c r="AJ80" s="28">
        <f ca="1"/>
        <v>662.81799999999998</v>
      </c>
      <c r="AK80" s="29">
        <f ca="1"/>
        <v>662.81799999999998</v>
      </c>
      <c r="AL80" s="3"/>
    </row>
    <row r="81" spans="2:38" hidden="1">
      <c r="B81" s="3"/>
      <c r="C81" s="12"/>
      <c r="D81" s="16"/>
      <c r="E81" s="141">
        <f t="array" aca="1" ref="E81:AK81" ca="1">tlccQupol4</f>
        <v>1383.336994</v>
      </c>
      <c r="F81" s="28">
        <f ca="1"/>
        <v>1383.336994</v>
      </c>
      <c r="G81" s="28">
        <f ca="1"/>
        <v>1383.336994</v>
      </c>
      <c r="H81" s="28">
        <f ca="1"/>
        <v>1383.336994</v>
      </c>
      <c r="I81" s="28">
        <f ca="1"/>
        <v>1383.336994</v>
      </c>
      <c r="J81" s="28">
        <f ca="1"/>
        <v>1383.336994</v>
      </c>
      <c r="K81" s="28">
        <f ca="1"/>
        <v>1383.336994</v>
      </c>
      <c r="L81" s="28">
        <f ca="1"/>
        <v>1383.336994</v>
      </c>
      <c r="M81" s="28">
        <f ca="1"/>
        <v>1383.336994</v>
      </c>
      <c r="N81" s="28">
        <f ca="1"/>
        <v>1383.336994</v>
      </c>
      <c r="O81" s="28">
        <f ca="1"/>
        <v>1383.336994</v>
      </c>
      <c r="P81" s="28">
        <f ca="1"/>
        <v>1383.336994</v>
      </c>
      <c r="Q81" s="28">
        <f ca="1"/>
        <v>1383.336994</v>
      </c>
      <c r="R81" s="28">
        <f ca="1"/>
        <v>1383.336994</v>
      </c>
      <c r="S81" s="28">
        <f ca="1"/>
        <v>1383.336994</v>
      </c>
      <c r="T81" s="28">
        <f ca="1"/>
        <v>1383.336994</v>
      </c>
      <c r="U81" s="28">
        <f ca="1"/>
        <v>1383.336994</v>
      </c>
      <c r="V81" s="28">
        <f ca="1"/>
        <v>1383.336994</v>
      </c>
      <c r="W81" s="28">
        <f ca="1"/>
        <v>1383.336994</v>
      </c>
      <c r="X81" s="28">
        <f ca="1"/>
        <v>1383.336994</v>
      </c>
      <c r="Y81" s="28">
        <f ca="1"/>
        <v>1383.336994</v>
      </c>
      <c r="Z81" s="28">
        <f ca="1"/>
        <v>1383.336994</v>
      </c>
      <c r="AA81" s="28">
        <f ca="1"/>
        <v>1383.336994</v>
      </c>
      <c r="AB81" s="28">
        <f ca="1"/>
        <v>1383.336994</v>
      </c>
      <c r="AC81" s="28">
        <f ca="1"/>
        <v>1383.336994</v>
      </c>
      <c r="AD81" s="28">
        <f ca="1"/>
        <v>1383.336994</v>
      </c>
      <c r="AE81" s="28">
        <f ca="1"/>
        <v>1383.336994</v>
      </c>
      <c r="AF81" s="28">
        <f ca="1"/>
        <v>1383.336994</v>
      </c>
      <c r="AG81" s="28">
        <f ca="1"/>
        <v>1383.336994</v>
      </c>
      <c r="AH81" s="28">
        <f ca="1"/>
        <v>1383.336994</v>
      </c>
      <c r="AI81" s="28">
        <f ca="1"/>
        <v>1383.336994</v>
      </c>
      <c r="AJ81" s="28">
        <f ca="1"/>
        <v>1383.336994</v>
      </c>
      <c r="AK81" s="29">
        <f ca="1"/>
        <v>1383.336994</v>
      </c>
      <c r="AL81" s="3"/>
    </row>
    <row r="82" spans="2:38" hidden="1">
      <c r="B82" s="3"/>
      <c r="C82" s="12"/>
      <c r="D82" s="16"/>
      <c r="E82" s="141">
        <f t="array" aca="1" ref="E82:AK82" ca="1">tlccQupol5</f>
        <v>1264.3701199999998</v>
      </c>
      <c r="F82" s="28">
        <f ca="1"/>
        <v>1264.3701199999998</v>
      </c>
      <c r="G82" s="28">
        <f ca="1"/>
        <v>1264.3701199999998</v>
      </c>
      <c r="H82" s="28">
        <f ca="1"/>
        <v>1264.3701199999998</v>
      </c>
      <c r="I82" s="28">
        <f ca="1"/>
        <v>1264.3701199999998</v>
      </c>
      <c r="J82" s="28">
        <f ca="1"/>
        <v>1264.3701199999998</v>
      </c>
      <c r="K82" s="28">
        <f ca="1"/>
        <v>1264.3701199999998</v>
      </c>
      <c r="L82" s="28">
        <f ca="1"/>
        <v>1264.3701199999998</v>
      </c>
      <c r="M82" s="28">
        <f ca="1"/>
        <v>1264.3701199999998</v>
      </c>
      <c r="N82" s="28">
        <f ca="1"/>
        <v>1264.3701199999998</v>
      </c>
      <c r="O82" s="28">
        <f ca="1"/>
        <v>1264.3701199999998</v>
      </c>
      <c r="P82" s="28">
        <f ca="1"/>
        <v>1264.3701199999998</v>
      </c>
      <c r="Q82" s="28">
        <f ca="1"/>
        <v>1264.3701199999998</v>
      </c>
      <c r="R82" s="28">
        <f ca="1"/>
        <v>1264.3701199999998</v>
      </c>
      <c r="S82" s="28">
        <f ca="1"/>
        <v>1264.3701199999998</v>
      </c>
      <c r="T82" s="28">
        <f ca="1"/>
        <v>1264.3701199999998</v>
      </c>
      <c r="U82" s="28">
        <f ca="1"/>
        <v>1264.3701199999998</v>
      </c>
      <c r="V82" s="28">
        <f ca="1"/>
        <v>1264.3701199999998</v>
      </c>
      <c r="W82" s="28">
        <f ca="1"/>
        <v>1264.3701199999998</v>
      </c>
      <c r="X82" s="28">
        <f ca="1"/>
        <v>1264.3701199999998</v>
      </c>
      <c r="Y82" s="28">
        <f ca="1"/>
        <v>1264.3701199999998</v>
      </c>
      <c r="Z82" s="28">
        <f ca="1"/>
        <v>1264.3701199999998</v>
      </c>
      <c r="AA82" s="28">
        <f ca="1"/>
        <v>1264.3701199999998</v>
      </c>
      <c r="AB82" s="28">
        <f ca="1"/>
        <v>1264.3701199999998</v>
      </c>
      <c r="AC82" s="28">
        <f ca="1"/>
        <v>1264.3701199999998</v>
      </c>
      <c r="AD82" s="28">
        <f ca="1"/>
        <v>1264.3701199999998</v>
      </c>
      <c r="AE82" s="28">
        <f ca="1"/>
        <v>1264.3701199999998</v>
      </c>
      <c r="AF82" s="28">
        <f ca="1"/>
        <v>1264.3701199999998</v>
      </c>
      <c r="AG82" s="28">
        <f ca="1"/>
        <v>1264.3701199999998</v>
      </c>
      <c r="AH82" s="28">
        <f ca="1"/>
        <v>1264.3701199999998</v>
      </c>
      <c r="AI82" s="28">
        <f ca="1"/>
        <v>1264.3701199999998</v>
      </c>
      <c r="AJ82" s="28">
        <f ca="1"/>
        <v>1264.3701199999998</v>
      </c>
      <c r="AK82" s="29">
        <f ca="1"/>
        <v>1264.3701199999998</v>
      </c>
      <c r="AL82" s="3"/>
    </row>
    <row r="83" spans="2:38" hidden="1">
      <c r="B83" s="3"/>
      <c r="C83" s="4"/>
      <c r="D83" s="5"/>
      <c r="E83" s="147">
        <f t="array" aca="1" ref="E83:AK83" ca="1">tlccQupol6</f>
        <v>1119.3204619999999</v>
      </c>
      <c r="F83" s="35">
        <f ca="1"/>
        <v>1119.3204619999999</v>
      </c>
      <c r="G83" s="35">
        <f ca="1"/>
        <v>1119.3204619999999</v>
      </c>
      <c r="H83" s="35">
        <f ca="1"/>
        <v>1119.3204619999999</v>
      </c>
      <c r="I83" s="35">
        <f ca="1"/>
        <v>1119.3204619999999</v>
      </c>
      <c r="J83" s="35">
        <f ca="1"/>
        <v>1119.3204619999999</v>
      </c>
      <c r="K83" s="35">
        <f ca="1"/>
        <v>1119.3204619999999</v>
      </c>
      <c r="L83" s="35">
        <f ca="1"/>
        <v>1119.3204619999999</v>
      </c>
      <c r="M83" s="35">
        <f ca="1"/>
        <v>1119.3204619999999</v>
      </c>
      <c r="N83" s="35">
        <f ca="1"/>
        <v>1119.3204619999999</v>
      </c>
      <c r="O83" s="35">
        <f ca="1"/>
        <v>1119.3204619999999</v>
      </c>
      <c r="P83" s="35">
        <f ca="1"/>
        <v>1119.3204619999999</v>
      </c>
      <c r="Q83" s="35">
        <f ca="1"/>
        <v>1119.3204619999999</v>
      </c>
      <c r="R83" s="35">
        <f ca="1"/>
        <v>1119.3204619999999</v>
      </c>
      <c r="S83" s="35">
        <f ca="1"/>
        <v>1119.3204619999999</v>
      </c>
      <c r="T83" s="35">
        <f ca="1"/>
        <v>1119.3204619999999</v>
      </c>
      <c r="U83" s="35">
        <f ca="1"/>
        <v>1119.3204619999999</v>
      </c>
      <c r="V83" s="35">
        <f ca="1"/>
        <v>1119.3204619999999</v>
      </c>
      <c r="W83" s="35">
        <f ca="1"/>
        <v>1119.3204619999999</v>
      </c>
      <c r="X83" s="35">
        <f ca="1"/>
        <v>1119.3204619999999</v>
      </c>
      <c r="Y83" s="35">
        <f ca="1"/>
        <v>1119.3204619999999</v>
      </c>
      <c r="Z83" s="35">
        <f ca="1"/>
        <v>1119.3204619999999</v>
      </c>
      <c r="AA83" s="35">
        <f ca="1"/>
        <v>1119.3204619999999</v>
      </c>
      <c r="AB83" s="35">
        <f ca="1"/>
        <v>1119.3204619999999</v>
      </c>
      <c r="AC83" s="35">
        <f ca="1"/>
        <v>1119.3204619999999</v>
      </c>
      <c r="AD83" s="35">
        <f ca="1"/>
        <v>1119.3204619999999</v>
      </c>
      <c r="AE83" s="35">
        <f ca="1"/>
        <v>1119.3204619999999</v>
      </c>
      <c r="AF83" s="35">
        <f ca="1"/>
        <v>1119.3204619999999</v>
      </c>
      <c r="AG83" s="35">
        <f ca="1"/>
        <v>1119.3204619999999</v>
      </c>
      <c r="AH83" s="35">
        <f ca="1"/>
        <v>1119.3204619999999</v>
      </c>
      <c r="AI83" s="35">
        <f ca="1"/>
        <v>1119.3204619999999</v>
      </c>
      <c r="AJ83" s="35">
        <f ca="1"/>
        <v>1119.3204619999999</v>
      </c>
      <c r="AK83" s="36">
        <f ca="1"/>
        <v>1119.3204619999999</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8213.1072006465474</v>
      </c>
      <c r="F87" s="28">
        <f ca="1"/>
        <v>8249.2563766612748</v>
      </c>
      <c r="G87" s="28">
        <f ca="1"/>
        <v>8281.2772464744103</v>
      </c>
      <c r="H87" s="28">
        <f ca="1"/>
        <v>8316.149659430519</v>
      </c>
      <c r="I87" s="28">
        <f ca="1"/>
        <v>8346.8112856666485</v>
      </c>
      <c r="J87" s="28">
        <f ca="1"/>
        <v>8380.2532228962773</v>
      </c>
      <c r="K87" s="28">
        <f ca="1"/>
        <v>8409.4065103603152</v>
      </c>
      <c r="L87" s="28">
        <f ca="1"/>
        <v>8441.238813139993</v>
      </c>
      <c r="M87" s="28">
        <f ca="1"/>
        <v>8475.9302833263409</v>
      </c>
      <c r="N87" s="28">
        <f ca="1"/>
        <v>8506.4051196964956</v>
      </c>
      <c r="O87" s="28">
        <f ca="1"/>
        <v>8539.6610333701465</v>
      </c>
      <c r="P87" s="28">
        <f ca="1"/>
        <v>8575.9241432461458</v>
      </c>
      <c r="Q87" s="28">
        <f ca="1"/>
        <v>8608.071758281154</v>
      </c>
      <c r="R87" s="28">
        <f ca="1"/>
        <v>8643.1272153411901</v>
      </c>
      <c r="S87" s="28">
        <f ca="1"/>
        <v>8674.0035093097122</v>
      </c>
      <c r="T87" s="28">
        <f ca="1"/>
        <v>8707.7100897294149</v>
      </c>
      <c r="U87" s="28">
        <f ca="1"/>
        <v>8744.4603379324781</v>
      </c>
      <c r="V87" s="28">
        <f ca="1"/>
        <v>8777.1541148286087</v>
      </c>
      <c r="W87" s="28">
        <f ca="1"/>
        <v>8812.8128660574002</v>
      </c>
      <c r="X87" s="28">
        <f ca="1"/>
        <v>8844.3376365202566</v>
      </c>
      <c r="Y87" s="28">
        <f ca="1"/>
        <v>8878.7643310264375</v>
      </c>
      <c r="Z87" s="28">
        <f ca="1"/>
        <v>8916.2860240508435</v>
      </c>
      <c r="AA87" s="28">
        <f ca="1"/>
        <v>8949.8235832868249</v>
      </c>
      <c r="AB87" s="28">
        <f ca="1"/>
        <v>8986.407025587383</v>
      </c>
      <c r="AC87" s="28">
        <f ca="1"/>
        <v>9018.9434227574056</v>
      </c>
      <c r="AD87" s="28">
        <f ca="1"/>
        <v>9054.442731791296</v>
      </c>
      <c r="AE87" s="28">
        <f ca="1"/>
        <v>9093.1131315525927</v>
      </c>
      <c r="AF87" s="28">
        <f ca="1"/>
        <v>9127.9049304858618</v>
      </c>
      <c r="AG87" s="28">
        <f ca="1"/>
        <v>9165.8391017039903</v>
      </c>
      <c r="AH87" s="28">
        <f ca="1"/>
        <v>9199.8384175900501</v>
      </c>
      <c r="AI87" s="28">
        <f ca="1"/>
        <v>9236.9440790147801</v>
      </c>
      <c r="AJ87" s="28">
        <f ca="1"/>
        <v>9270.0530067792224</v>
      </c>
      <c r="AK87" s="29">
        <f ca="1"/>
        <v>9306.1940348619155</v>
      </c>
      <c r="AL87" s="3"/>
    </row>
    <row r="88" spans="2:38" hidden="1">
      <c r="B88" s="3"/>
      <c r="C88" s="12"/>
      <c r="D88" s="16"/>
      <c r="E88" s="141">
        <f t="array" aca="1" ref="E88:AK88" ca="1">tlccEupol2</f>
        <v>2590.4519939046922</v>
      </c>
      <c r="F88" s="28">
        <f ca="1"/>
        <v>2601.8536111973531</v>
      </c>
      <c r="G88" s="28">
        <f ca="1"/>
        <v>2611.9531416220229</v>
      </c>
      <c r="H88" s="28">
        <f ca="1"/>
        <v>2622.9520619414006</v>
      </c>
      <c r="I88" s="28">
        <f ca="1"/>
        <v>2632.6228806558424</v>
      </c>
      <c r="J88" s="28">
        <f ca="1"/>
        <v>2643.1706223156248</v>
      </c>
      <c r="K88" s="28">
        <f ca="1"/>
        <v>2652.3657040057974</v>
      </c>
      <c r="L88" s="28">
        <f ca="1"/>
        <v>2662.4057595160552</v>
      </c>
      <c r="M88" s="28">
        <f ca="1"/>
        <v>2673.3476096490517</v>
      </c>
      <c r="N88" s="28">
        <f ca="1"/>
        <v>2682.959513975929</v>
      </c>
      <c r="O88" s="28">
        <f ca="1"/>
        <v>2693.448582945864</v>
      </c>
      <c r="P88" s="28">
        <f ca="1"/>
        <v>2704.886135505275</v>
      </c>
      <c r="Q88" s="28">
        <f ca="1"/>
        <v>2715.0256419590746</v>
      </c>
      <c r="R88" s="28">
        <f ca="1"/>
        <v>2726.0822952353469</v>
      </c>
      <c r="S88" s="28">
        <f ca="1"/>
        <v>2735.8208211453502</v>
      </c>
      <c r="T88" s="28">
        <f ca="1"/>
        <v>2746.45203249117</v>
      </c>
      <c r="U88" s="28">
        <f ca="1"/>
        <v>2758.0432307317874</v>
      </c>
      <c r="V88" s="28">
        <f ca="1"/>
        <v>2768.3549991623959</v>
      </c>
      <c r="W88" s="28">
        <f ca="1"/>
        <v>2779.6019342095246</v>
      </c>
      <c r="X88" s="28">
        <f ca="1"/>
        <v>2789.544992604825</v>
      </c>
      <c r="Y88" s="28">
        <f ca="1"/>
        <v>2800.4033312638003</v>
      </c>
      <c r="Z88" s="28">
        <f ca="1"/>
        <v>2812.2378467687372</v>
      </c>
      <c r="AA88" s="28">
        <f ca="1"/>
        <v>2822.8157480515438</v>
      </c>
      <c r="AB88" s="28">
        <f ca="1"/>
        <v>2834.3543349390884</v>
      </c>
      <c r="AC88" s="28">
        <f ca="1"/>
        <v>2844.6164650762557</v>
      </c>
      <c r="AD88" s="28">
        <f ca="1"/>
        <v>2855.8131113177465</v>
      </c>
      <c r="AE88" s="28">
        <f ca="1"/>
        <v>2868.009934239878</v>
      </c>
      <c r="AF88" s="28">
        <f ca="1"/>
        <v>2878.9834285236398</v>
      </c>
      <c r="AG88" s="28">
        <f ca="1"/>
        <v>2890.948041558448</v>
      </c>
      <c r="AH88" s="28">
        <f ca="1"/>
        <v>2901.6715830241556</v>
      </c>
      <c r="AI88" s="28">
        <f ca="1"/>
        <v>2913.3748802385485</v>
      </c>
      <c r="AJ88" s="28">
        <f ca="1"/>
        <v>2923.817589172957</v>
      </c>
      <c r="AK88" s="29">
        <f ca="1"/>
        <v>2935.2166365701719</v>
      </c>
      <c r="AL88" s="3"/>
    </row>
    <row r="89" spans="2:38" hidden="1">
      <c r="B89" s="3"/>
      <c r="C89" s="12"/>
      <c r="D89" s="16"/>
      <c r="E89" s="141">
        <f t="array" aca="1" ref="E89:AK89" ca="1">tlccEupol3</f>
        <v>17079.111159336699</v>
      </c>
      <c r="F89" s="28">
        <f ca="1"/>
        <v>17154.283171632531</v>
      </c>
      <c r="G89" s="28">
        <f ca="1"/>
        <v>17220.870393934238</v>
      </c>
      <c r="H89" s="28">
        <f ca="1"/>
        <v>17293.387384486228</v>
      </c>
      <c r="I89" s="28">
        <f ca="1"/>
        <v>17357.148067260656</v>
      </c>
      <c r="J89" s="28">
        <f ca="1"/>
        <v>17426.690391423112</v>
      </c>
      <c r="K89" s="28">
        <f ca="1"/>
        <v>17487.314492033809</v>
      </c>
      <c r="L89" s="28">
        <f ca="1"/>
        <v>17553.509590228663</v>
      </c>
      <c r="M89" s="28">
        <f ca="1"/>
        <v>17625.650311288129</v>
      </c>
      <c r="N89" s="28">
        <f ca="1"/>
        <v>17689.022565565716</v>
      </c>
      <c r="O89" s="28">
        <f ca="1"/>
        <v>17758.178054768759</v>
      </c>
      <c r="P89" s="28">
        <f ca="1"/>
        <v>17833.586991901193</v>
      </c>
      <c r="Q89" s="28">
        <f ca="1"/>
        <v>17900.437780193257</v>
      </c>
      <c r="R89" s="28">
        <f ca="1"/>
        <v>17973.335409950552</v>
      </c>
      <c r="S89" s="28">
        <f ca="1"/>
        <v>18037.54249309142</v>
      </c>
      <c r="T89" s="28">
        <f ca="1"/>
        <v>18107.63514130914</v>
      </c>
      <c r="U89" s="28">
        <f ca="1"/>
        <v>18184.057079907954</v>
      </c>
      <c r="V89" s="28">
        <f ca="1"/>
        <v>18252.043608780183</v>
      </c>
      <c r="W89" s="28">
        <f ca="1"/>
        <v>18326.195785436503</v>
      </c>
      <c r="X89" s="28">
        <f ca="1"/>
        <v>18391.751371873437</v>
      </c>
      <c r="Y89" s="28">
        <f ca="1"/>
        <v>18463.341493365257</v>
      </c>
      <c r="Z89" s="28">
        <f ca="1"/>
        <v>18541.367647218442</v>
      </c>
      <c r="AA89" s="28">
        <f ca="1"/>
        <v>18611.108816816119</v>
      </c>
      <c r="AB89" s="28">
        <f ca="1"/>
        <v>18687.183883459984</v>
      </c>
      <c r="AC89" s="28">
        <f ca="1"/>
        <v>18754.843142059141</v>
      </c>
      <c r="AD89" s="28">
        <f ca="1"/>
        <v>18828.663759549891</v>
      </c>
      <c r="AE89" s="28">
        <f ca="1"/>
        <v>18909.078642731645</v>
      </c>
      <c r="AF89" s="28">
        <f ca="1"/>
        <v>18981.427996867398</v>
      </c>
      <c r="AG89" s="28">
        <f ca="1"/>
        <v>19060.311896851163</v>
      </c>
      <c r="AH89" s="28">
        <f ca="1"/>
        <v>19131.013286857815</v>
      </c>
      <c r="AI89" s="28">
        <f ca="1"/>
        <v>19208.174305292334</v>
      </c>
      <c r="AJ89" s="28">
        <f ca="1"/>
        <v>19277.024138107248</v>
      </c>
      <c r="AK89" s="29">
        <f ca="1"/>
        <v>19352.179206823312</v>
      </c>
      <c r="AL89" s="3"/>
    </row>
    <row r="90" spans="2:38" hidden="1">
      <c r="B90" s="3"/>
      <c r="C90" s="12"/>
      <c r="D90" s="16"/>
      <c r="E90" s="141">
        <f t="array" aca="1" ref="E90:AK90" ca="1">tlccEupol4</f>
        <v>19707.579712956962</v>
      </c>
      <c r="F90" s="28">
        <f ca="1"/>
        <v>19794.320668659064</v>
      </c>
      <c r="G90" s="28">
        <f ca="1"/>
        <v>19871.155638531483</v>
      </c>
      <c r="H90" s="28">
        <f ca="1"/>
        <v>19954.83296567772</v>
      </c>
      <c r="I90" s="28">
        <f ca="1"/>
        <v>20028.406392690798</v>
      </c>
      <c r="J90" s="28">
        <f ca="1"/>
        <v>20108.651253449068</v>
      </c>
      <c r="K90" s="28">
        <f ca="1"/>
        <v>20178.605379525376</v>
      </c>
      <c r="L90" s="28">
        <f ca="1"/>
        <v>20254.987877543659</v>
      </c>
      <c r="M90" s="28">
        <f ca="1"/>
        <v>20338.231027469104</v>
      </c>
      <c r="N90" s="28">
        <f ca="1"/>
        <v>20411.356246991018</v>
      </c>
      <c r="O90" s="28">
        <f ca="1"/>
        <v>20491.154739040292</v>
      </c>
      <c r="P90" s="28">
        <f ca="1"/>
        <v>20578.169082219043</v>
      </c>
      <c r="Q90" s="28">
        <f ca="1"/>
        <v>20655.308180785065</v>
      </c>
      <c r="R90" s="28">
        <f ca="1"/>
        <v>20739.424727362039</v>
      </c>
      <c r="S90" s="28">
        <f ca="1"/>
        <v>20813.513255584032</v>
      </c>
      <c r="T90" s="28">
        <f ca="1"/>
        <v>20894.393135055256</v>
      </c>
      <c r="U90" s="28">
        <f ca="1"/>
        <v>20982.576380231429</v>
      </c>
      <c r="V90" s="28">
        <f ca="1"/>
        <v>21061.02600941042</v>
      </c>
      <c r="W90" s="28">
        <f ca="1"/>
        <v>21146.590177165417</v>
      </c>
      <c r="X90" s="28">
        <f ca="1"/>
        <v>21222.234742815373</v>
      </c>
      <c r="Y90" s="28">
        <f ca="1"/>
        <v>21304.842556114188</v>
      </c>
      <c r="Z90" s="28">
        <f ca="1"/>
        <v>21394.876904647408</v>
      </c>
      <c r="AA90" s="28">
        <f ca="1"/>
        <v>21475.351213075901</v>
      </c>
      <c r="AB90" s="28">
        <f ca="1"/>
        <v>21563.134202838381</v>
      </c>
      <c r="AC90" s="28">
        <f ca="1"/>
        <v>21641.206194976763</v>
      </c>
      <c r="AD90" s="28">
        <f ca="1"/>
        <v>21726.387776739779</v>
      </c>
      <c r="AE90" s="28">
        <f ca="1"/>
        <v>21819.178479114616</v>
      </c>
      <c r="AF90" s="28">
        <f ca="1"/>
        <v>21902.662370665505</v>
      </c>
      <c r="AG90" s="28">
        <f ca="1"/>
        <v>21993.686472124631</v>
      </c>
      <c r="AH90" s="28">
        <f ca="1"/>
        <v>22075.268778508951</v>
      </c>
      <c r="AI90" s="28">
        <f ca="1"/>
        <v>22164.304847619576</v>
      </c>
      <c r="AJ90" s="28">
        <f ca="1"/>
        <v>22243.7506428817</v>
      </c>
      <c r="AK90" s="29">
        <f ca="1"/>
        <v>22330.472047393709</v>
      </c>
      <c r="AL90" s="3"/>
    </row>
    <row r="91" spans="2:38" hidden="1">
      <c r="B91" s="3"/>
      <c r="C91" s="12"/>
      <c r="D91" s="16"/>
      <c r="E91" s="141">
        <f t="array" aca="1" ref="E91:AK91" ca="1">tlccEupol5</f>
        <v>19496.8197617732</v>
      </c>
      <c r="F91" s="28">
        <f ca="1"/>
        <v>19582.633078472671</v>
      </c>
      <c r="G91" s="28">
        <f ca="1"/>
        <v>19658.646347520556</v>
      </c>
      <c r="H91" s="28">
        <f ca="1"/>
        <v>19741.428799210684</v>
      </c>
      <c r="I91" s="28">
        <f ca="1"/>
        <v>19814.215405512557</v>
      </c>
      <c r="J91" s="28">
        <f ca="1"/>
        <v>19893.602098845786</v>
      </c>
      <c r="K91" s="28">
        <f ca="1"/>
        <v>19962.808110317892</v>
      </c>
      <c r="L91" s="28">
        <f ca="1"/>
        <v>20038.373746408517</v>
      </c>
      <c r="M91" s="28">
        <f ca="1"/>
        <v>20120.726664125323</v>
      </c>
      <c r="N91" s="28">
        <f ca="1"/>
        <v>20193.069856228278</v>
      </c>
      <c r="O91" s="28">
        <f ca="1"/>
        <v>20272.014954480172</v>
      </c>
      <c r="P91" s="28">
        <f ca="1"/>
        <v>20358.0987349522</v>
      </c>
      <c r="Q91" s="28">
        <f ca="1"/>
        <v>20434.41288023195</v>
      </c>
      <c r="R91" s="28">
        <f ca="1"/>
        <v>20517.629854182109</v>
      </c>
      <c r="S91" s="28">
        <f ca="1"/>
        <v>20590.926053015181</v>
      </c>
      <c r="T91" s="28">
        <f ca="1"/>
        <v>20670.940973942674</v>
      </c>
      <c r="U91" s="28">
        <f ca="1"/>
        <v>20758.181155753427</v>
      </c>
      <c r="V91" s="28">
        <f ca="1"/>
        <v>20835.79181636007</v>
      </c>
      <c r="W91" s="28">
        <f ca="1"/>
        <v>20920.440930106317</v>
      </c>
      <c r="X91" s="28">
        <f ca="1"/>
        <v>20995.276525542995</v>
      </c>
      <c r="Y91" s="28">
        <f ca="1"/>
        <v>21077.00090115175</v>
      </c>
      <c r="Z91" s="28">
        <f ca="1"/>
        <v>21166.072389953926</v>
      </c>
      <c r="AA91" s="28">
        <f ca="1"/>
        <v>21245.68607716139</v>
      </c>
      <c r="AB91" s="28">
        <f ca="1"/>
        <v>21332.53028403391</v>
      </c>
      <c r="AC91" s="28">
        <f ca="1"/>
        <v>21409.7673461864</v>
      </c>
      <c r="AD91" s="28">
        <f ca="1"/>
        <v>21494.037965452968</v>
      </c>
      <c r="AE91" s="28">
        <f ca="1"/>
        <v>21585.836330656639</v>
      </c>
      <c r="AF91" s="28">
        <f ca="1"/>
        <v>21668.427415421294</v>
      </c>
      <c r="AG91" s="28">
        <f ca="1"/>
        <v>21758.478072375325</v>
      </c>
      <c r="AH91" s="28">
        <f ca="1"/>
        <v>21839.187908209686</v>
      </c>
      <c r="AI91" s="28">
        <f ca="1"/>
        <v>21927.271793548764</v>
      </c>
      <c r="AJ91" s="28">
        <f ca="1"/>
        <v>22005.867966879858</v>
      </c>
      <c r="AK91" s="29">
        <f ca="1"/>
        <v>22091.661941476708</v>
      </c>
      <c r="AL91" s="3"/>
    </row>
    <row r="92" spans="2:38" hidden="1">
      <c r="B92" s="3"/>
      <c r="C92" s="4"/>
      <c r="D92" s="5"/>
      <c r="E92" s="147">
        <f t="array" aca="1" ref="E92:AK92" ca="1">tlccEupol6</f>
        <v>18214.004876233528</v>
      </c>
      <c r="F92" s="35">
        <f ca="1"/>
        <v>18294.17201056148</v>
      </c>
      <c r="G92" s="35">
        <f ca="1"/>
        <v>18365.183902245037</v>
      </c>
      <c r="H92" s="35">
        <f ca="1"/>
        <v>18442.519590689317</v>
      </c>
      <c r="I92" s="35">
        <f ca="1"/>
        <v>18510.517121481811</v>
      </c>
      <c r="J92" s="35">
        <f ca="1"/>
        <v>18584.68047925744</v>
      </c>
      <c r="K92" s="35">
        <f ca="1"/>
        <v>18649.333004429205</v>
      </c>
      <c r="L92" s="35">
        <f ca="1"/>
        <v>18719.92671566251</v>
      </c>
      <c r="M92" s="35">
        <f ca="1"/>
        <v>18796.861131797745</v>
      </c>
      <c r="N92" s="35">
        <f ca="1"/>
        <v>18864.444423320445</v>
      </c>
      <c r="O92" s="35">
        <f ca="1"/>
        <v>18938.195241253015</v>
      </c>
      <c r="P92" s="35">
        <f ca="1"/>
        <v>19018.615043889578</v>
      </c>
      <c r="Q92" s="35">
        <f ca="1"/>
        <v>19089.908015319528</v>
      </c>
      <c r="R92" s="35">
        <f ca="1"/>
        <v>19167.649636149679</v>
      </c>
      <c r="S92" s="35">
        <f ca="1"/>
        <v>19236.123230267436</v>
      </c>
      <c r="T92" s="35">
        <f ca="1"/>
        <v>19310.873480705828</v>
      </c>
      <c r="U92" s="35">
        <f ca="1"/>
        <v>19392.373597972131</v>
      </c>
      <c r="V92" s="35">
        <f ca="1"/>
        <v>19464.877779064718</v>
      </c>
      <c r="W92" s="35">
        <f ca="1"/>
        <v>19543.957310464302</v>
      </c>
      <c r="X92" s="35">
        <f ca="1"/>
        <v>19613.869014878364</v>
      </c>
      <c r="Y92" s="35">
        <f ca="1"/>
        <v>19690.216244530835</v>
      </c>
      <c r="Z92" s="35">
        <f ca="1"/>
        <v>19773.427175913457</v>
      </c>
      <c r="AA92" s="35">
        <f ca="1"/>
        <v>19847.802592249569</v>
      </c>
      <c r="AB92" s="35">
        <f ca="1"/>
        <v>19928.932788187991</v>
      </c>
      <c r="AC92" s="35">
        <f ca="1"/>
        <v>20001.087952151167</v>
      </c>
      <c r="AD92" s="35">
        <f ca="1"/>
        <v>20079.813892535258</v>
      </c>
      <c r="AE92" s="35">
        <f ca="1"/>
        <v>20165.572282461395</v>
      </c>
      <c r="AF92" s="35">
        <f ca="1"/>
        <v>20242.729195179349</v>
      </c>
      <c r="AG92" s="35">
        <f ca="1"/>
        <v>20326.854869259016</v>
      </c>
      <c r="AH92" s="35">
        <f ca="1"/>
        <v>20402.254311907043</v>
      </c>
      <c r="AI92" s="35">
        <f ca="1"/>
        <v>20484.542620292046</v>
      </c>
      <c r="AJ92" s="35">
        <f ca="1"/>
        <v>20557.967471206088</v>
      </c>
      <c r="AK92" s="36">
        <f ca="1"/>
        <v>20638.116536066518</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1792.4120058742783</v>
      </c>
      <c r="F96" s="28">
        <f ca="1"/>
        <v>1779.4666234494907</v>
      </c>
      <c r="G96" s="28">
        <f ca="1"/>
        <v>1766.4224571696348</v>
      </c>
      <c r="H96" s="28">
        <f ca="1"/>
        <v>1754.9688018661641</v>
      </c>
      <c r="I96" s="28">
        <f ca="1"/>
        <v>1744.1105822626137</v>
      </c>
      <c r="J96" s="28">
        <f ca="1"/>
        <v>1734.6590413866652</v>
      </c>
      <c r="K96" s="28">
        <f ca="1"/>
        <v>1727.3327127166497</v>
      </c>
      <c r="L96" s="28">
        <f ca="1"/>
        <v>1721.2599643228241</v>
      </c>
      <c r="M96" s="28">
        <f ca="1"/>
        <v>1715.1589142462628</v>
      </c>
      <c r="N96" s="28">
        <f ca="1"/>
        <v>1710.2800876565466</v>
      </c>
      <c r="O96" s="28">
        <f ca="1"/>
        <v>1706.9203350282658</v>
      </c>
      <c r="P96" s="28">
        <f ca="1"/>
        <v>1704.4609957004177</v>
      </c>
      <c r="Q96" s="28">
        <f ca="1"/>
        <v>1702.3914902264348</v>
      </c>
      <c r="R96" s="28">
        <f ca="1"/>
        <v>1700.8643460285239</v>
      </c>
      <c r="S96" s="28">
        <f ca="1"/>
        <v>1699.7002154457412</v>
      </c>
      <c r="T96" s="28">
        <f ca="1"/>
        <v>1699.5544203311777</v>
      </c>
      <c r="U96" s="28">
        <f ca="1"/>
        <v>1699.8534515964586</v>
      </c>
      <c r="V96" s="28">
        <f ca="1"/>
        <v>1700.2924252041273</v>
      </c>
      <c r="W96" s="28">
        <f ca="1"/>
        <v>1700.9202182821575</v>
      </c>
      <c r="X96" s="28">
        <f ca="1"/>
        <v>1701.5134759971286</v>
      </c>
      <c r="Y96" s="28">
        <f ca="1"/>
        <v>1702.005021733348</v>
      </c>
      <c r="Z96" s="28">
        <f ca="1"/>
        <v>1702.3344268750077</v>
      </c>
      <c r="AA96" s="28">
        <f ca="1"/>
        <v>1702.5515267907442</v>
      </c>
      <c r="AB96" s="28">
        <f ca="1"/>
        <v>1702.5515267907442</v>
      </c>
      <c r="AC96" s="28">
        <f ca="1"/>
        <v>1702.5515267907442</v>
      </c>
      <c r="AD96" s="28">
        <f ca="1"/>
        <v>1702.5515267907442</v>
      </c>
      <c r="AE96" s="28">
        <f ca="1"/>
        <v>1702.5515267907442</v>
      </c>
      <c r="AF96" s="28">
        <f ca="1"/>
        <v>1702.5515267907442</v>
      </c>
      <c r="AG96" s="28">
        <f ca="1"/>
        <v>1702.5515267907442</v>
      </c>
      <c r="AH96" s="28">
        <f ca="1"/>
        <v>1702.5515267907442</v>
      </c>
      <c r="AI96" s="28">
        <f ca="1"/>
        <v>1702.5515267907442</v>
      </c>
      <c r="AJ96" s="28">
        <f ca="1"/>
        <v>1702.5515267907442</v>
      </c>
      <c r="AK96" s="29">
        <f ca="1"/>
        <v>1702.5515267907442</v>
      </c>
      <c r="AL96" s="3"/>
    </row>
    <row r="97" spans="2:38" hidden="1">
      <c r="B97" s="3"/>
      <c r="C97" s="12"/>
      <c r="D97" s="16"/>
      <c r="E97" s="141">
        <f t="array" aca="1" ref="E97:AK97" ca="1">tlccFupolElec2</f>
        <v>565.33503594720128</v>
      </c>
      <c r="F97" s="28">
        <f ca="1"/>
        <v>561.25200246244299</v>
      </c>
      <c r="G97" s="28">
        <f ca="1"/>
        <v>557.13781209295439</v>
      </c>
      <c r="H97" s="28">
        <f ca="1"/>
        <v>553.525276240989</v>
      </c>
      <c r="I97" s="28">
        <f ca="1"/>
        <v>550.1005435624653</v>
      </c>
      <c r="J97" s="28">
        <f ca="1"/>
        <v>547.11948386003678</v>
      </c>
      <c r="K97" s="28">
        <f ca="1"/>
        <v>544.80872591574155</v>
      </c>
      <c r="L97" s="28">
        <f ca="1"/>
        <v>542.89335298793799</v>
      </c>
      <c r="M97" s="28">
        <f ca="1"/>
        <v>540.96905357851404</v>
      </c>
      <c r="N97" s="28">
        <f ca="1"/>
        <v>539.43024910920792</v>
      </c>
      <c r="O97" s="28">
        <f ca="1"/>
        <v>538.37056759253755</v>
      </c>
      <c r="P97" s="28">
        <f ca="1"/>
        <v>537.59488059492833</v>
      </c>
      <c r="Q97" s="28">
        <f ca="1"/>
        <v>536.9421489976769</v>
      </c>
      <c r="R97" s="28">
        <f ca="1"/>
        <v>536.46048065513446</v>
      </c>
      <c r="S97" s="28">
        <f ca="1"/>
        <v>536.09330848561774</v>
      </c>
      <c r="T97" s="28">
        <f ca="1"/>
        <v>536.04732403223159</v>
      </c>
      <c r="U97" s="28">
        <f ca="1"/>
        <v>536.14163987621885</v>
      </c>
      <c r="V97" s="28">
        <f ca="1"/>
        <v>536.28009418218096</v>
      </c>
      <c r="W97" s="28">
        <f ca="1"/>
        <v>536.47810302232062</v>
      </c>
      <c r="X97" s="28">
        <f ca="1"/>
        <v>536.66521924923711</v>
      </c>
      <c r="Y97" s="28">
        <f ca="1"/>
        <v>536.82025504767228</v>
      </c>
      <c r="Z97" s="28">
        <f ca="1"/>
        <v>536.92415095273816</v>
      </c>
      <c r="AA97" s="28">
        <f ca="1"/>
        <v>536.99262527017447</v>
      </c>
      <c r="AB97" s="28">
        <f ca="1"/>
        <v>536.99262527017447</v>
      </c>
      <c r="AC97" s="28">
        <f ca="1"/>
        <v>536.99262527017447</v>
      </c>
      <c r="AD97" s="28">
        <f ca="1"/>
        <v>536.99262527017447</v>
      </c>
      <c r="AE97" s="28">
        <f ca="1"/>
        <v>536.99262527017447</v>
      </c>
      <c r="AF97" s="28">
        <f ca="1"/>
        <v>536.99262527017447</v>
      </c>
      <c r="AG97" s="28">
        <f ca="1"/>
        <v>536.99262527017447</v>
      </c>
      <c r="AH97" s="28">
        <f ca="1"/>
        <v>536.99262527017447</v>
      </c>
      <c r="AI97" s="28">
        <f ca="1"/>
        <v>536.99262527017447</v>
      </c>
      <c r="AJ97" s="28">
        <f ca="1"/>
        <v>536.99262527017447</v>
      </c>
      <c r="AK97" s="29">
        <f ca="1"/>
        <v>536.99262527017447</v>
      </c>
      <c r="AL97" s="3"/>
    </row>
    <row r="98" spans="2:38" hidden="1">
      <c r="B98" s="3"/>
      <c r="C98" s="12"/>
      <c r="D98" s="16"/>
      <c r="E98" s="141">
        <f t="array" aca="1" ref="E98:AK98" ca="1">tlccFupolElec3</f>
        <v>3727.3108878021944</v>
      </c>
      <c r="F98" s="28">
        <f ca="1"/>
        <v>3700.3910363949622</v>
      </c>
      <c r="G98" s="28">
        <f ca="1"/>
        <v>3673.2657645055374</v>
      </c>
      <c r="H98" s="28">
        <f ca="1"/>
        <v>3649.4479514258169</v>
      </c>
      <c r="I98" s="28">
        <f ca="1"/>
        <v>3626.8683436024926</v>
      </c>
      <c r="J98" s="28">
        <f ca="1"/>
        <v>3607.2139164406703</v>
      </c>
      <c r="K98" s="28">
        <f ca="1"/>
        <v>3591.9788563485322</v>
      </c>
      <c r="L98" s="28">
        <f ca="1"/>
        <v>3579.3506095319476</v>
      </c>
      <c r="M98" s="28">
        <f ca="1"/>
        <v>3566.6635095220922</v>
      </c>
      <c r="N98" s="28">
        <f ca="1"/>
        <v>3556.5180165171628</v>
      </c>
      <c r="O98" s="28">
        <f ca="1"/>
        <v>3549.5314294430568</v>
      </c>
      <c r="P98" s="28">
        <f ca="1"/>
        <v>3544.4172468648071</v>
      </c>
      <c r="Q98" s="28">
        <f ca="1"/>
        <v>3540.1137216372022</v>
      </c>
      <c r="R98" s="28">
        <f ca="1"/>
        <v>3536.9380336941044</v>
      </c>
      <c r="S98" s="28">
        <f ca="1"/>
        <v>3534.5172305630117</v>
      </c>
      <c r="T98" s="28">
        <f ca="1"/>
        <v>3534.2140504257891</v>
      </c>
      <c r="U98" s="28">
        <f ca="1"/>
        <v>3534.8358842939074</v>
      </c>
      <c r="V98" s="28">
        <f ca="1"/>
        <v>3535.7487274917653</v>
      </c>
      <c r="W98" s="28">
        <f ca="1"/>
        <v>3537.0542197376103</v>
      </c>
      <c r="X98" s="28">
        <f ca="1"/>
        <v>3538.2878958863071</v>
      </c>
      <c r="Y98" s="28">
        <f ca="1"/>
        <v>3539.3100625357488</v>
      </c>
      <c r="Z98" s="28">
        <f ca="1"/>
        <v>3539.995058712399</v>
      </c>
      <c r="AA98" s="28">
        <f ca="1"/>
        <v>3540.4465167906833</v>
      </c>
      <c r="AB98" s="28">
        <f ca="1"/>
        <v>3540.4465167906833</v>
      </c>
      <c r="AC98" s="28">
        <f ca="1"/>
        <v>3540.4465167906833</v>
      </c>
      <c r="AD98" s="28">
        <f ca="1"/>
        <v>3540.4465167906833</v>
      </c>
      <c r="AE98" s="28">
        <f ca="1"/>
        <v>3540.4465167906833</v>
      </c>
      <c r="AF98" s="28">
        <f ca="1"/>
        <v>3540.4465167906833</v>
      </c>
      <c r="AG98" s="28">
        <f ca="1"/>
        <v>3540.4465167906833</v>
      </c>
      <c r="AH98" s="28">
        <f ca="1"/>
        <v>3540.4465167906833</v>
      </c>
      <c r="AI98" s="28">
        <f ca="1"/>
        <v>3540.4465167906833</v>
      </c>
      <c r="AJ98" s="28">
        <f ca="1"/>
        <v>3540.4465167906833</v>
      </c>
      <c r="AK98" s="29">
        <f ca="1"/>
        <v>3540.4465167906833</v>
      </c>
      <c r="AL98" s="3"/>
    </row>
    <row r="99" spans="2:38" hidden="1">
      <c r="B99" s="3"/>
      <c r="C99" s="12"/>
      <c r="D99" s="16"/>
      <c r="E99" s="141">
        <f t="array" aca="1" ref="E99:AK99" ca="1">tlccFupolElec4</f>
        <v>4300.9425813226517</v>
      </c>
      <c r="F99" s="28">
        <f ca="1"/>
        <v>4269.8797752714736</v>
      </c>
      <c r="G99" s="28">
        <f ca="1"/>
        <v>4238.5799346059221</v>
      </c>
      <c r="H99" s="28">
        <f ca="1"/>
        <v>4211.0965693723465</v>
      </c>
      <c r="I99" s="28">
        <f ca="1"/>
        <v>4185.0419687017366</v>
      </c>
      <c r="J99" s="28">
        <f ca="1"/>
        <v>4162.3627328568218</v>
      </c>
      <c r="K99" s="28">
        <f ca="1"/>
        <v>4144.7830029518855</v>
      </c>
      <c r="L99" s="28">
        <f ca="1"/>
        <v>4130.2112738700307</v>
      </c>
      <c r="M99" s="28">
        <f ca="1"/>
        <v>4115.5716341113894</v>
      </c>
      <c r="N99" s="28">
        <f ca="1"/>
        <v>4103.8647536855551</v>
      </c>
      <c r="O99" s="28">
        <f ca="1"/>
        <v>4095.8029335826282</v>
      </c>
      <c r="P99" s="28">
        <f ca="1"/>
        <v>4089.901680298005</v>
      </c>
      <c r="Q99" s="28">
        <f ca="1"/>
        <v>4084.9358442144699</v>
      </c>
      <c r="R99" s="28">
        <f ca="1"/>
        <v>4081.2714191341365</v>
      </c>
      <c r="S99" s="28">
        <f ca="1"/>
        <v>4078.478055344282</v>
      </c>
      <c r="T99" s="28">
        <f ca="1"/>
        <v>4078.1282159020557</v>
      </c>
      <c r="U99" s="28">
        <f ca="1"/>
        <v>4078.845749760219</v>
      </c>
      <c r="V99" s="28">
        <f ca="1"/>
        <v>4079.8990791705955</v>
      </c>
      <c r="W99" s="28">
        <f ca="1"/>
        <v>4081.4054861644736</v>
      </c>
      <c r="X99" s="28">
        <f ca="1"/>
        <v>4082.8290245918297</v>
      </c>
      <c r="Y99" s="28">
        <f ca="1"/>
        <v>4084.0085022903977</v>
      </c>
      <c r="Z99" s="28">
        <f ca="1"/>
        <v>4084.798919111769</v>
      </c>
      <c r="AA99" s="28">
        <f ca="1"/>
        <v>4085.3198564124186</v>
      </c>
      <c r="AB99" s="28">
        <f ca="1"/>
        <v>4085.3198564124186</v>
      </c>
      <c r="AC99" s="28">
        <f ca="1"/>
        <v>4085.3198564124186</v>
      </c>
      <c r="AD99" s="28">
        <f ca="1"/>
        <v>4085.3198564124186</v>
      </c>
      <c r="AE99" s="28">
        <f ca="1"/>
        <v>4085.3198564124186</v>
      </c>
      <c r="AF99" s="28">
        <f ca="1"/>
        <v>4085.3198564124186</v>
      </c>
      <c r="AG99" s="28">
        <f ca="1"/>
        <v>4085.3198564124186</v>
      </c>
      <c r="AH99" s="28">
        <f ca="1"/>
        <v>4085.3198564124186</v>
      </c>
      <c r="AI99" s="28">
        <f ca="1"/>
        <v>4085.3198564124186</v>
      </c>
      <c r="AJ99" s="28">
        <f ca="1"/>
        <v>4085.3198564124186</v>
      </c>
      <c r="AK99" s="29">
        <f ca="1"/>
        <v>4085.3198564124186</v>
      </c>
      <c r="AL99" s="3"/>
    </row>
    <row r="100" spans="2:38" hidden="1">
      <c r="B100" s="3"/>
      <c r="C100" s="12"/>
      <c r="D100" s="16"/>
      <c r="E100" s="141">
        <f t="array" aca="1" ref="E100:AK100" ca="1">tlccFupolElec5</f>
        <v>4254.9467532358676</v>
      </c>
      <c r="F100" s="28">
        <f ca="1"/>
        <v>4224.2161440136424</v>
      </c>
      <c r="G100" s="28">
        <f ca="1"/>
        <v>4193.2510351105311</v>
      </c>
      <c r="H100" s="28">
        <f ca="1"/>
        <v>4166.0615868773857</v>
      </c>
      <c r="I100" s="28">
        <f ca="1"/>
        <v>4140.2856234846877</v>
      </c>
      <c r="J100" s="28">
        <f ca="1"/>
        <v>4117.8489275512766</v>
      </c>
      <c r="K100" s="28">
        <f ca="1"/>
        <v>4100.45720160576</v>
      </c>
      <c r="L100" s="28">
        <f ca="1"/>
        <v>4086.0413078397937</v>
      </c>
      <c r="M100" s="28">
        <f ca="1"/>
        <v>4071.5582296582629</v>
      </c>
      <c r="N100" s="28">
        <f ca="1"/>
        <v>4059.9765468255887</v>
      </c>
      <c r="O100" s="28">
        <f ca="1"/>
        <v>4052.00094272869</v>
      </c>
      <c r="P100" s="28">
        <f ca="1"/>
        <v>4046.1627995708463</v>
      </c>
      <c r="Q100" s="28">
        <f ca="1"/>
        <v>4041.2500699258385</v>
      </c>
      <c r="R100" s="28">
        <f ca="1"/>
        <v>4037.6248335263231</v>
      </c>
      <c r="S100" s="28">
        <f ca="1"/>
        <v>4034.8613429743068</v>
      </c>
      <c r="T100" s="28">
        <f ca="1"/>
        <v>4034.5152448410004</v>
      </c>
      <c r="U100" s="28">
        <f ca="1"/>
        <v>4035.2251051338085</v>
      </c>
      <c r="V100" s="28">
        <f ca="1"/>
        <v>4036.2671698603249</v>
      </c>
      <c r="W100" s="28">
        <f ca="1"/>
        <v>4037.7574667955801</v>
      </c>
      <c r="X100" s="28">
        <f ca="1"/>
        <v>4039.1657813905917</v>
      </c>
      <c r="Y100" s="28">
        <f ca="1"/>
        <v>4040.3326453300992</v>
      </c>
      <c r="Z100" s="28">
        <f ca="1"/>
        <v>4041.1146091494725</v>
      </c>
      <c r="AA100" s="28">
        <f ca="1"/>
        <v>4041.6299753591179</v>
      </c>
      <c r="AB100" s="28">
        <f ca="1"/>
        <v>4041.6299753591179</v>
      </c>
      <c r="AC100" s="28">
        <f ca="1"/>
        <v>4041.6299753591179</v>
      </c>
      <c r="AD100" s="28">
        <f ca="1"/>
        <v>4041.6299753591179</v>
      </c>
      <c r="AE100" s="28">
        <f ca="1"/>
        <v>4041.6299753591179</v>
      </c>
      <c r="AF100" s="28">
        <f ca="1"/>
        <v>4041.6299753591179</v>
      </c>
      <c r="AG100" s="28">
        <f ca="1"/>
        <v>4041.6299753591179</v>
      </c>
      <c r="AH100" s="28">
        <f ca="1"/>
        <v>4041.6299753591179</v>
      </c>
      <c r="AI100" s="28">
        <f ca="1"/>
        <v>4041.6299753591179</v>
      </c>
      <c r="AJ100" s="28">
        <f ca="1"/>
        <v>4041.6299753591179</v>
      </c>
      <c r="AK100" s="29">
        <f ca="1"/>
        <v>4041.6299753591179</v>
      </c>
      <c r="AL100" s="3"/>
    </row>
    <row r="101" spans="2:38" hidden="1">
      <c r="B101" s="3"/>
      <c r="C101" s="4"/>
      <c r="D101" s="5"/>
      <c r="E101" s="147">
        <f t="array" aca="1" ref="E101:AK101" ca="1">tlccFupolElec6</f>
        <v>3974.9878112687502</v>
      </c>
      <c r="F101" s="35">
        <f ca="1"/>
        <v>3946.2791565721186</v>
      </c>
      <c r="G101" s="35">
        <f ca="1"/>
        <v>3917.3514313612504</v>
      </c>
      <c r="H101" s="35">
        <f ca="1"/>
        <v>3891.9509430379412</v>
      </c>
      <c r="I101" s="35">
        <f ca="1"/>
        <v>3867.8709377519144</v>
      </c>
      <c r="J101" s="35">
        <f ca="1"/>
        <v>3846.9104891181869</v>
      </c>
      <c r="K101" s="35">
        <f ca="1"/>
        <v>3830.6630710752261</v>
      </c>
      <c r="L101" s="35">
        <f ca="1"/>
        <v>3817.1956870322447</v>
      </c>
      <c r="M101" s="35">
        <f ca="1"/>
        <v>3803.6655390468541</v>
      </c>
      <c r="N101" s="35">
        <f ca="1"/>
        <v>3792.8458858846025</v>
      </c>
      <c r="O101" s="35">
        <f ca="1"/>
        <v>3785.3950455072072</v>
      </c>
      <c r="P101" s="35">
        <f ca="1"/>
        <v>3779.9410294551326</v>
      </c>
      <c r="Q101" s="35">
        <f ca="1"/>
        <v>3775.3515383071845</v>
      </c>
      <c r="R101" s="35">
        <f ca="1"/>
        <v>3771.9648283583265</v>
      </c>
      <c r="S101" s="35">
        <f ca="1"/>
        <v>3769.3831647329325</v>
      </c>
      <c r="T101" s="35">
        <f ca="1"/>
        <v>3769.0598385102603</v>
      </c>
      <c r="U101" s="35">
        <f ca="1"/>
        <v>3769.7229927576</v>
      </c>
      <c r="V101" s="35">
        <f ca="1"/>
        <v>3770.6964936793938</v>
      </c>
      <c r="W101" s="35">
        <f ca="1"/>
        <v>3772.0887348744936</v>
      </c>
      <c r="X101" s="35">
        <f ca="1"/>
        <v>3773.4043878483753</v>
      </c>
      <c r="Y101" s="35">
        <f ca="1"/>
        <v>3774.4944766804911</v>
      </c>
      <c r="Z101" s="35">
        <f ca="1"/>
        <v>3775.2249903228767</v>
      </c>
      <c r="AA101" s="35">
        <f ca="1"/>
        <v>3775.7064474410236</v>
      </c>
      <c r="AB101" s="35">
        <f ca="1"/>
        <v>3775.7064474410236</v>
      </c>
      <c r="AC101" s="35">
        <f ca="1"/>
        <v>3775.7064474410236</v>
      </c>
      <c r="AD101" s="35">
        <f ca="1"/>
        <v>3775.7064474410236</v>
      </c>
      <c r="AE101" s="35">
        <f ca="1"/>
        <v>3775.7064474410236</v>
      </c>
      <c r="AF101" s="35">
        <f ca="1"/>
        <v>3775.7064474410236</v>
      </c>
      <c r="AG101" s="35">
        <f ca="1"/>
        <v>3775.7064474410236</v>
      </c>
      <c r="AH101" s="35">
        <f ca="1"/>
        <v>3775.7064474410236</v>
      </c>
      <c r="AI101" s="35">
        <f ca="1"/>
        <v>3775.7064474410236</v>
      </c>
      <c r="AJ101" s="35">
        <f ca="1"/>
        <v>3775.7064474410236</v>
      </c>
      <c r="AK101" s="36">
        <f ca="1"/>
        <v>3775.7064474410236</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INDEX(_doName,2,1)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INDEX(_doName,2,1)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(1+INDEX(vadAxU,1,1))*INDEX(mspAxU,1,1)*tPIdxAll + INDEX(instAxU,1,1) + SUMPRODUCT(dFactor,tpSurvAxU,INDEX(mrAxU,1,1)*allOnes)</f>
        <v>326.82268499999998</v>
      </c>
      <c r="F106" s="28">
        <f ca="1"/>
        <v>326.82268499999998</v>
      </c>
      <c r="G106" s="28">
        <f ca="1"/>
        <v>326.82268499999998</v>
      </c>
      <c r="H106" s="28">
        <f ca="1"/>
        <v>326.82268499999998</v>
      </c>
      <c r="I106" s="28">
        <f ca="1"/>
        <v>326.82268499999998</v>
      </c>
      <c r="J106" s="28">
        <f ca="1"/>
        <v>326.82268499999998</v>
      </c>
      <c r="K106" s="28">
        <f ca="1"/>
        <v>326.82268499999998</v>
      </c>
      <c r="L106" s="28">
        <f ca="1"/>
        <v>326.82268499999998</v>
      </c>
      <c r="M106" s="28">
        <f ca="1"/>
        <v>326.82268499999998</v>
      </c>
      <c r="N106" s="28">
        <f ca="1"/>
        <v>326.82268499999998</v>
      </c>
      <c r="O106" s="28">
        <f ca="1"/>
        <v>326.82268499999998</v>
      </c>
      <c r="P106" s="28">
        <f ca="1"/>
        <v>326.82268499999998</v>
      </c>
      <c r="Q106" s="28">
        <f ca="1"/>
        <v>326.82268499999998</v>
      </c>
      <c r="R106" s="28">
        <f ca="1"/>
        <v>326.82268499999998</v>
      </c>
      <c r="S106" s="28">
        <f ca="1"/>
        <v>326.82268499999998</v>
      </c>
      <c r="T106" s="28">
        <f ca="1"/>
        <v>326.82268499999998</v>
      </c>
      <c r="U106" s="28">
        <f ca="1"/>
        <v>326.82268499999998</v>
      </c>
      <c r="V106" s="28">
        <f ca="1"/>
        <v>326.82268499999998</v>
      </c>
      <c r="W106" s="28">
        <f ca="1"/>
        <v>326.82268499999998</v>
      </c>
      <c r="X106" s="28">
        <f ca="1"/>
        <v>326.82268499999998</v>
      </c>
      <c r="Y106" s="28">
        <f ca="1"/>
        <v>326.82268499999998</v>
      </c>
      <c r="Z106" s="28">
        <f ca="1"/>
        <v>326.82268499999998</v>
      </c>
      <c r="AA106" s="28">
        <f ca="1"/>
        <v>326.82268499999998</v>
      </c>
      <c r="AB106" s="28">
        <f ca="1"/>
        <v>326.82268499999998</v>
      </c>
      <c r="AC106" s="28">
        <f ca="1"/>
        <v>326.82268499999998</v>
      </c>
      <c r="AD106" s="28">
        <f ca="1"/>
        <v>326.82268499999998</v>
      </c>
      <c r="AE106" s="28">
        <f ca="1"/>
        <v>326.82268499999998</v>
      </c>
      <c r="AF106" s="28">
        <f ca="1"/>
        <v>326.82268499999998</v>
      </c>
      <c r="AG106" s="28">
        <f ca="1"/>
        <v>326.82268499999998</v>
      </c>
      <c r="AH106" s="28">
        <f ca="1"/>
        <v>326.82268499999998</v>
      </c>
      <c r="AI106" s="28">
        <f ca="1"/>
        <v>326.82268499999998</v>
      </c>
      <c r="AJ106" s="28">
        <f ca="1"/>
        <v>326.82268499999998</v>
      </c>
      <c r="AK106" s="29">
        <f ca="1"/>
        <v>326.82268499999998</v>
      </c>
      <c r="AL106" s="3"/>
    </row>
    <row r="107" spans="2:38">
      <c r="B107" s="3"/>
      <c r="C107" s="23" t="s">
        <v>47</v>
      </c>
      <c r="D107" s="16" t="str">
        <f>_yearDol &amp; "$"</f>
        <v>2013$</v>
      </c>
      <c r="E107" s="141">
        <f t="array" aca="1" ref="E107:AK107" ca="1">(tlccEFubcElec0)</f>
        <v>3692.9924737694218</v>
      </c>
      <c r="F107" s="28">
        <f ca="1"/>
        <v>3709.2468135331656</v>
      </c>
      <c r="G107" s="28">
        <f ca="1"/>
        <v>3723.6448760854423</v>
      </c>
      <c r="H107" s="28">
        <f ca="1"/>
        <v>3739.3251241867897</v>
      </c>
      <c r="I107" s="28">
        <f ca="1"/>
        <v>3753.1120080246906</v>
      </c>
      <c r="J107" s="28">
        <f ca="1"/>
        <v>3768.1490481460669</v>
      </c>
      <c r="K107" s="28">
        <f ca="1"/>
        <v>3781.2577131811299</v>
      </c>
      <c r="L107" s="28">
        <f ca="1"/>
        <v>3795.5709872826569</v>
      </c>
      <c r="M107" s="28">
        <f ca="1"/>
        <v>3811.1698751544805</v>
      </c>
      <c r="N107" s="28">
        <f ca="1"/>
        <v>3824.8727696382516</v>
      </c>
      <c r="O107" s="28">
        <f ca="1"/>
        <v>3839.8261649738756</v>
      </c>
      <c r="P107" s="28">
        <f ca="1"/>
        <v>3856.1317346658184</v>
      </c>
      <c r="Q107" s="28">
        <f ca="1"/>
        <v>3870.5867877259539</v>
      </c>
      <c r="R107" s="28">
        <f ca="1"/>
        <v>3886.3493409137504</v>
      </c>
      <c r="S107" s="28">
        <f ca="1"/>
        <v>3900.2327492825898</v>
      </c>
      <c r="T107" s="28">
        <f ca="1"/>
        <v>3915.3887852097314</v>
      </c>
      <c r="U107" s="28">
        <f ca="1"/>
        <v>3931.9133948011422</v>
      </c>
      <c r="V107" s="28">
        <f ca="1"/>
        <v>3946.6140274687627</v>
      </c>
      <c r="W107" s="28">
        <f ca="1"/>
        <v>3962.6478495892839</v>
      </c>
      <c r="X107" s="28">
        <f ca="1"/>
        <v>3976.8228429520254</v>
      </c>
      <c r="Y107" s="28">
        <f ca="1"/>
        <v>3992.302675444419</v>
      </c>
      <c r="Z107" s="28">
        <f ca="1"/>
        <v>4009.1741622711461</v>
      </c>
      <c r="AA107" s="28">
        <f ca="1"/>
        <v>4024.2541984646764</v>
      </c>
      <c r="AB107" s="28">
        <f ca="1"/>
        <v>4040.7038044152619</v>
      </c>
      <c r="AC107" s="28">
        <f ca="1"/>
        <v>4055.3336718864912</v>
      </c>
      <c r="AD107" s="28">
        <f ca="1"/>
        <v>4071.2958014293558</v>
      </c>
      <c r="AE107" s="28">
        <f ca="1"/>
        <v>4088.6837998795522</v>
      </c>
      <c r="AF107" s="28">
        <f ca="1"/>
        <v>4104.3278001915587</v>
      </c>
      <c r="AG107" s="28">
        <f ca="1"/>
        <v>4121.3847562722267</v>
      </c>
      <c r="AH107" s="28">
        <f ca="1"/>
        <v>4136.6724195905235</v>
      </c>
      <c r="AI107" s="28">
        <f ca="1"/>
        <v>4153.3568393878131</v>
      </c>
      <c r="AJ107" s="28">
        <f ca="1"/>
        <v>4168.2441430673543</v>
      </c>
      <c r="AK107" s="29">
        <f ca="1"/>
        <v>4184.49481914439</v>
      </c>
      <c r="AL107" s="3"/>
    </row>
    <row r="108" spans="2:38">
      <c r="B108" s="3"/>
      <c r="C108" s="27" t="str">
        <f>INDEX(_fuel,1)</f>
        <v>Electricity</v>
      </c>
      <c r="D108" s="16" t="str">
        <f>_yearDol &amp; "$"</f>
        <v>2013$</v>
      </c>
      <c r="E108" s="141">
        <f ca="1">SUMPRODUCT(dFactor,tpSurvAxU,INDEX(tEIdxElec,1)*INDEX(elecAxU,1,1)*allOnes,OFFSET(tPrcElec,0,0,1,_maxLT))</f>
        <v>3692.9924737694218</v>
      </c>
      <c r="F108" s="28">
        <f ca="1">SUMPRODUCT(dFactor,tpSurvAxU,INDEX(tEIdxElec,2)*INDEX(elecAxU,1,1)*allOnes,OFFSET(tPrcElec,0,1,1,_maxLT))</f>
        <v>3709.2468135331656</v>
      </c>
      <c r="G108" s="28">
        <f ca="1">SUMPRODUCT(dFactor,tpSurvAxU,INDEX(tEIdxElec,3)*INDEX(elecAxU,1,1)*allOnes,OFFSET(tPrcElec,0,2,1,_maxLT))</f>
        <v>3723.6448760854423</v>
      </c>
      <c r="H108" s="28">
        <f ca="1">SUMPRODUCT(dFactor,tpSurvAxU,INDEX(tEIdxElec,4)*INDEX(elecAxU,1,1)*allOnes,OFFSET(tPrcElec,0,3,1,_maxLT))</f>
        <v>3739.3251241867897</v>
      </c>
      <c r="I108" s="28">
        <f ca="1">SUMPRODUCT(dFactor,tpSurvAxU,INDEX(tEIdxElec,5)*INDEX(elecAxU,1,1)*allOnes,OFFSET(tPrcElec,0,4,1,_maxLT))</f>
        <v>3753.1120080246906</v>
      </c>
      <c r="J108" s="28">
        <f ca="1">SUMPRODUCT(dFactor,tpSurvAxU,INDEX(tEIdxElec,6)*INDEX(elecAxU,1,1)*allOnes,OFFSET(tPrcElec,0,5,1,_maxLT))</f>
        <v>3768.1490481460669</v>
      </c>
      <c r="K108" s="28">
        <f ca="1">SUMPRODUCT(dFactor,tpSurvAxU,INDEX(tEIdxElec,7)*INDEX(elecAxU,1,1)*allOnes,OFFSET(tPrcElec,0,6,1,_maxLT))</f>
        <v>3781.2577131811299</v>
      </c>
      <c r="L108" s="28">
        <f ca="1">SUMPRODUCT(dFactor,tpSurvAxU,INDEX(tEIdxElec,8)*INDEX(elecAxU,1,1)*allOnes,OFFSET(tPrcElec,0,7,1,_maxLT))</f>
        <v>3795.5709872826569</v>
      </c>
      <c r="M108" s="28">
        <f ca="1">SUMPRODUCT(dFactor,tpSurvAxU,INDEX(tEIdxElec,9)*INDEX(elecAxU,1,1)*allOnes,OFFSET(tPrcElec,0,8,1,_maxLT))</f>
        <v>3811.1698751544805</v>
      </c>
      <c r="N108" s="28">
        <f ca="1">SUMPRODUCT(dFactor,tpSurvAxU,INDEX(tEIdxElec,10)*INDEX(elecAxU,1,1)*allOnes,OFFSET(tPrcElec,0,9,1,_maxLT))</f>
        <v>3824.8727696382516</v>
      </c>
      <c r="O108" s="28">
        <f ca="1">SUMPRODUCT(dFactor,tpSurvAxU,INDEX(tEIdxElec,11)*INDEX(elecAxU,1,1)*allOnes,OFFSET(tPrcElec,0,10,1,_maxLT))</f>
        <v>3839.8261649738756</v>
      </c>
      <c r="P108" s="28">
        <f ca="1">SUMPRODUCT(dFactor,tpSurvAxU,INDEX(tEIdxElec,12)*INDEX(elecAxU,1,1)*allOnes,OFFSET(tPrcElec,0,11,1,_maxLT))</f>
        <v>3856.1317346658184</v>
      </c>
      <c r="Q108" s="28">
        <f ca="1">SUMPRODUCT(dFactor,tpSurvAxU,INDEX(tEIdxElec,13)*INDEX(elecAxU,1,1)*allOnes,OFFSET(tPrcElec,0,12,1,_maxLT))</f>
        <v>3870.5867877259539</v>
      </c>
      <c r="R108" s="28">
        <f ca="1">SUMPRODUCT(dFactor,tpSurvAxU,INDEX(tEIdxElec,14)*INDEX(elecAxU,1,1)*allOnes,OFFSET(tPrcElec,0,13,1,_maxLT))</f>
        <v>3886.3493409137504</v>
      </c>
      <c r="S108" s="28">
        <f ca="1">SUMPRODUCT(dFactor,tpSurvAxU,INDEX(tEIdxElec,15)*INDEX(elecAxU,1,1)*allOnes,OFFSET(tPrcElec,0,14,1,_maxLT))</f>
        <v>3900.2327492825898</v>
      </c>
      <c r="T108" s="28">
        <f ca="1">SUMPRODUCT(dFactor,tpSurvAxU,INDEX(tEIdxElec,16)*INDEX(elecAxU,1,1)*allOnes,OFFSET(tPrcElec,0,15,1,_maxLT))</f>
        <v>3915.3887852097314</v>
      </c>
      <c r="U108" s="28">
        <f ca="1">SUMPRODUCT(dFactor,tpSurvAxU,INDEX(tEIdxElec,17)*INDEX(elecAxU,1,1)*allOnes,OFFSET(tPrcElec,0,16,1,_maxLT))</f>
        <v>3931.9133948011422</v>
      </c>
      <c r="V108" s="28">
        <f ca="1">SUMPRODUCT(dFactor,tpSurvAxU,INDEX(tEIdxElec,18)*INDEX(elecAxU,1,1)*allOnes,OFFSET(tPrcElec,0,17,1,_maxLT))</f>
        <v>3946.6140274687627</v>
      </c>
      <c r="W108" s="28">
        <f ca="1">SUMPRODUCT(dFactor,tpSurvAxU,INDEX(tEIdxElec,19)*INDEX(elecAxU,1,1)*allOnes,OFFSET(tPrcElec,0,18,1,_maxLT))</f>
        <v>3962.6478495892839</v>
      </c>
      <c r="X108" s="28">
        <f ca="1">SUMPRODUCT(dFactor,tpSurvAxU,INDEX(tEIdxElec,20)*INDEX(elecAxU,1,1)*allOnes,OFFSET(tPrcElec,0,19,1,_maxLT))</f>
        <v>3976.8228429520254</v>
      </c>
      <c r="Y108" s="28">
        <f ca="1">SUMPRODUCT(dFactor,tpSurvAxU,INDEX(tEIdxElec,21)*INDEX(elecAxU,1,1)*allOnes,OFFSET(tPrcElec,0,20,1,_maxLT))</f>
        <v>3992.302675444419</v>
      </c>
      <c r="Z108" s="28">
        <f ca="1">SUMPRODUCT(dFactor,tpSurvAxU,INDEX(tEIdxElec,22)*INDEX(elecAxU,1,1)*allOnes,OFFSET(tPrcElec,0,21,1,_maxLT))</f>
        <v>4009.1741622711461</v>
      </c>
      <c r="AA108" s="28">
        <f ca="1">SUMPRODUCT(dFactor,tpSurvAxU,INDEX(tEIdxElec,23)*INDEX(elecAxU,1,1)*allOnes,OFFSET(tPrcElec,0,22,1,_maxLT))</f>
        <v>4024.2541984646764</v>
      </c>
      <c r="AB108" s="28">
        <f ca="1">SUMPRODUCT(dFactor,tpSurvAxU,INDEX(tEIdxElec,24)*INDEX(elecAxU,1,1)*allOnes,OFFSET(tPrcElec,0,23,1,_maxLT))</f>
        <v>4040.7038044152619</v>
      </c>
      <c r="AC108" s="28">
        <f ca="1">SUMPRODUCT(dFactor,tpSurvAxU,INDEX(tEIdxElec,25)*INDEX(elecAxU,1,1)*allOnes,OFFSET(tPrcElec,0,24,1,_maxLT))</f>
        <v>4055.3336718864912</v>
      </c>
      <c r="AD108" s="28">
        <f ca="1">SUMPRODUCT(dFactor,tpSurvAxU,INDEX(tEIdxElec,26)*INDEX(elecAxU,1,1)*allOnes,OFFSET(tPrcElec,0,25,1,_maxLT))</f>
        <v>4071.2958014293558</v>
      </c>
      <c r="AE108" s="28">
        <f ca="1">SUMPRODUCT(dFactor,tpSurvAxU,INDEX(tEIdxElec,27)*INDEX(elecAxU,1,1)*allOnes,OFFSET(tPrcElec,0,26,1,_maxLT))</f>
        <v>4088.6837998795522</v>
      </c>
      <c r="AF108" s="28">
        <f ca="1">SUMPRODUCT(dFactor,tpSurvAxU,INDEX(tEIdxElec,28)*INDEX(elecAxU,1,1)*allOnes,OFFSET(tPrcElec,0,27,1,_maxLT))</f>
        <v>4104.3278001915587</v>
      </c>
      <c r="AG108" s="28">
        <f ca="1">SUMPRODUCT(dFactor,tpSurvAxU,INDEX(tEIdxElec,29)*INDEX(elecAxU,1,1)*allOnes,OFFSET(tPrcElec,0,28,1,_maxLT))</f>
        <v>4121.3847562722267</v>
      </c>
      <c r="AH108" s="28">
        <f ca="1">SUMPRODUCT(dFactor,tpSurvAxU,INDEX(tEIdxElec,30)*INDEX(elecAxU,1,1)*allOnes,OFFSET(tPrcElec,0,29,1,_maxLT))</f>
        <v>4136.6724195905235</v>
      </c>
      <c r="AI108" s="28">
        <f ca="1">SUMPRODUCT(dFactor,tpSurvAxU,INDEX(tEIdxElec,31)*INDEX(elecAxU,1,1)*allOnes,OFFSET(tPrcElec,0,30,1,_maxLT))</f>
        <v>4153.3568393878131</v>
      </c>
      <c r="AJ108" s="28">
        <f ca="1">SUMPRODUCT(dFactor,tpSurvAxU,INDEX(tEIdxElec,32)*INDEX(elecAxU,1,1)*allOnes,OFFSET(tPrcElec,0,31,1,_maxLT))</f>
        <v>4168.2441430673543</v>
      </c>
      <c r="AK108" s="29">
        <f ca="1">SUMPRODUCT(dFactor,tpSurvAxU,INDEX(tEIdxElec,33)*INDEX(elecAxU,1,1)*allOnes,OFFSET(tPrcElec,0,32,1,_maxLT))</f>
        <v>4184.49481914439</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ts2bElec*SUMPRODUCT(tpSurvAxU,INDEX(tEIdxElec,1)*INDEX(elecAxU,1,1)*convFactor)</f>
        <v>805.95125399880055</v>
      </c>
      <c r="F110" s="22">
        <f ca="1">ts2bElec*SUMPRODUCT(tpSurvAxU,INDEX(tEIdxElec,2)*INDEX(elecAxU,1,1)*convFactor)</f>
        <v>800.13041193539209</v>
      </c>
      <c r="G110" s="22">
        <f ca="1">ts2bElec*SUMPRODUCT(tpSurvAxU,INDEX(tEIdxElec,3)*INDEX(elecAxU,1,1)*convFactor)</f>
        <v>794.26515208656008</v>
      </c>
      <c r="H110" s="22">
        <f ca="1">ts2bElec*SUMPRODUCT(tpSurvAxU,INDEX(tEIdxElec,4)*INDEX(elecAxU,1,1)*convFactor)</f>
        <v>789.11505946028376</v>
      </c>
      <c r="I110" s="22">
        <f ca="1">ts2bElec*SUMPRODUCT(tpSurvAxU,INDEX(tEIdxElec,5)*INDEX(elecAxU,1,1)*convFactor)</f>
        <v>784.23270223605425</v>
      </c>
      <c r="J110" s="22">
        <f ca="1">ts2bElec*SUMPRODUCT(tpSurvAxU,INDEX(tEIdxElec,6)*INDEX(elecAxU,1,1)*convFactor)</f>
        <v>779.98285276158811</v>
      </c>
      <c r="K110" s="22">
        <f ca="1">ts2bElec*SUMPRODUCT(tpSurvAxU,INDEX(tEIdxElec,7)*INDEX(elecAxU,1,1)*convFactor)</f>
        <v>776.68859688768487</v>
      </c>
      <c r="L110" s="22">
        <f ca="1">ts2bElec*SUMPRODUCT(tpSurvAxU,INDEX(tEIdxElec,8)*INDEX(elecAxU,1,1)*convFactor)</f>
        <v>773.958008626067</v>
      </c>
      <c r="M110" s="22">
        <f ca="1">ts2bElec*SUMPRODUCT(tpSurvAxU,INDEX(tEIdxElec,9)*INDEX(elecAxU,1,1)*convFactor)</f>
        <v>771.21469462024754</v>
      </c>
      <c r="N110" s="22">
        <f ca="1">ts2bElec*SUMPRODUCT(tpSurvAxU,INDEX(tEIdxElec,10)*INDEX(elecAxU,1,1)*convFactor)</f>
        <v>769.02094876542299</v>
      </c>
      <c r="O110" s="22">
        <f ca="1">ts2bElec*SUMPRODUCT(tpSurvAxU,INDEX(tEIdxElec,11)*INDEX(elecAxU,1,1)*convFactor)</f>
        <v>767.51024875057453</v>
      </c>
      <c r="P110" s="22">
        <f ca="1">ts2bElec*SUMPRODUCT(tpSurvAxU,INDEX(tEIdxElec,12)*INDEX(elecAxU,1,1)*convFactor)</f>
        <v>766.40441615807242</v>
      </c>
      <c r="Q110" s="22">
        <f ca="1">ts2bElec*SUMPRODUCT(tpSurvAxU,INDEX(tEIdxElec,13)*INDEX(elecAxU,1,1)*convFactor)</f>
        <v>765.47387087805453</v>
      </c>
      <c r="R110" s="22">
        <f ca="1">ts2bElec*SUMPRODUCT(tpSurvAxU,INDEX(tEIdxElec,14)*INDEX(elecAxU,1,1)*convFactor)</f>
        <v>764.78719628688384</v>
      </c>
      <c r="S110" s="22">
        <f ca="1">ts2bElec*SUMPRODUCT(tpSurvAxU,INDEX(tEIdxElec,15)*INDEX(elecAxU,1,1)*convFactor)</f>
        <v>764.26374938966535</v>
      </c>
      <c r="T110" s="22">
        <f ca="1">ts2bElec*SUMPRODUCT(tpSurvAxU,INDEX(tEIdxElec,16)*INDEX(elecAxU,1,1)*convFactor)</f>
        <v>764.19819316987639</v>
      </c>
      <c r="U110" s="22">
        <f ca="1">ts2bElec*SUMPRODUCT(tpSurvAxU,INDEX(tEIdxElec,17)*INDEX(elecAxU,1,1)*convFactor)</f>
        <v>764.3326514431127</v>
      </c>
      <c r="V110" s="22">
        <f ca="1">ts2bElec*SUMPRODUCT(tpSurvAxU,INDEX(tEIdxElec,18)*INDEX(elecAxU,1,1)*convFactor)</f>
        <v>764.53003425934787</v>
      </c>
      <c r="W110" s="22">
        <f ca="1">ts2bElec*SUMPRODUCT(tpSurvAxU,INDEX(tEIdxElec,19)*INDEX(elecAxU,1,1)*convFactor)</f>
        <v>764.81231903362516</v>
      </c>
      <c r="X110" s="22">
        <f ca="1">ts2bElec*SUMPRODUCT(tpSurvAxU,INDEX(tEIdxElec,20)*INDEX(elecAxU,1,1)*convFactor)</f>
        <v>765.07907511300766</v>
      </c>
      <c r="Y110" s="22">
        <f ca="1">ts2bElec*SUMPRODUCT(tpSurvAxU,INDEX(tEIdxElec,21)*INDEX(elecAxU,1,1)*convFactor)</f>
        <v>765.3000967872689</v>
      </c>
      <c r="Z110" s="22">
        <f ca="1">ts2bElec*SUMPRODUCT(tpSurvAxU,INDEX(tEIdxElec,22)*INDEX(elecAxU,1,1)*convFactor)</f>
        <v>765.44821255871204</v>
      </c>
      <c r="AA110" s="22">
        <f ca="1">ts2bElec*SUMPRODUCT(tpSurvAxU,INDEX(tEIdxElec,23)*INDEX(elecAxU,1,1)*convFactor)</f>
        <v>765.54583071165746</v>
      </c>
      <c r="AB110" s="22">
        <f ca="1">ts2bElec*SUMPRODUCT(tpSurvAxU,INDEX(tEIdxElec,24)*INDEX(elecAxU,1,1)*convFactor)</f>
        <v>765.54583071165746</v>
      </c>
      <c r="AC110" s="22">
        <f ca="1">ts2bElec*SUMPRODUCT(tpSurvAxU,INDEX(tEIdxElec,25)*INDEX(elecAxU,1,1)*convFactor)</f>
        <v>765.54583071165746</v>
      </c>
      <c r="AD110" s="22">
        <f ca="1">ts2bElec*SUMPRODUCT(tpSurvAxU,INDEX(tEIdxElec,26)*INDEX(elecAxU,1,1)*convFactor)</f>
        <v>765.54583071165746</v>
      </c>
      <c r="AE110" s="22">
        <f ca="1">ts2bElec*SUMPRODUCT(tpSurvAxU,INDEX(tEIdxElec,27)*INDEX(elecAxU,1,1)*convFactor)</f>
        <v>765.54583071165746</v>
      </c>
      <c r="AF110" s="22">
        <f ca="1">ts2bElec*SUMPRODUCT(tpSurvAxU,INDEX(tEIdxElec,28)*INDEX(elecAxU,1,1)*convFactor)</f>
        <v>765.54583071165746</v>
      </c>
      <c r="AG110" s="22">
        <f ca="1">ts2bElec*SUMPRODUCT(tpSurvAxU,INDEX(tEIdxElec,29)*INDEX(elecAxU,1,1)*convFactor)</f>
        <v>765.54583071165746</v>
      </c>
      <c r="AH110" s="22">
        <f ca="1">ts2bElec*SUMPRODUCT(tpSurvAxU,INDEX(tEIdxElec,30)*INDEX(elecAxU,1,1)*convFactor)</f>
        <v>765.54583071165746</v>
      </c>
      <c r="AI110" s="22">
        <f ca="1">ts2bElec*SUMPRODUCT(tpSurvAxU,INDEX(tEIdxElec,31)*INDEX(elecAxU,1,1)*convFactor)</f>
        <v>765.54583071165746</v>
      </c>
      <c r="AJ110" s="22">
        <f ca="1">ts2bElec*SUMPRODUCT(tpSurvAxU,INDEX(tEIdxElec,32)*INDEX(elecAxU,1,1)*convFactor)</f>
        <v>765.54583071165746</v>
      </c>
      <c r="AK110" s="25">
        <f ca="1">ts2bElec*SUMPRODUCT(tpSurvAxU,INDEX(tEIdxElec,33)*INDEX(elecAxU,1,1)*convFactor)</f>
        <v>765.54583071165746</v>
      </c>
      <c r="AL110" s="3"/>
    </row>
    <row r="111" spans="2:38">
      <c r="B111" s="3"/>
      <c r="C111" s="30" t="str">
        <f>"EL 1: " &amp; INDEX(_doName,2,2)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(1+INDEX(vadAxU,1,2))*INDEX(mspAxU,1,2)*tPIdxAll + INDEX(instAxU,1,2) + SUMPRODUCT(dFactor,tpSurvAxU,INDEX(mrAxU,1,2)*allOnes)</f>
        <v>710.84157900000002</v>
      </c>
      <c r="F112" s="28">
        <f ca="1"/>
        <v>710.84157900000002</v>
      </c>
      <c r="G112" s="28">
        <f ca="1"/>
        <v>710.84157900000002</v>
      </c>
      <c r="H112" s="28">
        <f ca="1"/>
        <v>710.84157900000002</v>
      </c>
      <c r="I112" s="28">
        <f ca="1"/>
        <v>710.84157900000002</v>
      </c>
      <c r="J112" s="28">
        <f ca="1"/>
        <v>710.84157900000002</v>
      </c>
      <c r="K112" s="28">
        <f ca="1"/>
        <v>710.84157900000002</v>
      </c>
      <c r="L112" s="28">
        <f ca="1"/>
        <v>710.84157900000002</v>
      </c>
      <c r="M112" s="28">
        <f ca="1"/>
        <v>710.84157900000002</v>
      </c>
      <c r="N112" s="28">
        <f ca="1"/>
        <v>710.84157900000002</v>
      </c>
      <c r="O112" s="28">
        <f ca="1"/>
        <v>710.84157900000002</v>
      </c>
      <c r="P112" s="28">
        <f ca="1"/>
        <v>710.84157900000002</v>
      </c>
      <c r="Q112" s="28">
        <f ca="1"/>
        <v>710.84157900000002</v>
      </c>
      <c r="R112" s="28">
        <f ca="1"/>
        <v>710.84157900000002</v>
      </c>
      <c r="S112" s="28">
        <f ca="1"/>
        <v>710.84157900000002</v>
      </c>
      <c r="T112" s="28">
        <f ca="1"/>
        <v>710.84157900000002</v>
      </c>
      <c r="U112" s="28">
        <f ca="1"/>
        <v>710.84157900000002</v>
      </c>
      <c r="V112" s="28">
        <f ca="1"/>
        <v>710.84157900000002</v>
      </c>
      <c r="W112" s="28">
        <f ca="1"/>
        <v>710.84157900000002</v>
      </c>
      <c r="X112" s="28">
        <f ca="1"/>
        <v>710.84157900000002</v>
      </c>
      <c r="Y112" s="28">
        <f ca="1"/>
        <v>710.84157900000002</v>
      </c>
      <c r="Z112" s="28">
        <f ca="1"/>
        <v>710.84157900000002</v>
      </c>
      <c r="AA112" s="28">
        <f ca="1"/>
        <v>710.84157900000002</v>
      </c>
      <c r="AB112" s="28">
        <f ca="1"/>
        <v>710.84157900000002</v>
      </c>
      <c r="AC112" s="28">
        <f ca="1"/>
        <v>710.84157900000002</v>
      </c>
      <c r="AD112" s="28">
        <f ca="1"/>
        <v>710.84157900000002</v>
      </c>
      <c r="AE112" s="28">
        <f ca="1"/>
        <v>710.84157900000002</v>
      </c>
      <c r="AF112" s="28">
        <f ca="1"/>
        <v>710.84157900000002</v>
      </c>
      <c r="AG112" s="28">
        <f ca="1"/>
        <v>710.84157900000002</v>
      </c>
      <c r="AH112" s="28">
        <f ca="1"/>
        <v>710.84157900000002</v>
      </c>
      <c r="AI112" s="28">
        <f ca="1"/>
        <v>710.84157900000002</v>
      </c>
      <c r="AJ112" s="28">
        <f ca="1"/>
        <v>710.84157900000002</v>
      </c>
      <c r="AK112" s="29">
        <f ca="1"/>
        <v>710.84157900000002</v>
      </c>
      <c r="AL112" s="3"/>
    </row>
    <row r="113" spans="2:38">
      <c r="B113" s="3"/>
      <c r="C113" s="23" t="s">
        <v>47</v>
      </c>
      <c r="D113" s="16" t="str">
        <f>_yearDol &amp; "$"</f>
        <v>2013$</v>
      </c>
      <c r="E113" s="141">
        <f t="array" aca="1" ref="E113:AK113" ca="1">(tlccEFubcElec1)</f>
        <v>9178.330179871502</v>
      </c>
      <c r="F113" s="28">
        <f ca="1"/>
        <v>9218.7276890099893</v>
      </c>
      <c r="G113" s="28">
        <f ca="1"/>
        <v>9254.5117240422551</v>
      </c>
      <c r="H113" s="28">
        <f ca="1"/>
        <v>9293.4824220327591</v>
      </c>
      <c r="I113" s="28">
        <f ca="1"/>
        <v>9327.7474721011167</v>
      </c>
      <c r="J113" s="28">
        <f ca="1"/>
        <v>9365.1195816145428</v>
      </c>
      <c r="K113" s="28">
        <f ca="1"/>
        <v>9397.6990295185733</v>
      </c>
      <c r="L113" s="28">
        <f ca="1"/>
        <v>9433.2723366920727</v>
      </c>
      <c r="M113" s="28">
        <f ca="1"/>
        <v>9472.0408271082633</v>
      </c>
      <c r="N113" s="28">
        <f ca="1"/>
        <v>9506.0971353421191</v>
      </c>
      <c r="O113" s="28">
        <f ca="1"/>
        <v>9543.2613593895185</v>
      </c>
      <c r="P113" s="28">
        <f ca="1"/>
        <v>9583.7861921549611</v>
      </c>
      <c r="Q113" s="28">
        <f ca="1"/>
        <v>9619.7118677949275</v>
      </c>
      <c r="R113" s="28">
        <f ca="1"/>
        <v>9658.8871216474545</v>
      </c>
      <c r="S113" s="28">
        <f ca="1"/>
        <v>9693.3920676868183</v>
      </c>
      <c r="T113" s="28">
        <f ca="1"/>
        <v>9731.0599218580246</v>
      </c>
      <c r="U113" s="28">
        <f ca="1"/>
        <v>9772.1291425511899</v>
      </c>
      <c r="V113" s="28">
        <f ca="1"/>
        <v>9808.6651662324657</v>
      </c>
      <c r="W113" s="28">
        <f ca="1"/>
        <v>9848.5146147522646</v>
      </c>
      <c r="X113" s="28">
        <f ca="1"/>
        <v>9883.7442477138247</v>
      </c>
      <c r="Y113" s="28">
        <f ca="1"/>
        <v>9922.2168454116181</v>
      </c>
      <c r="Z113" s="28">
        <f ca="1"/>
        <v>9964.1481728705749</v>
      </c>
      <c r="AA113" s="28">
        <f ca="1"/>
        <v>10001.627142105339</v>
      </c>
      <c r="AB113" s="28">
        <f ca="1"/>
        <v>10042.509953488139</v>
      </c>
      <c r="AC113" s="28">
        <f ca="1"/>
        <v>10078.870101821083</v>
      </c>
      <c r="AD113" s="28">
        <f ca="1"/>
        <v>10118.541370137747</v>
      </c>
      <c r="AE113" s="28">
        <f ca="1"/>
        <v>10161.756402953697</v>
      </c>
      <c r="AF113" s="28">
        <f ca="1"/>
        <v>10200.637012978614</v>
      </c>
      <c r="AG113" s="28">
        <f ca="1"/>
        <v>10243.0292940038</v>
      </c>
      <c r="AH113" s="28">
        <f ca="1"/>
        <v>10281.024286577074</v>
      </c>
      <c r="AI113" s="28">
        <f ca="1"/>
        <v>10322.49068945951</v>
      </c>
      <c r="AJ113" s="28">
        <f ca="1"/>
        <v>10359.490653480394</v>
      </c>
      <c r="AK113" s="29">
        <f ca="1"/>
        <v>10399.879057123399</v>
      </c>
      <c r="AL113" s="3"/>
    </row>
    <row r="114" spans="2:38">
      <c r="B114" s="3"/>
      <c r="C114" s="27" t="str">
        <f>INDEX(_fuel,1)</f>
        <v>Electricity</v>
      </c>
      <c r="D114" s="16" t="str">
        <f>_yearDol &amp; "$"</f>
        <v>2013$</v>
      </c>
      <c r="E114" s="141">
        <f ca="1">SUMPRODUCT(dFactor,tpSurvAxU,INDEX(tEIdxElec,1)*INDEX(elecAxU,1,2)*allOnes,OFFSET(tPrcElec,0,0,1,_maxLT))</f>
        <v>9178.330179871502</v>
      </c>
      <c r="F114" s="28">
        <f ca="1">SUMPRODUCT(dFactor,tpSurvAxU,INDEX(tEIdxElec,2)*INDEX(elecAxU,1,2)*allOnes,OFFSET(tPrcElec,0,1,1,_maxLT))</f>
        <v>9218.7276890099893</v>
      </c>
      <c r="G114" s="28">
        <f ca="1">SUMPRODUCT(dFactor,tpSurvAxU,INDEX(tEIdxElec,3)*INDEX(elecAxU,1,2)*allOnes,OFFSET(tPrcElec,0,2,1,_maxLT))</f>
        <v>9254.5117240422551</v>
      </c>
      <c r="H114" s="28">
        <f ca="1">SUMPRODUCT(dFactor,tpSurvAxU,INDEX(tEIdxElec,4)*INDEX(elecAxU,1,2)*allOnes,OFFSET(tPrcElec,0,3,1,_maxLT))</f>
        <v>9293.4824220327591</v>
      </c>
      <c r="I114" s="28">
        <f ca="1">SUMPRODUCT(dFactor,tpSurvAxU,INDEX(tEIdxElec,5)*INDEX(elecAxU,1,2)*allOnes,OFFSET(tPrcElec,0,4,1,_maxLT))</f>
        <v>9327.7474721011167</v>
      </c>
      <c r="J114" s="28">
        <f ca="1">SUMPRODUCT(dFactor,tpSurvAxU,INDEX(tEIdxElec,6)*INDEX(elecAxU,1,2)*allOnes,OFFSET(tPrcElec,0,5,1,_maxLT))</f>
        <v>9365.1195816145428</v>
      </c>
      <c r="K114" s="28">
        <f ca="1">SUMPRODUCT(dFactor,tpSurvAxU,INDEX(tEIdxElec,7)*INDEX(elecAxU,1,2)*allOnes,OFFSET(tPrcElec,0,6,1,_maxLT))</f>
        <v>9397.6990295185733</v>
      </c>
      <c r="L114" s="28">
        <f ca="1">SUMPRODUCT(dFactor,tpSurvAxU,INDEX(tEIdxElec,8)*INDEX(elecAxU,1,2)*allOnes,OFFSET(tPrcElec,0,7,1,_maxLT))</f>
        <v>9433.2723366920727</v>
      </c>
      <c r="M114" s="28">
        <f ca="1">SUMPRODUCT(dFactor,tpSurvAxU,INDEX(tEIdxElec,9)*INDEX(elecAxU,1,2)*allOnes,OFFSET(tPrcElec,0,8,1,_maxLT))</f>
        <v>9472.0408271082633</v>
      </c>
      <c r="N114" s="28">
        <f ca="1">SUMPRODUCT(dFactor,tpSurvAxU,INDEX(tEIdxElec,10)*INDEX(elecAxU,1,2)*allOnes,OFFSET(tPrcElec,0,9,1,_maxLT))</f>
        <v>9506.0971353421191</v>
      </c>
      <c r="O114" s="28">
        <f ca="1">SUMPRODUCT(dFactor,tpSurvAxU,INDEX(tEIdxElec,11)*INDEX(elecAxU,1,2)*allOnes,OFFSET(tPrcElec,0,10,1,_maxLT))</f>
        <v>9543.2613593895185</v>
      </c>
      <c r="P114" s="28">
        <f ca="1">SUMPRODUCT(dFactor,tpSurvAxU,INDEX(tEIdxElec,12)*INDEX(elecAxU,1,2)*allOnes,OFFSET(tPrcElec,0,11,1,_maxLT))</f>
        <v>9583.7861921549611</v>
      </c>
      <c r="Q114" s="28">
        <f ca="1">SUMPRODUCT(dFactor,tpSurvAxU,INDEX(tEIdxElec,13)*INDEX(elecAxU,1,2)*allOnes,OFFSET(tPrcElec,0,12,1,_maxLT))</f>
        <v>9619.7118677949275</v>
      </c>
      <c r="R114" s="28">
        <f ca="1">SUMPRODUCT(dFactor,tpSurvAxU,INDEX(tEIdxElec,14)*INDEX(elecAxU,1,2)*allOnes,OFFSET(tPrcElec,0,13,1,_maxLT))</f>
        <v>9658.8871216474545</v>
      </c>
      <c r="S114" s="28">
        <f ca="1">SUMPRODUCT(dFactor,tpSurvAxU,INDEX(tEIdxElec,15)*INDEX(elecAxU,1,2)*allOnes,OFFSET(tPrcElec,0,14,1,_maxLT))</f>
        <v>9693.3920676868183</v>
      </c>
      <c r="T114" s="28">
        <f ca="1">SUMPRODUCT(dFactor,tpSurvAxU,INDEX(tEIdxElec,16)*INDEX(elecAxU,1,2)*allOnes,OFFSET(tPrcElec,0,15,1,_maxLT))</f>
        <v>9731.0599218580246</v>
      </c>
      <c r="U114" s="28">
        <f ca="1">SUMPRODUCT(dFactor,tpSurvAxU,INDEX(tEIdxElec,17)*INDEX(elecAxU,1,2)*allOnes,OFFSET(tPrcElec,0,16,1,_maxLT))</f>
        <v>9772.1291425511899</v>
      </c>
      <c r="V114" s="28">
        <f ca="1">SUMPRODUCT(dFactor,tpSurvAxU,INDEX(tEIdxElec,18)*INDEX(elecAxU,1,2)*allOnes,OFFSET(tPrcElec,0,17,1,_maxLT))</f>
        <v>9808.6651662324657</v>
      </c>
      <c r="W114" s="28">
        <f ca="1">SUMPRODUCT(dFactor,tpSurvAxU,INDEX(tEIdxElec,19)*INDEX(elecAxU,1,2)*allOnes,OFFSET(tPrcElec,0,18,1,_maxLT))</f>
        <v>9848.5146147522646</v>
      </c>
      <c r="X114" s="28">
        <f ca="1">SUMPRODUCT(dFactor,tpSurvAxU,INDEX(tEIdxElec,20)*INDEX(elecAxU,1,2)*allOnes,OFFSET(tPrcElec,0,19,1,_maxLT))</f>
        <v>9883.7442477138247</v>
      </c>
      <c r="Y114" s="28">
        <f ca="1">SUMPRODUCT(dFactor,tpSurvAxU,INDEX(tEIdxElec,21)*INDEX(elecAxU,1,2)*allOnes,OFFSET(tPrcElec,0,20,1,_maxLT))</f>
        <v>9922.2168454116181</v>
      </c>
      <c r="Z114" s="28">
        <f ca="1">SUMPRODUCT(dFactor,tpSurvAxU,INDEX(tEIdxElec,22)*INDEX(elecAxU,1,2)*allOnes,OFFSET(tPrcElec,0,21,1,_maxLT))</f>
        <v>9964.1481728705749</v>
      </c>
      <c r="AA114" s="28">
        <f ca="1">SUMPRODUCT(dFactor,tpSurvAxU,INDEX(tEIdxElec,23)*INDEX(elecAxU,1,2)*allOnes,OFFSET(tPrcElec,0,22,1,_maxLT))</f>
        <v>10001.627142105339</v>
      </c>
      <c r="AB114" s="28">
        <f ca="1">SUMPRODUCT(dFactor,tpSurvAxU,INDEX(tEIdxElec,24)*INDEX(elecAxU,1,2)*allOnes,OFFSET(tPrcElec,0,23,1,_maxLT))</f>
        <v>10042.509953488139</v>
      </c>
      <c r="AC114" s="28">
        <f ca="1">SUMPRODUCT(dFactor,tpSurvAxU,INDEX(tEIdxElec,25)*INDEX(elecAxU,1,2)*allOnes,OFFSET(tPrcElec,0,24,1,_maxLT))</f>
        <v>10078.870101821083</v>
      </c>
      <c r="AD114" s="28">
        <f ca="1">SUMPRODUCT(dFactor,tpSurvAxU,INDEX(tEIdxElec,26)*INDEX(elecAxU,1,2)*allOnes,OFFSET(tPrcElec,0,25,1,_maxLT))</f>
        <v>10118.541370137747</v>
      </c>
      <c r="AE114" s="28">
        <f ca="1">SUMPRODUCT(dFactor,tpSurvAxU,INDEX(tEIdxElec,27)*INDEX(elecAxU,1,2)*allOnes,OFFSET(tPrcElec,0,26,1,_maxLT))</f>
        <v>10161.756402953697</v>
      </c>
      <c r="AF114" s="28">
        <f ca="1">SUMPRODUCT(dFactor,tpSurvAxU,INDEX(tEIdxElec,28)*INDEX(elecAxU,1,2)*allOnes,OFFSET(tPrcElec,0,27,1,_maxLT))</f>
        <v>10200.637012978614</v>
      </c>
      <c r="AG114" s="28">
        <f ca="1">SUMPRODUCT(dFactor,tpSurvAxU,INDEX(tEIdxElec,29)*INDEX(elecAxU,1,2)*allOnes,OFFSET(tPrcElec,0,28,1,_maxLT))</f>
        <v>10243.0292940038</v>
      </c>
      <c r="AH114" s="28">
        <f ca="1">SUMPRODUCT(dFactor,tpSurvAxU,INDEX(tEIdxElec,30)*INDEX(elecAxU,1,2)*allOnes,OFFSET(tPrcElec,0,29,1,_maxLT))</f>
        <v>10281.024286577074</v>
      </c>
      <c r="AI114" s="28">
        <f ca="1">SUMPRODUCT(dFactor,tpSurvAxU,INDEX(tEIdxElec,31)*INDEX(elecAxU,1,2)*allOnes,OFFSET(tPrcElec,0,30,1,_maxLT))</f>
        <v>10322.49068945951</v>
      </c>
      <c r="AJ114" s="28">
        <f ca="1">SUMPRODUCT(dFactor,tpSurvAxU,INDEX(tEIdxElec,32)*INDEX(elecAxU,1,2)*allOnes,OFFSET(tPrcElec,0,31,1,_maxLT))</f>
        <v>10359.490653480394</v>
      </c>
      <c r="AK114" s="29">
        <f ca="1">SUMPRODUCT(dFactor,tpSurvAxU,INDEX(tEIdxElec,33)*INDEX(elecAxU,1,2)*allOnes,OFFSET(tPrcElec,0,32,1,_maxLT))</f>
        <v>10399.879057123399</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ts2bElec*SUMPRODUCT(tpSurvAxU,INDEX(tEIdxElec,1)*INDEX(elecAxU,1,2)*convFactor)</f>
        <v>2003.0603286153198</v>
      </c>
      <c r="F116" s="22">
        <f ca="1">ts2bElec*SUMPRODUCT(tpSurvAxU,INDEX(tEIdxElec,2)*INDEX(elecAxU,1,2)*convFactor)</f>
        <v>1988.5935754978084</v>
      </c>
      <c r="G116" s="22">
        <f ca="1">ts2bElec*SUMPRODUCT(tpSurvAxU,INDEX(tEIdxElec,3)*INDEX(elecAxU,1,2)*convFactor)</f>
        <v>1974.0164292226157</v>
      </c>
      <c r="H116" s="22">
        <f ca="1">ts2bElec*SUMPRODUCT(tpSurvAxU,INDEX(tEIdxElec,4)*INDEX(elecAxU,1,2)*convFactor)</f>
        <v>1961.2167143798072</v>
      </c>
      <c r="I116" s="22">
        <f ca="1">ts2bElec*SUMPRODUCT(tpSurvAxU,INDEX(tEIdxElec,5)*INDEX(elecAxU,1,2)*convFactor)</f>
        <v>1949.082412190364</v>
      </c>
      <c r="J116" s="22">
        <f ca="1">ts2bElec*SUMPRODUCT(tpSurvAxU,INDEX(tEIdxElec,6)*INDEX(elecAxU,1,2)*convFactor)</f>
        <v>1938.5201048018546</v>
      </c>
      <c r="K116" s="22">
        <f ca="1">ts2bElec*SUMPRODUCT(tpSurvAxU,INDEX(tEIdxElec,7)*INDEX(elecAxU,1,2)*convFactor)</f>
        <v>1930.3327693760655</v>
      </c>
      <c r="L116" s="22">
        <f ca="1">ts2bElec*SUMPRODUCT(tpSurvAxU,INDEX(tEIdxElec,8)*INDEX(elecAxU,1,2)*convFactor)</f>
        <v>1923.5463378226784</v>
      </c>
      <c r="M116" s="22">
        <f ca="1">ts2bElec*SUMPRODUCT(tpSurvAxU,INDEX(tEIdxElec,9)*INDEX(elecAxU,1,2)*convFactor)</f>
        <v>1916.7282785086347</v>
      </c>
      <c r="N116" s="22">
        <f ca="1">ts2bElec*SUMPRODUCT(tpSurvAxU,INDEX(tEIdxElec,10)*INDEX(elecAxU,1,2)*convFactor)</f>
        <v>1911.276081156672</v>
      </c>
      <c r="O116" s="22">
        <f ca="1">ts2bElec*SUMPRODUCT(tpSurvAxU,INDEX(tEIdxElec,11)*INDEX(elecAxU,1,2)*convFactor)</f>
        <v>1907.5214827821826</v>
      </c>
      <c r="P116" s="22">
        <f ca="1">ts2bElec*SUMPRODUCT(tpSurvAxU,INDEX(tEIdxElec,12)*INDEX(elecAxU,1,2)*convFactor)</f>
        <v>1904.7731163206374</v>
      </c>
      <c r="Q116" s="22">
        <f ca="1">ts2bElec*SUMPRODUCT(tpSurvAxU,INDEX(tEIdxElec,13)*INDEX(elecAxU,1,2)*convFactor)</f>
        <v>1902.4603978713069</v>
      </c>
      <c r="R116" s="22">
        <f ca="1">ts2bElec*SUMPRODUCT(tpSurvAxU,INDEX(tEIdxElec,14)*INDEX(elecAxU,1,2)*convFactor)</f>
        <v>1900.7537802248696</v>
      </c>
      <c r="S116" s="22">
        <f ca="1">ts2bElec*SUMPRODUCT(tpSurvAxU,INDEX(tEIdxElec,15)*INDEX(elecAxU,1,2)*convFactor)</f>
        <v>1899.4528383766462</v>
      </c>
      <c r="T116" s="22">
        <f ca="1">ts2bElec*SUMPRODUCT(tpSurvAxU,INDEX(tEIdxElec,16)*INDEX(elecAxU,1,2)*convFactor)</f>
        <v>1899.2899090896683</v>
      </c>
      <c r="U116" s="22">
        <f ca="1">ts2bElec*SUMPRODUCT(tpSurvAxU,INDEX(tEIdxElec,17)*INDEX(elecAxU,1,2)*convFactor)</f>
        <v>1899.6240831872176</v>
      </c>
      <c r="V116" s="22">
        <f ca="1">ts2bElec*SUMPRODUCT(tpSurvAxU,INDEX(tEIdxElec,18)*INDEX(elecAxU,1,2)*convFactor)</f>
        <v>1900.114645968514</v>
      </c>
      <c r="W116" s="22">
        <f ca="1">ts2bElec*SUMPRODUCT(tpSurvAxU,INDEX(tEIdxElec,19)*INDEX(elecAxU,1,2)*convFactor)</f>
        <v>1900.8162187124256</v>
      </c>
      <c r="X116" s="22">
        <f ca="1">ts2bElec*SUMPRODUCT(tpSurvAxU,INDEX(tEIdxElec,20)*INDEX(elecAxU,1,2)*convFactor)</f>
        <v>1901.4791974191119</v>
      </c>
      <c r="Y116" s="22">
        <f ca="1">ts2bElec*SUMPRODUCT(tpSurvAxU,INDEX(tEIdxElec,21)*INDEX(elecAxU,1,2)*convFactor)</f>
        <v>1902.0285107246993</v>
      </c>
      <c r="Z116" s="22">
        <f ca="1">ts2bElec*SUMPRODUCT(tpSurvAxU,INDEX(tEIdxElec,22)*INDEX(elecAxU,1,2)*convFactor)</f>
        <v>1902.396628305444</v>
      </c>
      <c r="AA116" s="22">
        <f ca="1">ts2bElec*SUMPRODUCT(tpSurvAxU,INDEX(tEIdxElec,23)*INDEX(elecAxU,1,2)*convFactor)</f>
        <v>1902.6392422954934</v>
      </c>
      <c r="AB116" s="22">
        <f ca="1">ts2bElec*SUMPRODUCT(tpSurvAxU,INDEX(tEIdxElec,24)*INDEX(elecAxU,1,2)*convFactor)</f>
        <v>1902.6392422954934</v>
      </c>
      <c r="AC116" s="22">
        <f ca="1">ts2bElec*SUMPRODUCT(tpSurvAxU,INDEX(tEIdxElec,25)*INDEX(elecAxU,1,2)*convFactor)</f>
        <v>1902.6392422954934</v>
      </c>
      <c r="AD116" s="22">
        <f ca="1">ts2bElec*SUMPRODUCT(tpSurvAxU,INDEX(tEIdxElec,26)*INDEX(elecAxU,1,2)*convFactor)</f>
        <v>1902.6392422954934</v>
      </c>
      <c r="AE116" s="22">
        <f ca="1">ts2bElec*SUMPRODUCT(tpSurvAxU,INDEX(tEIdxElec,27)*INDEX(elecAxU,1,2)*convFactor)</f>
        <v>1902.6392422954934</v>
      </c>
      <c r="AF116" s="22">
        <f ca="1">ts2bElec*SUMPRODUCT(tpSurvAxU,INDEX(tEIdxElec,28)*INDEX(elecAxU,1,2)*convFactor)</f>
        <v>1902.6392422954934</v>
      </c>
      <c r="AG116" s="22">
        <f ca="1">ts2bElec*SUMPRODUCT(tpSurvAxU,INDEX(tEIdxElec,29)*INDEX(elecAxU,1,2)*convFactor)</f>
        <v>1902.6392422954934</v>
      </c>
      <c r="AH116" s="22">
        <f ca="1">ts2bElec*SUMPRODUCT(tpSurvAxU,INDEX(tEIdxElec,30)*INDEX(elecAxU,1,2)*convFactor)</f>
        <v>1902.6392422954934</v>
      </c>
      <c r="AI116" s="22">
        <f ca="1">ts2bElec*SUMPRODUCT(tpSurvAxU,INDEX(tEIdxElec,31)*INDEX(elecAxU,1,2)*convFactor)</f>
        <v>1902.6392422954934</v>
      </c>
      <c r="AJ116" s="22">
        <f ca="1">ts2bElec*SUMPRODUCT(tpSurvAxU,INDEX(tEIdxElec,32)*INDEX(elecAxU,1,2)*convFactor)</f>
        <v>1902.6392422954934</v>
      </c>
      <c r="AK116" s="25">
        <f ca="1">ts2bElec*SUMPRODUCT(tpSurvAxU,INDEX(tEIdxElec,33)*INDEX(elecAxU,1,2)*convFactor)</f>
        <v>1902.6392422954934</v>
      </c>
      <c r="AL116" s="3"/>
    </row>
    <row r="117" spans="2:38">
      <c r="B117" s="3"/>
      <c r="C117" s="30" t="str">
        <f>"EL 2: " &amp; INDEX(_doName,2,3)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(1+INDEX(vadAxU,1,3))*INDEX(mspAxU,1,3)*tPIdxAll + INDEX(instAxU,1,3) + SUMPRODUCT(dFactor,tpSurvAxU,INDEX(mrAxU,1,3)*allOnes)</f>
        <v>326.82268499999998</v>
      </c>
      <c r="F118" s="28">
        <f ca="1"/>
        <v>326.82268499999998</v>
      </c>
      <c r="G118" s="28">
        <f ca="1"/>
        <v>326.82268499999998</v>
      </c>
      <c r="H118" s="28">
        <f ca="1"/>
        <v>326.82268499999998</v>
      </c>
      <c r="I118" s="28">
        <f ca="1"/>
        <v>326.82268499999998</v>
      </c>
      <c r="J118" s="28">
        <f ca="1"/>
        <v>326.82268499999998</v>
      </c>
      <c r="K118" s="28">
        <f ca="1"/>
        <v>326.82268499999998</v>
      </c>
      <c r="L118" s="28">
        <f ca="1"/>
        <v>326.82268499999998</v>
      </c>
      <c r="M118" s="28">
        <f ca="1"/>
        <v>326.82268499999998</v>
      </c>
      <c r="N118" s="28">
        <f ca="1"/>
        <v>326.82268499999998</v>
      </c>
      <c r="O118" s="28">
        <f ca="1"/>
        <v>326.82268499999998</v>
      </c>
      <c r="P118" s="28">
        <f ca="1"/>
        <v>326.82268499999998</v>
      </c>
      <c r="Q118" s="28">
        <f ca="1"/>
        <v>326.82268499999998</v>
      </c>
      <c r="R118" s="28">
        <f ca="1"/>
        <v>326.82268499999998</v>
      </c>
      <c r="S118" s="28">
        <f ca="1"/>
        <v>326.82268499999998</v>
      </c>
      <c r="T118" s="28">
        <f ca="1"/>
        <v>326.82268499999998</v>
      </c>
      <c r="U118" s="28">
        <f ca="1"/>
        <v>326.82268499999998</v>
      </c>
      <c r="V118" s="28">
        <f ca="1"/>
        <v>326.82268499999998</v>
      </c>
      <c r="W118" s="28">
        <f ca="1"/>
        <v>326.82268499999998</v>
      </c>
      <c r="X118" s="28">
        <f ca="1"/>
        <v>326.82268499999998</v>
      </c>
      <c r="Y118" s="28">
        <f ca="1"/>
        <v>326.82268499999998</v>
      </c>
      <c r="Z118" s="28">
        <f ca="1"/>
        <v>326.82268499999998</v>
      </c>
      <c r="AA118" s="28">
        <f ca="1"/>
        <v>326.82268499999998</v>
      </c>
      <c r="AB118" s="28">
        <f ca="1"/>
        <v>326.82268499999998</v>
      </c>
      <c r="AC118" s="28">
        <f ca="1"/>
        <v>326.82268499999998</v>
      </c>
      <c r="AD118" s="28">
        <f ca="1"/>
        <v>326.82268499999998</v>
      </c>
      <c r="AE118" s="28">
        <f ca="1"/>
        <v>326.82268499999998</v>
      </c>
      <c r="AF118" s="28">
        <f ca="1"/>
        <v>326.82268499999998</v>
      </c>
      <c r="AG118" s="28">
        <f ca="1"/>
        <v>326.82268499999998</v>
      </c>
      <c r="AH118" s="28">
        <f ca="1"/>
        <v>326.82268499999998</v>
      </c>
      <c r="AI118" s="28">
        <f ca="1"/>
        <v>326.82268499999998</v>
      </c>
      <c r="AJ118" s="28">
        <f ca="1"/>
        <v>326.82268499999998</v>
      </c>
      <c r="AK118" s="29">
        <f ca="1"/>
        <v>326.82268499999998</v>
      </c>
      <c r="AL118" s="3"/>
    </row>
    <row r="119" spans="2:38">
      <c r="B119" s="3"/>
      <c r="C119" s="23" t="s">
        <v>47</v>
      </c>
      <c r="D119" s="16" t="str">
        <f>_yearDol &amp; "$"</f>
        <v>2013$</v>
      </c>
      <c r="E119" s="141">
        <f t="array" aca="1" ref="E119:AK119" ca="1">(tlccEFubcElec2)</f>
        <v>2590.4519939046922</v>
      </c>
      <c r="F119" s="28">
        <f ca="1"/>
        <v>2601.8536111973531</v>
      </c>
      <c r="G119" s="28">
        <f ca="1"/>
        <v>2611.9531416220229</v>
      </c>
      <c r="H119" s="28">
        <f ca="1"/>
        <v>2622.9520619414006</v>
      </c>
      <c r="I119" s="28">
        <f ca="1"/>
        <v>2632.6228806558424</v>
      </c>
      <c r="J119" s="28">
        <f ca="1"/>
        <v>2643.1706223156248</v>
      </c>
      <c r="K119" s="28">
        <f ca="1"/>
        <v>2652.3657040057974</v>
      </c>
      <c r="L119" s="28">
        <f ca="1"/>
        <v>2662.4057595160552</v>
      </c>
      <c r="M119" s="28">
        <f ca="1"/>
        <v>2673.3476096490517</v>
      </c>
      <c r="N119" s="28">
        <f ca="1"/>
        <v>2682.959513975929</v>
      </c>
      <c r="O119" s="28">
        <f ca="1"/>
        <v>2693.448582945864</v>
      </c>
      <c r="P119" s="28">
        <f ca="1"/>
        <v>2704.886135505275</v>
      </c>
      <c r="Q119" s="28">
        <f ca="1"/>
        <v>2715.0256419590746</v>
      </c>
      <c r="R119" s="28">
        <f ca="1"/>
        <v>2726.0822952353469</v>
      </c>
      <c r="S119" s="28">
        <f ca="1"/>
        <v>2735.8208211453502</v>
      </c>
      <c r="T119" s="28">
        <f ca="1"/>
        <v>2746.45203249117</v>
      </c>
      <c r="U119" s="28">
        <f ca="1"/>
        <v>2758.0432307317874</v>
      </c>
      <c r="V119" s="28">
        <f ca="1"/>
        <v>2768.3549991623959</v>
      </c>
      <c r="W119" s="28">
        <f ca="1"/>
        <v>2779.6019342095246</v>
      </c>
      <c r="X119" s="28">
        <f ca="1"/>
        <v>2789.544992604825</v>
      </c>
      <c r="Y119" s="28">
        <f ca="1"/>
        <v>2800.4033312638003</v>
      </c>
      <c r="Z119" s="28">
        <f ca="1"/>
        <v>2812.2378467687372</v>
      </c>
      <c r="AA119" s="28">
        <f ca="1"/>
        <v>2822.8157480515438</v>
      </c>
      <c r="AB119" s="28">
        <f ca="1"/>
        <v>2834.3543349390884</v>
      </c>
      <c r="AC119" s="28">
        <f ca="1"/>
        <v>2844.6164650762557</v>
      </c>
      <c r="AD119" s="28">
        <f ca="1"/>
        <v>2855.8131113177465</v>
      </c>
      <c r="AE119" s="28">
        <f ca="1"/>
        <v>2868.009934239878</v>
      </c>
      <c r="AF119" s="28">
        <f ca="1"/>
        <v>2878.9834285236398</v>
      </c>
      <c r="AG119" s="28">
        <f ca="1"/>
        <v>2890.948041558448</v>
      </c>
      <c r="AH119" s="28">
        <f ca="1"/>
        <v>2901.6715830241556</v>
      </c>
      <c r="AI119" s="28">
        <f ca="1"/>
        <v>2913.3748802385485</v>
      </c>
      <c r="AJ119" s="28">
        <f ca="1"/>
        <v>2923.817589172957</v>
      </c>
      <c r="AK119" s="29">
        <f ca="1"/>
        <v>2935.2166365701719</v>
      </c>
      <c r="AL119" s="3"/>
    </row>
    <row r="120" spans="2:38">
      <c r="B120" s="3"/>
      <c r="C120" s="27" t="str">
        <f>INDEX(_fuel,1)</f>
        <v>Electricity</v>
      </c>
      <c r="D120" s="16" t="str">
        <f>_yearDol &amp; "$"</f>
        <v>2013$</v>
      </c>
      <c r="E120" s="141">
        <f ca="1">SUMPRODUCT(dFactor,tpSurvAxU,INDEX(tEIdxElec,1)*INDEX(elecAxU,1,3)*allOnes,OFFSET(tPrcElec,0,0,1,_maxLT))</f>
        <v>2590.4519939046922</v>
      </c>
      <c r="F120" s="28">
        <f ca="1">SUMPRODUCT(dFactor,tpSurvAxU,INDEX(tEIdxElec,2)*INDEX(elecAxU,1,3)*allOnes,OFFSET(tPrcElec,0,1,1,_maxLT))</f>
        <v>2601.8536111973531</v>
      </c>
      <c r="G120" s="28">
        <f ca="1">SUMPRODUCT(dFactor,tpSurvAxU,INDEX(tEIdxElec,3)*INDEX(elecAxU,1,3)*allOnes,OFFSET(tPrcElec,0,2,1,_maxLT))</f>
        <v>2611.9531416220229</v>
      </c>
      <c r="H120" s="28">
        <f ca="1">SUMPRODUCT(dFactor,tpSurvAxU,INDEX(tEIdxElec,4)*INDEX(elecAxU,1,3)*allOnes,OFFSET(tPrcElec,0,3,1,_maxLT))</f>
        <v>2622.9520619414006</v>
      </c>
      <c r="I120" s="28">
        <f ca="1">SUMPRODUCT(dFactor,tpSurvAxU,INDEX(tEIdxElec,5)*INDEX(elecAxU,1,3)*allOnes,OFFSET(tPrcElec,0,4,1,_maxLT))</f>
        <v>2632.6228806558424</v>
      </c>
      <c r="J120" s="28">
        <f ca="1">SUMPRODUCT(dFactor,tpSurvAxU,INDEX(tEIdxElec,6)*INDEX(elecAxU,1,3)*allOnes,OFFSET(tPrcElec,0,5,1,_maxLT))</f>
        <v>2643.1706223156248</v>
      </c>
      <c r="K120" s="28">
        <f ca="1">SUMPRODUCT(dFactor,tpSurvAxU,INDEX(tEIdxElec,7)*INDEX(elecAxU,1,3)*allOnes,OFFSET(tPrcElec,0,6,1,_maxLT))</f>
        <v>2652.3657040057974</v>
      </c>
      <c r="L120" s="28">
        <f ca="1">SUMPRODUCT(dFactor,tpSurvAxU,INDEX(tEIdxElec,8)*INDEX(elecAxU,1,3)*allOnes,OFFSET(tPrcElec,0,7,1,_maxLT))</f>
        <v>2662.4057595160552</v>
      </c>
      <c r="M120" s="28">
        <f ca="1">SUMPRODUCT(dFactor,tpSurvAxU,INDEX(tEIdxElec,9)*INDEX(elecAxU,1,3)*allOnes,OFFSET(tPrcElec,0,8,1,_maxLT))</f>
        <v>2673.3476096490517</v>
      </c>
      <c r="N120" s="28">
        <f ca="1">SUMPRODUCT(dFactor,tpSurvAxU,INDEX(tEIdxElec,10)*INDEX(elecAxU,1,3)*allOnes,OFFSET(tPrcElec,0,9,1,_maxLT))</f>
        <v>2682.959513975929</v>
      </c>
      <c r="O120" s="28">
        <f ca="1">SUMPRODUCT(dFactor,tpSurvAxU,INDEX(tEIdxElec,11)*INDEX(elecAxU,1,3)*allOnes,OFFSET(tPrcElec,0,10,1,_maxLT))</f>
        <v>2693.448582945864</v>
      </c>
      <c r="P120" s="28">
        <f ca="1">SUMPRODUCT(dFactor,tpSurvAxU,INDEX(tEIdxElec,12)*INDEX(elecAxU,1,3)*allOnes,OFFSET(tPrcElec,0,11,1,_maxLT))</f>
        <v>2704.886135505275</v>
      </c>
      <c r="Q120" s="28">
        <f ca="1">SUMPRODUCT(dFactor,tpSurvAxU,INDEX(tEIdxElec,13)*INDEX(elecAxU,1,3)*allOnes,OFFSET(tPrcElec,0,12,1,_maxLT))</f>
        <v>2715.0256419590746</v>
      </c>
      <c r="R120" s="28">
        <f ca="1">SUMPRODUCT(dFactor,tpSurvAxU,INDEX(tEIdxElec,14)*INDEX(elecAxU,1,3)*allOnes,OFFSET(tPrcElec,0,13,1,_maxLT))</f>
        <v>2726.0822952353469</v>
      </c>
      <c r="S120" s="28">
        <f ca="1">SUMPRODUCT(dFactor,tpSurvAxU,INDEX(tEIdxElec,15)*INDEX(elecAxU,1,3)*allOnes,OFFSET(tPrcElec,0,14,1,_maxLT))</f>
        <v>2735.8208211453502</v>
      </c>
      <c r="T120" s="28">
        <f ca="1">SUMPRODUCT(dFactor,tpSurvAxU,INDEX(tEIdxElec,16)*INDEX(elecAxU,1,3)*allOnes,OFFSET(tPrcElec,0,15,1,_maxLT))</f>
        <v>2746.45203249117</v>
      </c>
      <c r="U120" s="28">
        <f ca="1">SUMPRODUCT(dFactor,tpSurvAxU,INDEX(tEIdxElec,17)*INDEX(elecAxU,1,3)*allOnes,OFFSET(tPrcElec,0,16,1,_maxLT))</f>
        <v>2758.0432307317874</v>
      </c>
      <c r="V120" s="28">
        <f ca="1">SUMPRODUCT(dFactor,tpSurvAxU,INDEX(tEIdxElec,18)*INDEX(elecAxU,1,3)*allOnes,OFFSET(tPrcElec,0,17,1,_maxLT))</f>
        <v>2768.3549991623959</v>
      </c>
      <c r="W120" s="28">
        <f ca="1">SUMPRODUCT(dFactor,tpSurvAxU,INDEX(tEIdxElec,19)*INDEX(elecAxU,1,3)*allOnes,OFFSET(tPrcElec,0,18,1,_maxLT))</f>
        <v>2779.6019342095246</v>
      </c>
      <c r="X120" s="28">
        <f ca="1">SUMPRODUCT(dFactor,tpSurvAxU,INDEX(tEIdxElec,20)*INDEX(elecAxU,1,3)*allOnes,OFFSET(tPrcElec,0,19,1,_maxLT))</f>
        <v>2789.544992604825</v>
      </c>
      <c r="Y120" s="28">
        <f ca="1">SUMPRODUCT(dFactor,tpSurvAxU,INDEX(tEIdxElec,21)*INDEX(elecAxU,1,3)*allOnes,OFFSET(tPrcElec,0,20,1,_maxLT))</f>
        <v>2800.4033312638003</v>
      </c>
      <c r="Z120" s="28">
        <f ca="1">SUMPRODUCT(dFactor,tpSurvAxU,INDEX(tEIdxElec,22)*INDEX(elecAxU,1,3)*allOnes,OFFSET(tPrcElec,0,21,1,_maxLT))</f>
        <v>2812.2378467687372</v>
      </c>
      <c r="AA120" s="28">
        <f ca="1">SUMPRODUCT(dFactor,tpSurvAxU,INDEX(tEIdxElec,23)*INDEX(elecAxU,1,3)*allOnes,OFFSET(tPrcElec,0,22,1,_maxLT))</f>
        <v>2822.8157480515438</v>
      </c>
      <c r="AB120" s="28">
        <f ca="1">SUMPRODUCT(dFactor,tpSurvAxU,INDEX(tEIdxElec,24)*INDEX(elecAxU,1,3)*allOnes,OFFSET(tPrcElec,0,23,1,_maxLT))</f>
        <v>2834.3543349390884</v>
      </c>
      <c r="AC120" s="28">
        <f ca="1">SUMPRODUCT(dFactor,tpSurvAxU,INDEX(tEIdxElec,25)*INDEX(elecAxU,1,3)*allOnes,OFFSET(tPrcElec,0,24,1,_maxLT))</f>
        <v>2844.6164650762557</v>
      </c>
      <c r="AD120" s="28">
        <f ca="1">SUMPRODUCT(dFactor,tpSurvAxU,INDEX(tEIdxElec,26)*INDEX(elecAxU,1,3)*allOnes,OFFSET(tPrcElec,0,25,1,_maxLT))</f>
        <v>2855.8131113177465</v>
      </c>
      <c r="AE120" s="28">
        <f ca="1">SUMPRODUCT(dFactor,tpSurvAxU,INDEX(tEIdxElec,27)*INDEX(elecAxU,1,3)*allOnes,OFFSET(tPrcElec,0,26,1,_maxLT))</f>
        <v>2868.009934239878</v>
      </c>
      <c r="AF120" s="28">
        <f ca="1">SUMPRODUCT(dFactor,tpSurvAxU,INDEX(tEIdxElec,28)*INDEX(elecAxU,1,3)*allOnes,OFFSET(tPrcElec,0,27,1,_maxLT))</f>
        <v>2878.9834285236398</v>
      </c>
      <c r="AG120" s="28">
        <f ca="1">SUMPRODUCT(dFactor,tpSurvAxU,INDEX(tEIdxElec,29)*INDEX(elecAxU,1,3)*allOnes,OFFSET(tPrcElec,0,28,1,_maxLT))</f>
        <v>2890.948041558448</v>
      </c>
      <c r="AH120" s="28">
        <f ca="1">SUMPRODUCT(dFactor,tpSurvAxU,INDEX(tEIdxElec,30)*INDEX(elecAxU,1,3)*allOnes,OFFSET(tPrcElec,0,29,1,_maxLT))</f>
        <v>2901.6715830241556</v>
      </c>
      <c r="AI120" s="28">
        <f ca="1">SUMPRODUCT(dFactor,tpSurvAxU,INDEX(tEIdxElec,31)*INDEX(elecAxU,1,3)*allOnes,OFFSET(tPrcElec,0,30,1,_maxLT))</f>
        <v>2913.3748802385485</v>
      </c>
      <c r="AJ120" s="28">
        <f ca="1">SUMPRODUCT(dFactor,tpSurvAxU,INDEX(tEIdxElec,32)*INDEX(elecAxU,1,3)*allOnes,OFFSET(tPrcElec,0,31,1,_maxLT))</f>
        <v>2923.817589172957</v>
      </c>
      <c r="AK120" s="29">
        <f ca="1">SUMPRODUCT(dFactor,tpSurvAxU,INDEX(tEIdxElec,33)*INDEX(elecAxU,1,3)*allOnes,OFFSET(tPrcElec,0,32,1,_maxLT))</f>
        <v>2935.2166365701719</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ts2bElec*SUMPRODUCT(tpSurvAxU,INDEX(tEIdxElec,1)*INDEX(elecAxU,1,3)*convFactor)</f>
        <v>565.33503594720128</v>
      </c>
      <c r="F122" s="22">
        <f ca="1">ts2bElec*SUMPRODUCT(tpSurvAxU,INDEX(tEIdxElec,2)*INDEX(elecAxU,1,3)*convFactor)</f>
        <v>561.25200246244299</v>
      </c>
      <c r="G122" s="22">
        <f ca="1">ts2bElec*SUMPRODUCT(tpSurvAxU,INDEX(tEIdxElec,3)*INDEX(elecAxU,1,3)*convFactor)</f>
        <v>557.13781209295439</v>
      </c>
      <c r="H122" s="22">
        <f ca="1">ts2bElec*SUMPRODUCT(tpSurvAxU,INDEX(tEIdxElec,4)*INDEX(elecAxU,1,3)*convFactor)</f>
        <v>553.525276240989</v>
      </c>
      <c r="I122" s="22">
        <f ca="1">ts2bElec*SUMPRODUCT(tpSurvAxU,INDEX(tEIdxElec,5)*INDEX(elecAxU,1,3)*convFactor)</f>
        <v>550.1005435624653</v>
      </c>
      <c r="J122" s="22">
        <f ca="1">ts2bElec*SUMPRODUCT(tpSurvAxU,INDEX(tEIdxElec,6)*INDEX(elecAxU,1,3)*convFactor)</f>
        <v>547.11948386003678</v>
      </c>
      <c r="K122" s="22">
        <f ca="1">ts2bElec*SUMPRODUCT(tpSurvAxU,INDEX(tEIdxElec,7)*INDEX(elecAxU,1,3)*convFactor)</f>
        <v>544.80872591574155</v>
      </c>
      <c r="L122" s="22">
        <f ca="1">ts2bElec*SUMPRODUCT(tpSurvAxU,INDEX(tEIdxElec,8)*INDEX(elecAxU,1,3)*convFactor)</f>
        <v>542.89335298793799</v>
      </c>
      <c r="M122" s="22">
        <f ca="1">ts2bElec*SUMPRODUCT(tpSurvAxU,INDEX(tEIdxElec,9)*INDEX(elecAxU,1,3)*convFactor)</f>
        <v>540.96905357851404</v>
      </c>
      <c r="N122" s="22">
        <f ca="1">ts2bElec*SUMPRODUCT(tpSurvAxU,INDEX(tEIdxElec,10)*INDEX(elecAxU,1,3)*convFactor)</f>
        <v>539.43024910920792</v>
      </c>
      <c r="O122" s="22">
        <f ca="1">ts2bElec*SUMPRODUCT(tpSurvAxU,INDEX(tEIdxElec,11)*INDEX(elecAxU,1,3)*convFactor)</f>
        <v>538.37056759253755</v>
      </c>
      <c r="P122" s="22">
        <f ca="1">ts2bElec*SUMPRODUCT(tpSurvAxU,INDEX(tEIdxElec,12)*INDEX(elecAxU,1,3)*convFactor)</f>
        <v>537.59488059492833</v>
      </c>
      <c r="Q122" s="22">
        <f ca="1">ts2bElec*SUMPRODUCT(tpSurvAxU,INDEX(tEIdxElec,13)*INDEX(elecAxU,1,3)*convFactor)</f>
        <v>536.9421489976769</v>
      </c>
      <c r="R122" s="22">
        <f ca="1">ts2bElec*SUMPRODUCT(tpSurvAxU,INDEX(tEIdxElec,14)*INDEX(elecAxU,1,3)*convFactor)</f>
        <v>536.46048065513446</v>
      </c>
      <c r="S122" s="22">
        <f ca="1">ts2bElec*SUMPRODUCT(tpSurvAxU,INDEX(tEIdxElec,15)*INDEX(elecAxU,1,3)*convFactor)</f>
        <v>536.09330848561774</v>
      </c>
      <c r="T122" s="22">
        <f ca="1">ts2bElec*SUMPRODUCT(tpSurvAxU,INDEX(tEIdxElec,16)*INDEX(elecAxU,1,3)*convFactor)</f>
        <v>536.04732403223159</v>
      </c>
      <c r="U122" s="22">
        <f ca="1">ts2bElec*SUMPRODUCT(tpSurvAxU,INDEX(tEIdxElec,17)*INDEX(elecAxU,1,3)*convFactor)</f>
        <v>536.14163987621885</v>
      </c>
      <c r="V122" s="22">
        <f ca="1">ts2bElec*SUMPRODUCT(tpSurvAxU,INDEX(tEIdxElec,18)*INDEX(elecAxU,1,3)*convFactor)</f>
        <v>536.28009418218096</v>
      </c>
      <c r="W122" s="22">
        <f ca="1">ts2bElec*SUMPRODUCT(tpSurvAxU,INDEX(tEIdxElec,19)*INDEX(elecAxU,1,3)*convFactor)</f>
        <v>536.47810302232062</v>
      </c>
      <c r="X122" s="22">
        <f ca="1">ts2bElec*SUMPRODUCT(tpSurvAxU,INDEX(tEIdxElec,20)*INDEX(elecAxU,1,3)*convFactor)</f>
        <v>536.66521924923711</v>
      </c>
      <c r="Y122" s="22">
        <f ca="1">ts2bElec*SUMPRODUCT(tpSurvAxU,INDEX(tEIdxElec,21)*INDEX(elecAxU,1,3)*convFactor)</f>
        <v>536.82025504767228</v>
      </c>
      <c r="Z122" s="22">
        <f ca="1">ts2bElec*SUMPRODUCT(tpSurvAxU,INDEX(tEIdxElec,22)*INDEX(elecAxU,1,3)*convFactor)</f>
        <v>536.92415095273816</v>
      </c>
      <c r="AA122" s="22">
        <f ca="1">ts2bElec*SUMPRODUCT(tpSurvAxU,INDEX(tEIdxElec,23)*INDEX(elecAxU,1,3)*convFactor)</f>
        <v>536.99262527017447</v>
      </c>
      <c r="AB122" s="22">
        <f ca="1">ts2bElec*SUMPRODUCT(tpSurvAxU,INDEX(tEIdxElec,24)*INDEX(elecAxU,1,3)*convFactor)</f>
        <v>536.99262527017447</v>
      </c>
      <c r="AC122" s="22">
        <f ca="1">ts2bElec*SUMPRODUCT(tpSurvAxU,INDEX(tEIdxElec,25)*INDEX(elecAxU,1,3)*convFactor)</f>
        <v>536.99262527017447</v>
      </c>
      <c r="AD122" s="22">
        <f ca="1">ts2bElec*SUMPRODUCT(tpSurvAxU,INDEX(tEIdxElec,26)*INDEX(elecAxU,1,3)*convFactor)</f>
        <v>536.99262527017447</v>
      </c>
      <c r="AE122" s="22">
        <f ca="1">ts2bElec*SUMPRODUCT(tpSurvAxU,INDEX(tEIdxElec,27)*INDEX(elecAxU,1,3)*convFactor)</f>
        <v>536.99262527017447</v>
      </c>
      <c r="AF122" s="22">
        <f ca="1">ts2bElec*SUMPRODUCT(tpSurvAxU,INDEX(tEIdxElec,28)*INDEX(elecAxU,1,3)*convFactor)</f>
        <v>536.99262527017447</v>
      </c>
      <c r="AG122" s="22">
        <f ca="1">ts2bElec*SUMPRODUCT(tpSurvAxU,INDEX(tEIdxElec,29)*INDEX(elecAxU,1,3)*convFactor)</f>
        <v>536.99262527017447</v>
      </c>
      <c r="AH122" s="22">
        <f ca="1">ts2bElec*SUMPRODUCT(tpSurvAxU,INDEX(tEIdxElec,30)*INDEX(elecAxU,1,3)*convFactor)</f>
        <v>536.99262527017447</v>
      </c>
      <c r="AI122" s="22">
        <f ca="1">ts2bElec*SUMPRODUCT(tpSurvAxU,INDEX(tEIdxElec,31)*INDEX(elecAxU,1,3)*convFactor)</f>
        <v>536.99262527017447</v>
      </c>
      <c r="AJ122" s="22">
        <f ca="1">ts2bElec*SUMPRODUCT(tpSurvAxU,INDEX(tEIdxElec,32)*INDEX(elecAxU,1,3)*convFactor)</f>
        <v>536.99262527017447</v>
      </c>
      <c r="AK122" s="25">
        <f ca="1">ts2bElec*SUMPRODUCT(tpSurvAxU,INDEX(tEIdxElec,33)*INDEX(elecAxU,1,3)*convFactor)</f>
        <v>536.99262527017447</v>
      </c>
      <c r="AL122" s="3"/>
    </row>
    <row r="123" spans="2:38">
      <c r="B123" s="3"/>
      <c r="C123" s="30" t="str">
        <f>"EL 3: " &amp; INDEX(_doName,2,4)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(1+INDEX(vadAxU,1,4))*INDEX(mspAxU,1,4)*tPIdxAll + INDEX(instAxU,1,4) + SUMPRODUCT(dFactor,tpSurvAxU,INDEX(mrAxU,1,4)*allOnes)</f>
        <v>662.81799999999998</v>
      </c>
      <c r="F124" s="28">
        <f ca="1"/>
        <v>662.81799999999998</v>
      </c>
      <c r="G124" s="28">
        <f ca="1"/>
        <v>662.81799999999998</v>
      </c>
      <c r="H124" s="28">
        <f ca="1"/>
        <v>662.81799999999998</v>
      </c>
      <c r="I124" s="28">
        <f ca="1"/>
        <v>662.81799999999998</v>
      </c>
      <c r="J124" s="28">
        <f ca="1"/>
        <v>662.81799999999998</v>
      </c>
      <c r="K124" s="28">
        <f ca="1"/>
        <v>662.81799999999998</v>
      </c>
      <c r="L124" s="28">
        <f ca="1"/>
        <v>662.81799999999998</v>
      </c>
      <c r="M124" s="28">
        <f ca="1"/>
        <v>662.81799999999998</v>
      </c>
      <c r="N124" s="28">
        <f ca="1"/>
        <v>662.81799999999998</v>
      </c>
      <c r="O124" s="28">
        <f ca="1"/>
        <v>662.81799999999998</v>
      </c>
      <c r="P124" s="28">
        <f ca="1"/>
        <v>662.81799999999998</v>
      </c>
      <c r="Q124" s="28">
        <f ca="1"/>
        <v>662.81799999999998</v>
      </c>
      <c r="R124" s="28">
        <f ca="1"/>
        <v>662.81799999999998</v>
      </c>
      <c r="S124" s="28">
        <f ca="1"/>
        <v>662.81799999999998</v>
      </c>
      <c r="T124" s="28">
        <f ca="1"/>
        <v>662.81799999999998</v>
      </c>
      <c r="U124" s="28">
        <f ca="1"/>
        <v>662.81799999999998</v>
      </c>
      <c r="V124" s="28">
        <f ca="1"/>
        <v>662.81799999999998</v>
      </c>
      <c r="W124" s="28">
        <f ca="1"/>
        <v>662.81799999999998</v>
      </c>
      <c r="X124" s="28">
        <f ca="1"/>
        <v>662.81799999999998</v>
      </c>
      <c r="Y124" s="28">
        <f ca="1"/>
        <v>662.81799999999998</v>
      </c>
      <c r="Z124" s="28">
        <f ca="1"/>
        <v>662.81799999999998</v>
      </c>
      <c r="AA124" s="28">
        <f ca="1"/>
        <v>662.81799999999998</v>
      </c>
      <c r="AB124" s="28">
        <f ca="1"/>
        <v>662.81799999999998</v>
      </c>
      <c r="AC124" s="28">
        <f ca="1"/>
        <v>662.81799999999998</v>
      </c>
      <c r="AD124" s="28">
        <f ca="1"/>
        <v>662.81799999999998</v>
      </c>
      <c r="AE124" s="28">
        <f ca="1"/>
        <v>662.81799999999998</v>
      </c>
      <c r="AF124" s="28">
        <f ca="1"/>
        <v>662.81799999999998</v>
      </c>
      <c r="AG124" s="28">
        <f ca="1"/>
        <v>662.81799999999998</v>
      </c>
      <c r="AH124" s="28">
        <f ca="1"/>
        <v>662.81799999999998</v>
      </c>
      <c r="AI124" s="28">
        <f ca="1"/>
        <v>662.81799999999998</v>
      </c>
      <c r="AJ124" s="28">
        <f ca="1"/>
        <v>662.81799999999998</v>
      </c>
      <c r="AK124" s="29">
        <f ca="1"/>
        <v>662.81799999999998</v>
      </c>
      <c r="AL124" s="3"/>
    </row>
    <row r="125" spans="2:38">
      <c r="B125" s="3"/>
      <c r="C125" s="23" t="s">
        <v>47</v>
      </c>
      <c r="D125" s="16" t="str">
        <f>_yearDol &amp; "$"</f>
        <v>2013$</v>
      </c>
      <c r="E125" s="141">
        <f t="array" aca="1" ref="E125:AK125" ca="1">(tlccEFubcElec3)</f>
        <v>17079.111159336699</v>
      </c>
      <c r="F125" s="28">
        <f ca="1"/>
        <v>17154.283171632531</v>
      </c>
      <c r="G125" s="28">
        <f ca="1"/>
        <v>17220.870393934238</v>
      </c>
      <c r="H125" s="28">
        <f ca="1"/>
        <v>17293.387384486228</v>
      </c>
      <c r="I125" s="28">
        <f ca="1"/>
        <v>17357.148067260656</v>
      </c>
      <c r="J125" s="28">
        <f ca="1"/>
        <v>17426.690391423112</v>
      </c>
      <c r="K125" s="28">
        <f ca="1"/>
        <v>17487.314492033809</v>
      </c>
      <c r="L125" s="28">
        <f ca="1"/>
        <v>17553.509590228663</v>
      </c>
      <c r="M125" s="28">
        <f ca="1"/>
        <v>17625.650311288129</v>
      </c>
      <c r="N125" s="28">
        <f ca="1"/>
        <v>17689.022565565716</v>
      </c>
      <c r="O125" s="28">
        <f ca="1"/>
        <v>17758.178054768759</v>
      </c>
      <c r="P125" s="28">
        <f ca="1"/>
        <v>17833.586991901193</v>
      </c>
      <c r="Q125" s="28">
        <f ca="1"/>
        <v>17900.437780193257</v>
      </c>
      <c r="R125" s="28">
        <f ca="1"/>
        <v>17973.335409950552</v>
      </c>
      <c r="S125" s="28">
        <f ca="1"/>
        <v>18037.54249309142</v>
      </c>
      <c r="T125" s="28">
        <f ca="1"/>
        <v>18107.63514130914</v>
      </c>
      <c r="U125" s="28">
        <f ca="1"/>
        <v>18184.057079907954</v>
      </c>
      <c r="V125" s="28">
        <f ca="1"/>
        <v>18252.043608780183</v>
      </c>
      <c r="W125" s="28">
        <f ca="1"/>
        <v>18326.195785436503</v>
      </c>
      <c r="X125" s="28">
        <f ca="1"/>
        <v>18391.751371873437</v>
      </c>
      <c r="Y125" s="28">
        <f ca="1"/>
        <v>18463.341493365257</v>
      </c>
      <c r="Z125" s="28">
        <f ca="1"/>
        <v>18541.367647218442</v>
      </c>
      <c r="AA125" s="28">
        <f ca="1"/>
        <v>18611.108816816119</v>
      </c>
      <c r="AB125" s="28">
        <f ca="1"/>
        <v>18687.183883459984</v>
      </c>
      <c r="AC125" s="28">
        <f ca="1"/>
        <v>18754.843142059141</v>
      </c>
      <c r="AD125" s="28">
        <f ca="1"/>
        <v>18828.663759549891</v>
      </c>
      <c r="AE125" s="28">
        <f ca="1"/>
        <v>18909.078642731645</v>
      </c>
      <c r="AF125" s="28">
        <f ca="1"/>
        <v>18981.427996867398</v>
      </c>
      <c r="AG125" s="28">
        <f ca="1"/>
        <v>19060.311896851163</v>
      </c>
      <c r="AH125" s="28">
        <f ca="1"/>
        <v>19131.013286857815</v>
      </c>
      <c r="AI125" s="28">
        <f ca="1"/>
        <v>19208.174305292334</v>
      </c>
      <c r="AJ125" s="28">
        <f ca="1"/>
        <v>19277.024138107248</v>
      </c>
      <c r="AK125" s="29">
        <f ca="1"/>
        <v>19352.179206823312</v>
      </c>
      <c r="AL125" s="3"/>
    </row>
    <row r="126" spans="2:38">
      <c r="B126" s="3"/>
      <c r="C126" s="27" t="str">
        <f>INDEX(_fuel,1)</f>
        <v>Electricity</v>
      </c>
      <c r="D126" s="16" t="str">
        <f>_yearDol &amp; "$"</f>
        <v>2013$</v>
      </c>
      <c r="E126" s="141">
        <f ca="1">SUMPRODUCT(dFactor,tpSurvAxU,INDEX(tEIdxElec,1)*INDEX(elecAxU,1,4)*allOnes,OFFSET(tPrcElec,0,0,1,_maxLT))</f>
        <v>17079.111159336699</v>
      </c>
      <c r="F126" s="28">
        <f ca="1">SUMPRODUCT(dFactor,tpSurvAxU,INDEX(tEIdxElec,2)*INDEX(elecAxU,1,4)*allOnes,OFFSET(tPrcElec,0,1,1,_maxLT))</f>
        <v>17154.283171632531</v>
      </c>
      <c r="G126" s="28">
        <f ca="1">SUMPRODUCT(dFactor,tpSurvAxU,INDEX(tEIdxElec,3)*INDEX(elecAxU,1,4)*allOnes,OFFSET(tPrcElec,0,2,1,_maxLT))</f>
        <v>17220.870393934238</v>
      </c>
      <c r="H126" s="28">
        <f ca="1">SUMPRODUCT(dFactor,tpSurvAxU,INDEX(tEIdxElec,4)*INDEX(elecAxU,1,4)*allOnes,OFFSET(tPrcElec,0,3,1,_maxLT))</f>
        <v>17293.387384486228</v>
      </c>
      <c r="I126" s="28">
        <f ca="1">SUMPRODUCT(dFactor,tpSurvAxU,INDEX(tEIdxElec,5)*INDEX(elecAxU,1,4)*allOnes,OFFSET(tPrcElec,0,4,1,_maxLT))</f>
        <v>17357.148067260656</v>
      </c>
      <c r="J126" s="28">
        <f ca="1">SUMPRODUCT(dFactor,tpSurvAxU,INDEX(tEIdxElec,6)*INDEX(elecAxU,1,4)*allOnes,OFFSET(tPrcElec,0,5,1,_maxLT))</f>
        <v>17426.690391423112</v>
      </c>
      <c r="K126" s="28">
        <f ca="1">SUMPRODUCT(dFactor,tpSurvAxU,INDEX(tEIdxElec,7)*INDEX(elecAxU,1,4)*allOnes,OFFSET(tPrcElec,0,6,1,_maxLT))</f>
        <v>17487.314492033809</v>
      </c>
      <c r="L126" s="28">
        <f ca="1">SUMPRODUCT(dFactor,tpSurvAxU,INDEX(tEIdxElec,8)*INDEX(elecAxU,1,4)*allOnes,OFFSET(tPrcElec,0,7,1,_maxLT))</f>
        <v>17553.509590228663</v>
      </c>
      <c r="M126" s="28">
        <f ca="1">SUMPRODUCT(dFactor,tpSurvAxU,INDEX(tEIdxElec,9)*INDEX(elecAxU,1,4)*allOnes,OFFSET(tPrcElec,0,8,1,_maxLT))</f>
        <v>17625.650311288129</v>
      </c>
      <c r="N126" s="28">
        <f ca="1">SUMPRODUCT(dFactor,tpSurvAxU,INDEX(tEIdxElec,10)*INDEX(elecAxU,1,4)*allOnes,OFFSET(tPrcElec,0,9,1,_maxLT))</f>
        <v>17689.022565565716</v>
      </c>
      <c r="O126" s="28">
        <f ca="1">SUMPRODUCT(dFactor,tpSurvAxU,INDEX(tEIdxElec,11)*INDEX(elecAxU,1,4)*allOnes,OFFSET(tPrcElec,0,10,1,_maxLT))</f>
        <v>17758.178054768759</v>
      </c>
      <c r="P126" s="28">
        <f ca="1">SUMPRODUCT(dFactor,tpSurvAxU,INDEX(tEIdxElec,12)*INDEX(elecAxU,1,4)*allOnes,OFFSET(tPrcElec,0,11,1,_maxLT))</f>
        <v>17833.586991901193</v>
      </c>
      <c r="Q126" s="28">
        <f ca="1">SUMPRODUCT(dFactor,tpSurvAxU,INDEX(tEIdxElec,13)*INDEX(elecAxU,1,4)*allOnes,OFFSET(tPrcElec,0,12,1,_maxLT))</f>
        <v>17900.437780193257</v>
      </c>
      <c r="R126" s="28">
        <f ca="1">SUMPRODUCT(dFactor,tpSurvAxU,INDEX(tEIdxElec,14)*INDEX(elecAxU,1,4)*allOnes,OFFSET(tPrcElec,0,13,1,_maxLT))</f>
        <v>17973.335409950552</v>
      </c>
      <c r="S126" s="28">
        <f ca="1">SUMPRODUCT(dFactor,tpSurvAxU,INDEX(tEIdxElec,15)*INDEX(elecAxU,1,4)*allOnes,OFFSET(tPrcElec,0,14,1,_maxLT))</f>
        <v>18037.54249309142</v>
      </c>
      <c r="T126" s="28">
        <f ca="1">SUMPRODUCT(dFactor,tpSurvAxU,INDEX(tEIdxElec,16)*INDEX(elecAxU,1,4)*allOnes,OFFSET(tPrcElec,0,15,1,_maxLT))</f>
        <v>18107.63514130914</v>
      </c>
      <c r="U126" s="28">
        <f ca="1">SUMPRODUCT(dFactor,tpSurvAxU,INDEX(tEIdxElec,17)*INDEX(elecAxU,1,4)*allOnes,OFFSET(tPrcElec,0,16,1,_maxLT))</f>
        <v>18184.057079907954</v>
      </c>
      <c r="V126" s="28">
        <f ca="1">SUMPRODUCT(dFactor,tpSurvAxU,INDEX(tEIdxElec,18)*INDEX(elecAxU,1,4)*allOnes,OFFSET(tPrcElec,0,17,1,_maxLT))</f>
        <v>18252.043608780183</v>
      </c>
      <c r="W126" s="28">
        <f ca="1">SUMPRODUCT(dFactor,tpSurvAxU,INDEX(tEIdxElec,19)*INDEX(elecAxU,1,4)*allOnes,OFFSET(tPrcElec,0,18,1,_maxLT))</f>
        <v>18326.195785436503</v>
      </c>
      <c r="X126" s="28">
        <f ca="1">SUMPRODUCT(dFactor,tpSurvAxU,INDEX(tEIdxElec,20)*INDEX(elecAxU,1,4)*allOnes,OFFSET(tPrcElec,0,19,1,_maxLT))</f>
        <v>18391.751371873437</v>
      </c>
      <c r="Y126" s="28">
        <f ca="1">SUMPRODUCT(dFactor,tpSurvAxU,INDEX(tEIdxElec,21)*INDEX(elecAxU,1,4)*allOnes,OFFSET(tPrcElec,0,20,1,_maxLT))</f>
        <v>18463.341493365257</v>
      </c>
      <c r="Z126" s="28">
        <f ca="1">SUMPRODUCT(dFactor,tpSurvAxU,INDEX(tEIdxElec,22)*INDEX(elecAxU,1,4)*allOnes,OFFSET(tPrcElec,0,21,1,_maxLT))</f>
        <v>18541.367647218442</v>
      </c>
      <c r="AA126" s="28">
        <f ca="1">SUMPRODUCT(dFactor,tpSurvAxU,INDEX(tEIdxElec,23)*INDEX(elecAxU,1,4)*allOnes,OFFSET(tPrcElec,0,22,1,_maxLT))</f>
        <v>18611.108816816119</v>
      </c>
      <c r="AB126" s="28">
        <f ca="1">SUMPRODUCT(dFactor,tpSurvAxU,INDEX(tEIdxElec,24)*INDEX(elecAxU,1,4)*allOnes,OFFSET(tPrcElec,0,23,1,_maxLT))</f>
        <v>18687.183883459984</v>
      </c>
      <c r="AC126" s="28">
        <f ca="1">SUMPRODUCT(dFactor,tpSurvAxU,INDEX(tEIdxElec,25)*INDEX(elecAxU,1,4)*allOnes,OFFSET(tPrcElec,0,24,1,_maxLT))</f>
        <v>18754.843142059141</v>
      </c>
      <c r="AD126" s="28">
        <f ca="1">SUMPRODUCT(dFactor,tpSurvAxU,INDEX(tEIdxElec,26)*INDEX(elecAxU,1,4)*allOnes,OFFSET(tPrcElec,0,25,1,_maxLT))</f>
        <v>18828.663759549891</v>
      </c>
      <c r="AE126" s="28">
        <f ca="1">SUMPRODUCT(dFactor,tpSurvAxU,INDEX(tEIdxElec,27)*INDEX(elecAxU,1,4)*allOnes,OFFSET(tPrcElec,0,26,1,_maxLT))</f>
        <v>18909.078642731645</v>
      </c>
      <c r="AF126" s="28">
        <f ca="1">SUMPRODUCT(dFactor,tpSurvAxU,INDEX(tEIdxElec,28)*INDEX(elecAxU,1,4)*allOnes,OFFSET(tPrcElec,0,27,1,_maxLT))</f>
        <v>18981.427996867398</v>
      </c>
      <c r="AG126" s="28">
        <f ca="1">SUMPRODUCT(dFactor,tpSurvAxU,INDEX(tEIdxElec,29)*INDEX(elecAxU,1,4)*allOnes,OFFSET(tPrcElec,0,28,1,_maxLT))</f>
        <v>19060.311896851163</v>
      </c>
      <c r="AH126" s="28">
        <f ca="1">SUMPRODUCT(dFactor,tpSurvAxU,INDEX(tEIdxElec,30)*INDEX(elecAxU,1,4)*allOnes,OFFSET(tPrcElec,0,29,1,_maxLT))</f>
        <v>19131.013286857815</v>
      </c>
      <c r="AI126" s="28">
        <f ca="1">SUMPRODUCT(dFactor,tpSurvAxU,INDEX(tEIdxElec,31)*INDEX(elecAxU,1,4)*allOnes,OFFSET(tPrcElec,0,30,1,_maxLT))</f>
        <v>19208.174305292334</v>
      </c>
      <c r="AJ126" s="28">
        <f ca="1">SUMPRODUCT(dFactor,tpSurvAxU,INDEX(tEIdxElec,32)*INDEX(elecAxU,1,4)*allOnes,OFFSET(tPrcElec,0,31,1,_maxLT))</f>
        <v>19277.024138107248</v>
      </c>
      <c r="AK126" s="29">
        <f ca="1">SUMPRODUCT(dFactor,tpSurvAxU,INDEX(tEIdxElec,33)*INDEX(elecAxU,1,4)*allOnes,OFFSET(tPrcElec,0,32,1,_maxLT))</f>
        <v>19352.179206823312</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ts2bElec*SUMPRODUCT(tpSurvAxU,INDEX(tEIdxElec,1)*INDEX(elecAxU,1,4)*convFactor)</f>
        <v>3727.3108878021944</v>
      </c>
      <c r="F128" s="22">
        <f ca="1">ts2bElec*SUMPRODUCT(tpSurvAxU,INDEX(tEIdxElec,2)*INDEX(elecAxU,1,4)*convFactor)</f>
        <v>3700.3910363949622</v>
      </c>
      <c r="G128" s="22">
        <f ca="1">ts2bElec*SUMPRODUCT(tpSurvAxU,INDEX(tEIdxElec,3)*INDEX(elecAxU,1,4)*convFactor)</f>
        <v>3673.2657645055374</v>
      </c>
      <c r="H128" s="22">
        <f ca="1">ts2bElec*SUMPRODUCT(tpSurvAxU,INDEX(tEIdxElec,4)*INDEX(elecAxU,1,4)*convFactor)</f>
        <v>3649.4479514258169</v>
      </c>
      <c r="I128" s="22">
        <f ca="1">ts2bElec*SUMPRODUCT(tpSurvAxU,INDEX(tEIdxElec,5)*INDEX(elecAxU,1,4)*convFactor)</f>
        <v>3626.8683436024926</v>
      </c>
      <c r="J128" s="22">
        <f ca="1">ts2bElec*SUMPRODUCT(tpSurvAxU,INDEX(tEIdxElec,6)*INDEX(elecAxU,1,4)*convFactor)</f>
        <v>3607.2139164406703</v>
      </c>
      <c r="K128" s="22">
        <f ca="1">ts2bElec*SUMPRODUCT(tpSurvAxU,INDEX(tEIdxElec,7)*INDEX(elecAxU,1,4)*convFactor)</f>
        <v>3591.9788563485322</v>
      </c>
      <c r="L128" s="22">
        <f ca="1">ts2bElec*SUMPRODUCT(tpSurvAxU,INDEX(tEIdxElec,8)*INDEX(elecAxU,1,4)*convFactor)</f>
        <v>3579.3506095319476</v>
      </c>
      <c r="M128" s="22">
        <f ca="1">ts2bElec*SUMPRODUCT(tpSurvAxU,INDEX(tEIdxElec,9)*INDEX(elecAxU,1,4)*convFactor)</f>
        <v>3566.6635095220922</v>
      </c>
      <c r="N128" s="22">
        <f ca="1">ts2bElec*SUMPRODUCT(tpSurvAxU,INDEX(tEIdxElec,10)*INDEX(elecAxU,1,4)*convFactor)</f>
        <v>3556.5180165171628</v>
      </c>
      <c r="O128" s="22">
        <f ca="1">ts2bElec*SUMPRODUCT(tpSurvAxU,INDEX(tEIdxElec,11)*INDEX(elecAxU,1,4)*convFactor)</f>
        <v>3549.5314294430568</v>
      </c>
      <c r="P128" s="22">
        <f ca="1">ts2bElec*SUMPRODUCT(tpSurvAxU,INDEX(tEIdxElec,12)*INDEX(elecAxU,1,4)*convFactor)</f>
        <v>3544.4172468648071</v>
      </c>
      <c r="Q128" s="22">
        <f ca="1">ts2bElec*SUMPRODUCT(tpSurvAxU,INDEX(tEIdxElec,13)*INDEX(elecAxU,1,4)*convFactor)</f>
        <v>3540.1137216372022</v>
      </c>
      <c r="R128" s="22">
        <f ca="1">ts2bElec*SUMPRODUCT(tpSurvAxU,INDEX(tEIdxElec,14)*INDEX(elecAxU,1,4)*convFactor)</f>
        <v>3536.9380336941044</v>
      </c>
      <c r="S128" s="22">
        <f ca="1">ts2bElec*SUMPRODUCT(tpSurvAxU,INDEX(tEIdxElec,15)*INDEX(elecAxU,1,4)*convFactor)</f>
        <v>3534.5172305630117</v>
      </c>
      <c r="T128" s="22">
        <f ca="1">ts2bElec*SUMPRODUCT(tpSurvAxU,INDEX(tEIdxElec,16)*INDEX(elecAxU,1,4)*convFactor)</f>
        <v>3534.2140504257891</v>
      </c>
      <c r="U128" s="22">
        <f ca="1">ts2bElec*SUMPRODUCT(tpSurvAxU,INDEX(tEIdxElec,17)*INDEX(elecAxU,1,4)*convFactor)</f>
        <v>3534.8358842939074</v>
      </c>
      <c r="V128" s="22">
        <f ca="1">ts2bElec*SUMPRODUCT(tpSurvAxU,INDEX(tEIdxElec,18)*INDEX(elecAxU,1,4)*convFactor)</f>
        <v>3535.7487274917653</v>
      </c>
      <c r="W128" s="22">
        <f ca="1">ts2bElec*SUMPRODUCT(tpSurvAxU,INDEX(tEIdxElec,19)*INDEX(elecAxU,1,4)*convFactor)</f>
        <v>3537.0542197376103</v>
      </c>
      <c r="X128" s="22">
        <f ca="1">ts2bElec*SUMPRODUCT(tpSurvAxU,INDEX(tEIdxElec,20)*INDEX(elecAxU,1,4)*convFactor)</f>
        <v>3538.2878958863071</v>
      </c>
      <c r="Y128" s="22">
        <f ca="1">ts2bElec*SUMPRODUCT(tpSurvAxU,INDEX(tEIdxElec,21)*INDEX(elecAxU,1,4)*convFactor)</f>
        <v>3539.3100625357488</v>
      </c>
      <c r="Z128" s="22">
        <f ca="1">ts2bElec*SUMPRODUCT(tpSurvAxU,INDEX(tEIdxElec,22)*INDEX(elecAxU,1,4)*convFactor)</f>
        <v>3539.995058712399</v>
      </c>
      <c r="AA128" s="22">
        <f ca="1">ts2bElec*SUMPRODUCT(tpSurvAxU,INDEX(tEIdxElec,23)*INDEX(elecAxU,1,4)*convFactor)</f>
        <v>3540.4465167906833</v>
      </c>
      <c r="AB128" s="22">
        <f ca="1">ts2bElec*SUMPRODUCT(tpSurvAxU,INDEX(tEIdxElec,24)*INDEX(elecAxU,1,4)*convFactor)</f>
        <v>3540.4465167906833</v>
      </c>
      <c r="AC128" s="22">
        <f ca="1">ts2bElec*SUMPRODUCT(tpSurvAxU,INDEX(tEIdxElec,25)*INDEX(elecAxU,1,4)*convFactor)</f>
        <v>3540.4465167906833</v>
      </c>
      <c r="AD128" s="22">
        <f ca="1">ts2bElec*SUMPRODUCT(tpSurvAxU,INDEX(tEIdxElec,26)*INDEX(elecAxU,1,4)*convFactor)</f>
        <v>3540.4465167906833</v>
      </c>
      <c r="AE128" s="22">
        <f ca="1">ts2bElec*SUMPRODUCT(tpSurvAxU,INDEX(tEIdxElec,27)*INDEX(elecAxU,1,4)*convFactor)</f>
        <v>3540.4465167906833</v>
      </c>
      <c r="AF128" s="22">
        <f ca="1">ts2bElec*SUMPRODUCT(tpSurvAxU,INDEX(tEIdxElec,28)*INDEX(elecAxU,1,4)*convFactor)</f>
        <v>3540.4465167906833</v>
      </c>
      <c r="AG128" s="22">
        <f ca="1">ts2bElec*SUMPRODUCT(tpSurvAxU,INDEX(tEIdxElec,29)*INDEX(elecAxU,1,4)*convFactor)</f>
        <v>3540.4465167906833</v>
      </c>
      <c r="AH128" s="22">
        <f ca="1">ts2bElec*SUMPRODUCT(tpSurvAxU,INDEX(tEIdxElec,30)*INDEX(elecAxU,1,4)*convFactor)</f>
        <v>3540.4465167906833</v>
      </c>
      <c r="AI128" s="22">
        <f ca="1">ts2bElec*SUMPRODUCT(tpSurvAxU,INDEX(tEIdxElec,31)*INDEX(elecAxU,1,4)*convFactor)</f>
        <v>3540.4465167906833</v>
      </c>
      <c r="AJ128" s="22">
        <f ca="1">ts2bElec*SUMPRODUCT(tpSurvAxU,INDEX(tEIdxElec,32)*INDEX(elecAxU,1,4)*convFactor)</f>
        <v>3540.4465167906833</v>
      </c>
      <c r="AK128" s="25">
        <f ca="1">ts2bElec*SUMPRODUCT(tpSurvAxU,INDEX(tEIdxElec,33)*INDEX(elecAxU,1,4)*convFactor)</f>
        <v>3540.4465167906833</v>
      </c>
      <c r="AL128" s="3"/>
    </row>
    <row r="129" spans="2:38">
      <c r="B129" s="3"/>
      <c r="C129" s="30" t="str">
        <f>"EL 4: " &amp; INDEX(_doName,2,5)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(1+INDEX(vadAxU,1,5))*INDEX(mspAxU,1,5)*tPIdxAll + INDEX(instAxU,1,5) + SUMPRODUCT(dFactor,tpSurvAxU,INDEX(mrAxU,1,5)*allOnes)</f>
        <v>1383.336994</v>
      </c>
      <c r="F130" s="28">
        <f ca="1"/>
        <v>1383.336994</v>
      </c>
      <c r="G130" s="28">
        <f ca="1"/>
        <v>1383.336994</v>
      </c>
      <c r="H130" s="28">
        <f ca="1"/>
        <v>1383.336994</v>
      </c>
      <c r="I130" s="28">
        <f ca="1"/>
        <v>1383.336994</v>
      </c>
      <c r="J130" s="28">
        <f ca="1"/>
        <v>1383.336994</v>
      </c>
      <c r="K130" s="28">
        <f ca="1"/>
        <v>1383.336994</v>
      </c>
      <c r="L130" s="28">
        <f ca="1"/>
        <v>1383.336994</v>
      </c>
      <c r="M130" s="28">
        <f ca="1"/>
        <v>1383.336994</v>
      </c>
      <c r="N130" s="28">
        <f ca="1"/>
        <v>1383.336994</v>
      </c>
      <c r="O130" s="28">
        <f ca="1"/>
        <v>1383.336994</v>
      </c>
      <c r="P130" s="28">
        <f ca="1"/>
        <v>1383.336994</v>
      </c>
      <c r="Q130" s="28">
        <f ca="1"/>
        <v>1383.336994</v>
      </c>
      <c r="R130" s="28">
        <f ca="1"/>
        <v>1383.336994</v>
      </c>
      <c r="S130" s="28">
        <f ca="1"/>
        <v>1383.336994</v>
      </c>
      <c r="T130" s="28">
        <f ca="1"/>
        <v>1383.336994</v>
      </c>
      <c r="U130" s="28">
        <f ca="1"/>
        <v>1383.336994</v>
      </c>
      <c r="V130" s="28">
        <f ca="1"/>
        <v>1383.336994</v>
      </c>
      <c r="W130" s="28">
        <f ca="1"/>
        <v>1383.336994</v>
      </c>
      <c r="X130" s="28">
        <f ca="1"/>
        <v>1383.336994</v>
      </c>
      <c r="Y130" s="28">
        <f ca="1"/>
        <v>1383.336994</v>
      </c>
      <c r="Z130" s="28">
        <f ca="1"/>
        <v>1383.336994</v>
      </c>
      <c r="AA130" s="28">
        <f ca="1"/>
        <v>1383.336994</v>
      </c>
      <c r="AB130" s="28">
        <f ca="1"/>
        <v>1383.336994</v>
      </c>
      <c r="AC130" s="28">
        <f ca="1"/>
        <v>1383.336994</v>
      </c>
      <c r="AD130" s="28">
        <f ca="1"/>
        <v>1383.336994</v>
      </c>
      <c r="AE130" s="28">
        <f ca="1"/>
        <v>1383.336994</v>
      </c>
      <c r="AF130" s="28">
        <f ca="1"/>
        <v>1383.336994</v>
      </c>
      <c r="AG130" s="28">
        <f ca="1"/>
        <v>1383.336994</v>
      </c>
      <c r="AH130" s="28">
        <f ca="1"/>
        <v>1383.336994</v>
      </c>
      <c r="AI130" s="28">
        <f ca="1"/>
        <v>1383.336994</v>
      </c>
      <c r="AJ130" s="28">
        <f ca="1"/>
        <v>1383.336994</v>
      </c>
      <c r="AK130" s="29">
        <f ca="1"/>
        <v>1383.336994</v>
      </c>
      <c r="AL130" s="3"/>
    </row>
    <row r="131" spans="2:38">
      <c r="B131" s="3"/>
      <c r="C131" s="23" t="s">
        <v>47</v>
      </c>
      <c r="D131" s="16" t="str">
        <f>_yearDol &amp; "$"</f>
        <v>2013$</v>
      </c>
      <c r="E131" s="141">
        <f t="array" aca="1" ref="E131:AK131" ca="1">(tlccEFubcElec4)</f>
        <v>19707.579712956962</v>
      </c>
      <c r="F131" s="28">
        <f ca="1"/>
        <v>19794.320668659064</v>
      </c>
      <c r="G131" s="28">
        <f ca="1"/>
        <v>19871.155638531483</v>
      </c>
      <c r="H131" s="28">
        <f ca="1"/>
        <v>19954.83296567772</v>
      </c>
      <c r="I131" s="28">
        <f ca="1"/>
        <v>20028.406392690798</v>
      </c>
      <c r="J131" s="28">
        <f ca="1"/>
        <v>20108.651253449068</v>
      </c>
      <c r="K131" s="28">
        <f ca="1"/>
        <v>20178.605379525376</v>
      </c>
      <c r="L131" s="28">
        <f ca="1"/>
        <v>20254.987877543659</v>
      </c>
      <c r="M131" s="28">
        <f ca="1"/>
        <v>20338.231027469104</v>
      </c>
      <c r="N131" s="28">
        <f ca="1"/>
        <v>20411.356246991018</v>
      </c>
      <c r="O131" s="28">
        <f ca="1"/>
        <v>20491.154739040292</v>
      </c>
      <c r="P131" s="28">
        <f ca="1"/>
        <v>20578.169082219043</v>
      </c>
      <c r="Q131" s="28">
        <f ca="1"/>
        <v>20655.308180785065</v>
      </c>
      <c r="R131" s="28">
        <f ca="1"/>
        <v>20739.424727362039</v>
      </c>
      <c r="S131" s="28">
        <f ca="1"/>
        <v>20813.513255584032</v>
      </c>
      <c r="T131" s="28">
        <f ca="1"/>
        <v>20894.393135055256</v>
      </c>
      <c r="U131" s="28">
        <f ca="1"/>
        <v>20982.576380231429</v>
      </c>
      <c r="V131" s="28">
        <f ca="1"/>
        <v>21061.02600941042</v>
      </c>
      <c r="W131" s="28">
        <f ca="1"/>
        <v>21146.590177165417</v>
      </c>
      <c r="X131" s="28">
        <f ca="1"/>
        <v>21222.234742815373</v>
      </c>
      <c r="Y131" s="28">
        <f ca="1"/>
        <v>21304.842556114188</v>
      </c>
      <c r="Z131" s="28">
        <f ca="1"/>
        <v>21394.876904647408</v>
      </c>
      <c r="AA131" s="28">
        <f ca="1"/>
        <v>21475.351213075901</v>
      </c>
      <c r="AB131" s="28">
        <f ca="1"/>
        <v>21563.134202838381</v>
      </c>
      <c r="AC131" s="28">
        <f ca="1"/>
        <v>21641.206194976763</v>
      </c>
      <c r="AD131" s="28">
        <f ca="1"/>
        <v>21726.387776739779</v>
      </c>
      <c r="AE131" s="28">
        <f ca="1"/>
        <v>21819.178479114616</v>
      </c>
      <c r="AF131" s="28">
        <f ca="1"/>
        <v>21902.662370665505</v>
      </c>
      <c r="AG131" s="28">
        <f ca="1"/>
        <v>21993.686472124631</v>
      </c>
      <c r="AH131" s="28">
        <f ca="1"/>
        <v>22075.268778508951</v>
      </c>
      <c r="AI131" s="28">
        <f ca="1"/>
        <v>22164.304847619576</v>
      </c>
      <c r="AJ131" s="28">
        <f ca="1"/>
        <v>22243.7506428817</v>
      </c>
      <c r="AK131" s="29">
        <f ca="1"/>
        <v>22330.472047393709</v>
      </c>
      <c r="AL131" s="3"/>
    </row>
    <row r="132" spans="2:38">
      <c r="B132" s="3"/>
      <c r="C132" s="27" t="str">
        <f>INDEX(_fuel,1)</f>
        <v>Electricity</v>
      </c>
      <c r="D132" s="16" t="str">
        <f>_yearDol &amp; "$"</f>
        <v>2013$</v>
      </c>
      <c r="E132" s="141">
        <f ca="1">SUMPRODUCT(dFactor,tpSurvAxU,INDEX(tEIdxElec,1)*INDEX(elecAxU,1,5)*allOnes,OFFSET(tPrcElec,0,0,1,_maxLT))</f>
        <v>19707.579712956962</v>
      </c>
      <c r="F132" s="28">
        <f ca="1">SUMPRODUCT(dFactor,tpSurvAxU,INDEX(tEIdxElec,2)*INDEX(elecAxU,1,5)*allOnes,OFFSET(tPrcElec,0,1,1,_maxLT))</f>
        <v>19794.320668659064</v>
      </c>
      <c r="G132" s="28">
        <f ca="1">SUMPRODUCT(dFactor,tpSurvAxU,INDEX(tEIdxElec,3)*INDEX(elecAxU,1,5)*allOnes,OFFSET(tPrcElec,0,2,1,_maxLT))</f>
        <v>19871.155638531483</v>
      </c>
      <c r="H132" s="28">
        <f ca="1">SUMPRODUCT(dFactor,tpSurvAxU,INDEX(tEIdxElec,4)*INDEX(elecAxU,1,5)*allOnes,OFFSET(tPrcElec,0,3,1,_maxLT))</f>
        <v>19954.83296567772</v>
      </c>
      <c r="I132" s="28">
        <f ca="1">SUMPRODUCT(dFactor,tpSurvAxU,INDEX(tEIdxElec,5)*INDEX(elecAxU,1,5)*allOnes,OFFSET(tPrcElec,0,4,1,_maxLT))</f>
        <v>20028.406392690798</v>
      </c>
      <c r="J132" s="28">
        <f ca="1">SUMPRODUCT(dFactor,tpSurvAxU,INDEX(tEIdxElec,6)*INDEX(elecAxU,1,5)*allOnes,OFFSET(tPrcElec,0,5,1,_maxLT))</f>
        <v>20108.651253449068</v>
      </c>
      <c r="K132" s="28">
        <f ca="1">SUMPRODUCT(dFactor,tpSurvAxU,INDEX(tEIdxElec,7)*INDEX(elecAxU,1,5)*allOnes,OFFSET(tPrcElec,0,6,1,_maxLT))</f>
        <v>20178.605379525376</v>
      </c>
      <c r="L132" s="28">
        <f ca="1">SUMPRODUCT(dFactor,tpSurvAxU,INDEX(tEIdxElec,8)*INDEX(elecAxU,1,5)*allOnes,OFFSET(tPrcElec,0,7,1,_maxLT))</f>
        <v>20254.987877543659</v>
      </c>
      <c r="M132" s="28">
        <f ca="1">SUMPRODUCT(dFactor,tpSurvAxU,INDEX(tEIdxElec,9)*INDEX(elecAxU,1,5)*allOnes,OFFSET(tPrcElec,0,8,1,_maxLT))</f>
        <v>20338.231027469104</v>
      </c>
      <c r="N132" s="28">
        <f ca="1">SUMPRODUCT(dFactor,tpSurvAxU,INDEX(tEIdxElec,10)*INDEX(elecAxU,1,5)*allOnes,OFFSET(tPrcElec,0,9,1,_maxLT))</f>
        <v>20411.356246991018</v>
      </c>
      <c r="O132" s="28">
        <f ca="1">SUMPRODUCT(dFactor,tpSurvAxU,INDEX(tEIdxElec,11)*INDEX(elecAxU,1,5)*allOnes,OFFSET(tPrcElec,0,10,1,_maxLT))</f>
        <v>20491.154739040292</v>
      </c>
      <c r="P132" s="28">
        <f ca="1">SUMPRODUCT(dFactor,tpSurvAxU,INDEX(tEIdxElec,12)*INDEX(elecAxU,1,5)*allOnes,OFFSET(tPrcElec,0,11,1,_maxLT))</f>
        <v>20578.169082219043</v>
      </c>
      <c r="Q132" s="28">
        <f ca="1">SUMPRODUCT(dFactor,tpSurvAxU,INDEX(tEIdxElec,13)*INDEX(elecAxU,1,5)*allOnes,OFFSET(tPrcElec,0,12,1,_maxLT))</f>
        <v>20655.308180785065</v>
      </c>
      <c r="R132" s="28">
        <f ca="1">SUMPRODUCT(dFactor,tpSurvAxU,INDEX(tEIdxElec,14)*INDEX(elecAxU,1,5)*allOnes,OFFSET(tPrcElec,0,13,1,_maxLT))</f>
        <v>20739.424727362039</v>
      </c>
      <c r="S132" s="28">
        <f ca="1">SUMPRODUCT(dFactor,tpSurvAxU,INDEX(tEIdxElec,15)*INDEX(elecAxU,1,5)*allOnes,OFFSET(tPrcElec,0,14,1,_maxLT))</f>
        <v>20813.513255584032</v>
      </c>
      <c r="T132" s="28">
        <f ca="1">SUMPRODUCT(dFactor,tpSurvAxU,INDEX(tEIdxElec,16)*INDEX(elecAxU,1,5)*allOnes,OFFSET(tPrcElec,0,15,1,_maxLT))</f>
        <v>20894.393135055256</v>
      </c>
      <c r="U132" s="28">
        <f ca="1">SUMPRODUCT(dFactor,tpSurvAxU,INDEX(tEIdxElec,17)*INDEX(elecAxU,1,5)*allOnes,OFFSET(tPrcElec,0,16,1,_maxLT))</f>
        <v>20982.576380231429</v>
      </c>
      <c r="V132" s="28">
        <f ca="1">SUMPRODUCT(dFactor,tpSurvAxU,INDEX(tEIdxElec,18)*INDEX(elecAxU,1,5)*allOnes,OFFSET(tPrcElec,0,17,1,_maxLT))</f>
        <v>21061.02600941042</v>
      </c>
      <c r="W132" s="28">
        <f ca="1">SUMPRODUCT(dFactor,tpSurvAxU,INDEX(tEIdxElec,19)*INDEX(elecAxU,1,5)*allOnes,OFFSET(tPrcElec,0,18,1,_maxLT))</f>
        <v>21146.590177165417</v>
      </c>
      <c r="X132" s="28">
        <f ca="1">SUMPRODUCT(dFactor,tpSurvAxU,INDEX(tEIdxElec,20)*INDEX(elecAxU,1,5)*allOnes,OFFSET(tPrcElec,0,19,1,_maxLT))</f>
        <v>21222.234742815373</v>
      </c>
      <c r="Y132" s="28">
        <f ca="1">SUMPRODUCT(dFactor,tpSurvAxU,INDEX(tEIdxElec,21)*INDEX(elecAxU,1,5)*allOnes,OFFSET(tPrcElec,0,20,1,_maxLT))</f>
        <v>21304.842556114188</v>
      </c>
      <c r="Z132" s="28">
        <f ca="1">SUMPRODUCT(dFactor,tpSurvAxU,INDEX(tEIdxElec,22)*INDEX(elecAxU,1,5)*allOnes,OFFSET(tPrcElec,0,21,1,_maxLT))</f>
        <v>21394.876904647408</v>
      </c>
      <c r="AA132" s="28">
        <f ca="1">SUMPRODUCT(dFactor,tpSurvAxU,INDEX(tEIdxElec,23)*INDEX(elecAxU,1,5)*allOnes,OFFSET(tPrcElec,0,22,1,_maxLT))</f>
        <v>21475.351213075901</v>
      </c>
      <c r="AB132" s="28">
        <f ca="1">SUMPRODUCT(dFactor,tpSurvAxU,INDEX(tEIdxElec,24)*INDEX(elecAxU,1,5)*allOnes,OFFSET(tPrcElec,0,23,1,_maxLT))</f>
        <v>21563.134202838381</v>
      </c>
      <c r="AC132" s="28">
        <f ca="1">SUMPRODUCT(dFactor,tpSurvAxU,INDEX(tEIdxElec,25)*INDEX(elecAxU,1,5)*allOnes,OFFSET(tPrcElec,0,24,1,_maxLT))</f>
        <v>21641.206194976763</v>
      </c>
      <c r="AD132" s="28">
        <f ca="1">SUMPRODUCT(dFactor,tpSurvAxU,INDEX(tEIdxElec,26)*INDEX(elecAxU,1,5)*allOnes,OFFSET(tPrcElec,0,25,1,_maxLT))</f>
        <v>21726.387776739779</v>
      </c>
      <c r="AE132" s="28">
        <f ca="1">SUMPRODUCT(dFactor,tpSurvAxU,INDEX(tEIdxElec,27)*INDEX(elecAxU,1,5)*allOnes,OFFSET(tPrcElec,0,26,1,_maxLT))</f>
        <v>21819.178479114616</v>
      </c>
      <c r="AF132" s="28">
        <f ca="1">SUMPRODUCT(dFactor,tpSurvAxU,INDEX(tEIdxElec,28)*INDEX(elecAxU,1,5)*allOnes,OFFSET(tPrcElec,0,27,1,_maxLT))</f>
        <v>21902.662370665505</v>
      </c>
      <c r="AG132" s="28">
        <f ca="1">SUMPRODUCT(dFactor,tpSurvAxU,INDEX(tEIdxElec,29)*INDEX(elecAxU,1,5)*allOnes,OFFSET(tPrcElec,0,28,1,_maxLT))</f>
        <v>21993.686472124631</v>
      </c>
      <c r="AH132" s="28">
        <f ca="1">SUMPRODUCT(dFactor,tpSurvAxU,INDEX(tEIdxElec,30)*INDEX(elecAxU,1,5)*allOnes,OFFSET(tPrcElec,0,29,1,_maxLT))</f>
        <v>22075.268778508951</v>
      </c>
      <c r="AI132" s="28">
        <f ca="1">SUMPRODUCT(dFactor,tpSurvAxU,INDEX(tEIdxElec,31)*INDEX(elecAxU,1,5)*allOnes,OFFSET(tPrcElec,0,30,1,_maxLT))</f>
        <v>22164.304847619576</v>
      </c>
      <c r="AJ132" s="28">
        <f ca="1">SUMPRODUCT(dFactor,tpSurvAxU,INDEX(tEIdxElec,32)*INDEX(elecAxU,1,5)*allOnes,OFFSET(tPrcElec,0,31,1,_maxLT))</f>
        <v>22243.7506428817</v>
      </c>
      <c r="AK132" s="29">
        <f ca="1">SUMPRODUCT(dFactor,tpSurvAxU,INDEX(tEIdxElec,33)*INDEX(elecAxU,1,5)*allOnes,OFFSET(tPrcElec,0,32,1,_maxLT))</f>
        <v>22330.472047393709</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ts2bElec*SUMPRODUCT(tpSurvAxU,INDEX(tEIdxElec,1)*INDEX(elecAxU,1,5)*convFactor)</f>
        <v>4300.9425813226517</v>
      </c>
      <c r="F134" s="22">
        <f ca="1">ts2bElec*SUMPRODUCT(tpSurvAxU,INDEX(tEIdxElec,2)*INDEX(elecAxU,1,5)*convFactor)</f>
        <v>4269.8797752714736</v>
      </c>
      <c r="G134" s="22">
        <f ca="1">ts2bElec*SUMPRODUCT(tpSurvAxU,INDEX(tEIdxElec,3)*INDEX(elecAxU,1,5)*convFactor)</f>
        <v>4238.5799346059221</v>
      </c>
      <c r="H134" s="22">
        <f ca="1">ts2bElec*SUMPRODUCT(tpSurvAxU,INDEX(tEIdxElec,4)*INDEX(elecAxU,1,5)*convFactor)</f>
        <v>4211.0965693723465</v>
      </c>
      <c r="I134" s="22">
        <f ca="1">ts2bElec*SUMPRODUCT(tpSurvAxU,INDEX(tEIdxElec,5)*INDEX(elecAxU,1,5)*convFactor)</f>
        <v>4185.0419687017366</v>
      </c>
      <c r="J134" s="22">
        <f ca="1">ts2bElec*SUMPRODUCT(tpSurvAxU,INDEX(tEIdxElec,6)*INDEX(elecAxU,1,5)*convFactor)</f>
        <v>4162.3627328568218</v>
      </c>
      <c r="K134" s="22">
        <f ca="1">ts2bElec*SUMPRODUCT(tpSurvAxU,INDEX(tEIdxElec,7)*INDEX(elecAxU,1,5)*convFactor)</f>
        <v>4144.7830029518855</v>
      </c>
      <c r="L134" s="22">
        <f ca="1">ts2bElec*SUMPRODUCT(tpSurvAxU,INDEX(tEIdxElec,8)*INDEX(elecAxU,1,5)*convFactor)</f>
        <v>4130.2112738700307</v>
      </c>
      <c r="M134" s="22">
        <f ca="1">ts2bElec*SUMPRODUCT(tpSurvAxU,INDEX(tEIdxElec,9)*INDEX(elecAxU,1,5)*convFactor)</f>
        <v>4115.5716341113894</v>
      </c>
      <c r="N134" s="22">
        <f ca="1">ts2bElec*SUMPRODUCT(tpSurvAxU,INDEX(tEIdxElec,10)*INDEX(elecAxU,1,5)*convFactor)</f>
        <v>4103.8647536855551</v>
      </c>
      <c r="O134" s="22">
        <f ca="1">ts2bElec*SUMPRODUCT(tpSurvAxU,INDEX(tEIdxElec,11)*INDEX(elecAxU,1,5)*convFactor)</f>
        <v>4095.8029335826282</v>
      </c>
      <c r="P134" s="22">
        <f ca="1">ts2bElec*SUMPRODUCT(tpSurvAxU,INDEX(tEIdxElec,12)*INDEX(elecAxU,1,5)*convFactor)</f>
        <v>4089.901680298005</v>
      </c>
      <c r="Q134" s="22">
        <f ca="1">ts2bElec*SUMPRODUCT(tpSurvAxU,INDEX(tEIdxElec,13)*INDEX(elecAxU,1,5)*convFactor)</f>
        <v>4084.9358442144699</v>
      </c>
      <c r="R134" s="22">
        <f ca="1">ts2bElec*SUMPRODUCT(tpSurvAxU,INDEX(tEIdxElec,14)*INDEX(elecAxU,1,5)*convFactor)</f>
        <v>4081.2714191341365</v>
      </c>
      <c r="S134" s="22">
        <f ca="1">ts2bElec*SUMPRODUCT(tpSurvAxU,INDEX(tEIdxElec,15)*INDEX(elecAxU,1,5)*convFactor)</f>
        <v>4078.478055344282</v>
      </c>
      <c r="T134" s="22">
        <f ca="1">ts2bElec*SUMPRODUCT(tpSurvAxU,INDEX(tEIdxElec,16)*INDEX(elecAxU,1,5)*convFactor)</f>
        <v>4078.1282159020557</v>
      </c>
      <c r="U134" s="22">
        <f ca="1">ts2bElec*SUMPRODUCT(tpSurvAxU,INDEX(tEIdxElec,17)*INDEX(elecAxU,1,5)*convFactor)</f>
        <v>4078.845749760219</v>
      </c>
      <c r="V134" s="22">
        <f ca="1">ts2bElec*SUMPRODUCT(tpSurvAxU,INDEX(tEIdxElec,18)*INDEX(elecAxU,1,5)*convFactor)</f>
        <v>4079.8990791705955</v>
      </c>
      <c r="W134" s="22">
        <f ca="1">ts2bElec*SUMPRODUCT(tpSurvAxU,INDEX(tEIdxElec,19)*INDEX(elecAxU,1,5)*convFactor)</f>
        <v>4081.4054861644736</v>
      </c>
      <c r="X134" s="22">
        <f ca="1">ts2bElec*SUMPRODUCT(tpSurvAxU,INDEX(tEIdxElec,20)*INDEX(elecAxU,1,5)*convFactor)</f>
        <v>4082.8290245918297</v>
      </c>
      <c r="Y134" s="22">
        <f ca="1">ts2bElec*SUMPRODUCT(tpSurvAxU,INDEX(tEIdxElec,21)*INDEX(elecAxU,1,5)*convFactor)</f>
        <v>4084.0085022903977</v>
      </c>
      <c r="Z134" s="22">
        <f ca="1">ts2bElec*SUMPRODUCT(tpSurvAxU,INDEX(tEIdxElec,22)*INDEX(elecAxU,1,5)*convFactor)</f>
        <v>4084.798919111769</v>
      </c>
      <c r="AA134" s="22">
        <f ca="1">ts2bElec*SUMPRODUCT(tpSurvAxU,INDEX(tEIdxElec,23)*INDEX(elecAxU,1,5)*convFactor)</f>
        <v>4085.3198564124186</v>
      </c>
      <c r="AB134" s="22">
        <f ca="1">ts2bElec*SUMPRODUCT(tpSurvAxU,INDEX(tEIdxElec,24)*INDEX(elecAxU,1,5)*convFactor)</f>
        <v>4085.3198564124186</v>
      </c>
      <c r="AC134" s="22">
        <f ca="1">ts2bElec*SUMPRODUCT(tpSurvAxU,INDEX(tEIdxElec,25)*INDEX(elecAxU,1,5)*convFactor)</f>
        <v>4085.3198564124186</v>
      </c>
      <c r="AD134" s="22">
        <f ca="1">ts2bElec*SUMPRODUCT(tpSurvAxU,INDEX(tEIdxElec,26)*INDEX(elecAxU,1,5)*convFactor)</f>
        <v>4085.3198564124186</v>
      </c>
      <c r="AE134" s="22">
        <f ca="1">ts2bElec*SUMPRODUCT(tpSurvAxU,INDEX(tEIdxElec,27)*INDEX(elecAxU,1,5)*convFactor)</f>
        <v>4085.3198564124186</v>
      </c>
      <c r="AF134" s="22">
        <f ca="1">ts2bElec*SUMPRODUCT(tpSurvAxU,INDEX(tEIdxElec,28)*INDEX(elecAxU,1,5)*convFactor)</f>
        <v>4085.3198564124186</v>
      </c>
      <c r="AG134" s="22">
        <f ca="1">ts2bElec*SUMPRODUCT(tpSurvAxU,INDEX(tEIdxElec,29)*INDEX(elecAxU,1,5)*convFactor)</f>
        <v>4085.3198564124186</v>
      </c>
      <c r="AH134" s="22">
        <f ca="1">ts2bElec*SUMPRODUCT(tpSurvAxU,INDEX(tEIdxElec,30)*INDEX(elecAxU,1,5)*convFactor)</f>
        <v>4085.3198564124186</v>
      </c>
      <c r="AI134" s="22">
        <f ca="1">ts2bElec*SUMPRODUCT(tpSurvAxU,INDEX(tEIdxElec,31)*INDEX(elecAxU,1,5)*convFactor)</f>
        <v>4085.3198564124186</v>
      </c>
      <c r="AJ134" s="22">
        <f ca="1">ts2bElec*SUMPRODUCT(tpSurvAxU,INDEX(tEIdxElec,32)*INDEX(elecAxU,1,5)*convFactor)</f>
        <v>4085.3198564124186</v>
      </c>
      <c r="AK134" s="25">
        <f ca="1">ts2bElec*SUMPRODUCT(tpSurvAxU,INDEX(tEIdxElec,33)*INDEX(elecAxU,1,5)*convFactor)</f>
        <v>4085.3198564124186</v>
      </c>
      <c r="AL134" s="3"/>
    </row>
    <row r="135" spans="2:38">
      <c r="B135" s="3"/>
      <c r="C135" s="30" t="str">
        <f>"EL 5: " &amp; INDEX(_doName,2,6)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(1+INDEX(vadAxU,1,6))*INDEX(mspAxU,1,6)*tPIdxAll + INDEX(instAxU,1,6) + SUMPRODUCT(dFactor,tpSurvAxU,INDEX(mrAxU,1,6)*allOnes)</f>
        <v>1264.3701199999998</v>
      </c>
      <c r="F136" s="28">
        <f ca="1"/>
        <v>1264.3701199999998</v>
      </c>
      <c r="G136" s="28">
        <f ca="1"/>
        <v>1264.3701199999998</v>
      </c>
      <c r="H136" s="28">
        <f ca="1"/>
        <v>1264.3701199999998</v>
      </c>
      <c r="I136" s="28">
        <f ca="1"/>
        <v>1264.3701199999998</v>
      </c>
      <c r="J136" s="28">
        <f ca="1"/>
        <v>1264.3701199999998</v>
      </c>
      <c r="K136" s="28">
        <f ca="1"/>
        <v>1264.3701199999998</v>
      </c>
      <c r="L136" s="28">
        <f ca="1"/>
        <v>1264.3701199999998</v>
      </c>
      <c r="M136" s="28">
        <f ca="1"/>
        <v>1264.3701199999998</v>
      </c>
      <c r="N136" s="28">
        <f ca="1"/>
        <v>1264.3701199999998</v>
      </c>
      <c r="O136" s="28">
        <f ca="1"/>
        <v>1264.3701199999998</v>
      </c>
      <c r="P136" s="28">
        <f ca="1"/>
        <v>1264.3701199999998</v>
      </c>
      <c r="Q136" s="28">
        <f ca="1"/>
        <v>1264.3701199999998</v>
      </c>
      <c r="R136" s="28">
        <f ca="1"/>
        <v>1264.3701199999998</v>
      </c>
      <c r="S136" s="28">
        <f ca="1"/>
        <v>1264.3701199999998</v>
      </c>
      <c r="T136" s="28">
        <f ca="1"/>
        <v>1264.3701199999998</v>
      </c>
      <c r="U136" s="28">
        <f ca="1"/>
        <v>1264.3701199999998</v>
      </c>
      <c r="V136" s="28">
        <f ca="1"/>
        <v>1264.3701199999998</v>
      </c>
      <c r="W136" s="28">
        <f ca="1"/>
        <v>1264.3701199999998</v>
      </c>
      <c r="X136" s="28">
        <f ca="1"/>
        <v>1264.3701199999998</v>
      </c>
      <c r="Y136" s="28">
        <f ca="1"/>
        <v>1264.3701199999998</v>
      </c>
      <c r="Z136" s="28">
        <f ca="1"/>
        <v>1264.3701199999998</v>
      </c>
      <c r="AA136" s="28">
        <f ca="1"/>
        <v>1264.3701199999998</v>
      </c>
      <c r="AB136" s="28">
        <f ca="1"/>
        <v>1264.3701199999998</v>
      </c>
      <c r="AC136" s="28">
        <f ca="1"/>
        <v>1264.3701199999998</v>
      </c>
      <c r="AD136" s="28">
        <f ca="1"/>
        <v>1264.3701199999998</v>
      </c>
      <c r="AE136" s="28">
        <f ca="1"/>
        <v>1264.3701199999998</v>
      </c>
      <c r="AF136" s="28">
        <f ca="1"/>
        <v>1264.3701199999998</v>
      </c>
      <c r="AG136" s="28">
        <f ca="1"/>
        <v>1264.3701199999998</v>
      </c>
      <c r="AH136" s="28">
        <f ca="1"/>
        <v>1264.3701199999998</v>
      </c>
      <c r="AI136" s="28">
        <f ca="1"/>
        <v>1264.3701199999998</v>
      </c>
      <c r="AJ136" s="28">
        <f ca="1"/>
        <v>1264.3701199999998</v>
      </c>
      <c r="AK136" s="29">
        <f ca="1"/>
        <v>1264.3701199999998</v>
      </c>
      <c r="AL136" s="3"/>
    </row>
    <row r="137" spans="2:38">
      <c r="B137" s="3"/>
      <c r="C137" s="23" t="s">
        <v>47</v>
      </c>
      <c r="D137" s="16" t="str">
        <f>_yearDol &amp; "$"</f>
        <v>2013$</v>
      </c>
      <c r="E137" s="141">
        <f t="array" aca="1" ref="E137:AK137" ca="1">(tlccEFubcElec5)</f>
        <v>19496.8197617732</v>
      </c>
      <c r="F137" s="28">
        <f ca="1"/>
        <v>19582.633078472671</v>
      </c>
      <c r="G137" s="28">
        <f ca="1"/>
        <v>19658.646347520556</v>
      </c>
      <c r="H137" s="28">
        <f ca="1"/>
        <v>19741.428799210684</v>
      </c>
      <c r="I137" s="28">
        <f ca="1"/>
        <v>19814.215405512557</v>
      </c>
      <c r="J137" s="28">
        <f ca="1"/>
        <v>19893.602098845786</v>
      </c>
      <c r="K137" s="28">
        <f ca="1"/>
        <v>19962.808110317892</v>
      </c>
      <c r="L137" s="28">
        <f ca="1"/>
        <v>20038.373746408517</v>
      </c>
      <c r="M137" s="28">
        <f ca="1"/>
        <v>20120.726664125323</v>
      </c>
      <c r="N137" s="28">
        <f ca="1"/>
        <v>20193.069856228278</v>
      </c>
      <c r="O137" s="28">
        <f ca="1"/>
        <v>20272.014954480172</v>
      </c>
      <c r="P137" s="28">
        <f ca="1"/>
        <v>20358.0987349522</v>
      </c>
      <c r="Q137" s="28">
        <f ca="1"/>
        <v>20434.41288023195</v>
      </c>
      <c r="R137" s="28">
        <f ca="1"/>
        <v>20517.629854182109</v>
      </c>
      <c r="S137" s="28">
        <f ca="1"/>
        <v>20590.926053015181</v>
      </c>
      <c r="T137" s="28">
        <f ca="1"/>
        <v>20670.940973942674</v>
      </c>
      <c r="U137" s="28">
        <f ca="1"/>
        <v>20758.181155753427</v>
      </c>
      <c r="V137" s="28">
        <f ca="1"/>
        <v>20835.79181636007</v>
      </c>
      <c r="W137" s="28">
        <f ca="1"/>
        <v>20920.440930106317</v>
      </c>
      <c r="X137" s="28">
        <f ca="1"/>
        <v>20995.276525542995</v>
      </c>
      <c r="Y137" s="28">
        <f ca="1"/>
        <v>21077.00090115175</v>
      </c>
      <c r="Z137" s="28">
        <f ca="1"/>
        <v>21166.072389953926</v>
      </c>
      <c r="AA137" s="28">
        <f ca="1"/>
        <v>21245.68607716139</v>
      </c>
      <c r="AB137" s="28">
        <f ca="1"/>
        <v>21332.53028403391</v>
      </c>
      <c r="AC137" s="28">
        <f ca="1"/>
        <v>21409.7673461864</v>
      </c>
      <c r="AD137" s="28">
        <f ca="1"/>
        <v>21494.037965452968</v>
      </c>
      <c r="AE137" s="28">
        <f ca="1"/>
        <v>21585.836330656639</v>
      </c>
      <c r="AF137" s="28">
        <f ca="1"/>
        <v>21668.427415421294</v>
      </c>
      <c r="AG137" s="28">
        <f ca="1"/>
        <v>21758.478072375325</v>
      </c>
      <c r="AH137" s="28">
        <f ca="1"/>
        <v>21839.187908209686</v>
      </c>
      <c r="AI137" s="28">
        <f ca="1"/>
        <v>21927.271793548764</v>
      </c>
      <c r="AJ137" s="28">
        <f ca="1"/>
        <v>22005.867966879858</v>
      </c>
      <c r="AK137" s="29">
        <f ca="1"/>
        <v>22091.661941476708</v>
      </c>
      <c r="AL137" s="3"/>
    </row>
    <row r="138" spans="2:38">
      <c r="B138" s="3"/>
      <c r="C138" s="27" t="str">
        <f>INDEX(_fuel,1)</f>
        <v>Electricity</v>
      </c>
      <c r="D138" s="16" t="str">
        <f>_yearDol &amp; "$"</f>
        <v>2013$</v>
      </c>
      <c r="E138" s="141">
        <f ca="1">SUMPRODUCT(dFactor,tpSurvAxU,INDEX(tEIdxElec,1)*INDEX(elecAxU,1,6)*allOnes,OFFSET(tPrcElec,0,0,1,_maxLT))</f>
        <v>19496.8197617732</v>
      </c>
      <c r="F138" s="28">
        <f ca="1">SUMPRODUCT(dFactor,tpSurvAxU,INDEX(tEIdxElec,2)*INDEX(elecAxU,1,6)*allOnes,OFFSET(tPrcElec,0,1,1,_maxLT))</f>
        <v>19582.633078472671</v>
      </c>
      <c r="G138" s="28">
        <f ca="1">SUMPRODUCT(dFactor,tpSurvAxU,INDEX(tEIdxElec,3)*INDEX(elecAxU,1,6)*allOnes,OFFSET(tPrcElec,0,2,1,_maxLT))</f>
        <v>19658.646347520556</v>
      </c>
      <c r="H138" s="28">
        <f ca="1">SUMPRODUCT(dFactor,tpSurvAxU,INDEX(tEIdxElec,4)*INDEX(elecAxU,1,6)*allOnes,OFFSET(tPrcElec,0,3,1,_maxLT))</f>
        <v>19741.428799210684</v>
      </c>
      <c r="I138" s="28">
        <f ca="1">SUMPRODUCT(dFactor,tpSurvAxU,INDEX(tEIdxElec,5)*INDEX(elecAxU,1,6)*allOnes,OFFSET(tPrcElec,0,4,1,_maxLT))</f>
        <v>19814.215405512557</v>
      </c>
      <c r="J138" s="28">
        <f ca="1">SUMPRODUCT(dFactor,tpSurvAxU,INDEX(tEIdxElec,6)*INDEX(elecAxU,1,6)*allOnes,OFFSET(tPrcElec,0,5,1,_maxLT))</f>
        <v>19893.602098845786</v>
      </c>
      <c r="K138" s="28">
        <f ca="1">SUMPRODUCT(dFactor,tpSurvAxU,INDEX(tEIdxElec,7)*INDEX(elecAxU,1,6)*allOnes,OFFSET(tPrcElec,0,6,1,_maxLT))</f>
        <v>19962.808110317892</v>
      </c>
      <c r="L138" s="28">
        <f ca="1">SUMPRODUCT(dFactor,tpSurvAxU,INDEX(tEIdxElec,8)*INDEX(elecAxU,1,6)*allOnes,OFFSET(tPrcElec,0,7,1,_maxLT))</f>
        <v>20038.373746408517</v>
      </c>
      <c r="M138" s="28">
        <f ca="1">SUMPRODUCT(dFactor,tpSurvAxU,INDEX(tEIdxElec,9)*INDEX(elecAxU,1,6)*allOnes,OFFSET(tPrcElec,0,8,1,_maxLT))</f>
        <v>20120.726664125323</v>
      </c>
      <c r="N138" s="28">
        <f ca="1">SUMPRODUCT(dFactor,tpSurvAxU,INDEX(tEIdxElec,10)*INDEX(elecAxU,1,6)*allOnes,OFFSET(tPrcElec,0,9,1,_maxLT))</f>
        <v>20193.069856228278</v>
      </c>
      <c r="O138" s="28">
        <f ca="1">SUMPRODUCT(dFactor,tpSurvAxU,INDEX(tEIdxElec,11)*INDEX(elecAxU,1,6)*allOnes,OFFSET(tPrcElec,0,10,1,_maxLT))</f>
        <v>20272.014954480172</v>
      </c>
      <c r="P138" s="28">
        <f ca="1">SUMPRODUCT(dFactor,tpSurvAxU,INDEX(tEIdxElec,12)*INDEX(elecAxU,1,6)*allOnes,OFFSET(tPrcElec,0,11,1,_maxLT))</f>
        <v>20358.0987349522</v>
      </c>
      <c r="Q138" s="28">
        <f ca="1">SUMPRODUCT(dFactor,tpSurvAxU,INDEX(tEIdxElec,13)*INDEX(elecAxU,1,6)*allOnes,OFFSET(tPrcElec,0,12,1,_maxLT))</f>
        <v>20434.41288023195</v>
      </c>
      <c r="R138" s="28">
        <f ca="1">SUMPRODUCT(dFactor,tpSurvAxU,INDEX(tEIdxElec,14)*INDEX(elecAxU,1,6)*allOnes,OFFSET(tPrcElec,0,13,1,_maxLT))</f>
        <v>20517.629854182109</v>
      </c>
      <c r="S138" s="28">
        <f ca="1">SUMPRODUCT(dFactor,tpSurvAxU,INDEX(tEIdxElec,15)*INDEX(elecAxU,1,6)*allOnes,OFFSET(tPrcElec,0,14,1,_maxLT))</f>
        <v>20590.926053015181</v>
      </c>
      <c r="T138" s="28">
        <f ca="1">SUMPRODUCT(dFactor,tpSurvAxU,INDEX(tEIdxElec,16)*INDEX(elecAxU,1,6)*allOnes,OFFSET(tPrcElec,0,15,1,_maxLT))</f>
        <v>20670.940973942674</v>
      </c>
      <c r="U138" s="28">
        <f ca="1">SUMPRODUCT(dFactor,tpSurvAxU,INDEX(tEIdxElec,17)*INDEX(elecAxU,1,6)*allOnes,OFFSET(tPrcElec,0,16,1,_maxLT))</f>
        <v>20758.181155753427</v>
      </c>
      <c r="V138" s="28">
        <f ca="1">SUMPRODUCT(dFactor,tpSurvAxU,INDEX(tEIdxElec,18)*INDEX(elecAxU,1,6)*allOnes,OFFSET(tPrcElec,0,17,1,_maxLT))</f>
        <v>20835.79181636007</v>
      </c>
      <c r="W138" s="28">
        <f ca="1">SUMPRODUCT(dFactor,tpSurvAxU,INDEX(tEIdxElec,19)*INDEX(elecAxU,1,6)*allOnes,OFFSET(tPrcElec,0,18,1,_maxLT))</f>
        <v>20920.440930106317</v>
      </c>
      <c r="X138" s="28">
        <f ca="1">SUMPRODUCT(dFactor,tpSurvAxU,INDEX(tEIdxElec,20)*INDEX(elecAxU,1,6)*allOnes,OFFSET(tPrcElec,0,19,1,_maxLT))</f>
        <v>20995.276525542995</v>
      </c>
      <c r="Y138" s="28">
        <f ca="1">SUMPRODUCT(dFactor,tpSurvAxU,INDEX(tEIdxElec,21)*INDEX(elecAxU,1,6)*allOnes,OFFSET(tPrcElec,0,20,1,_maxLT))</f>
        <v>21077.00090115175</v>
      </c>
      <c r="Z138" s="28">
        <f ca="1">SUMPRODUCT(dFactor,tpSurvAxU,INDEX(tEIdxElec,22)*INDEX(elecAxU,1,6)*allOnes,OFFSET(tPrcElec,0,21,1,_maxLT))</f>
        <v>21166.072389953926</v>
      </c>
      <c r="AA138" s="28">
        <f ca="1">SUMPRODUCT(dFactor,tpSurvAxU,INDEX(tEIdxElec,23)*INDEX(elecAxU,1,6)*allOnes,OFFSET(tPrcElec,0,22,1,_maxLT))</f>
        <v>21245.68607716139</v>
      </c>
      <c r="AB138" s="28">
        <f ca="1">SUMPRODUCT(dFactor,tpSurvAxU,INDEX(tEIdxElec,24)*INDEX(elecAxU,1,6)*allOnes,OFFSET(tPrcElec,0,23,1,_maxLT))</f>
        <v>21332.53028403391</v>
      </c>
      <c r="AC138" s="28">
        <f ca="1">SUMPRODUCT(dFactor,tpSurvAxU,INDEX(tEIdxElec,25)*INDEX(elecAxU,1,6)*allOnes,OFFSET(tPrcElec,0,24,1,_maxLT))</f>
        <v>21409.7673461864</v>
      </c>
      <c r="AD138" s="28">
        <f ca="1">SUMPRODUCT(dFactor,tpSurvAxU,INDEX(tEIdxElec,26)*INDEX(elecAxU,1,6)*allOnes,OFFSET(tPrcElec,0,25,1,_maxLT))</f>
        <v>21494.037965452968</v>
      </c>
      <c r="AE138" s="28">
        <f ca="1">SUMPRODUCT(dFactor,tpSurvAxU,INDEX(tEIdxElec,27)*INDEX(elecAxU,1,6)*allOnes,OFFSET(tPrcElec,0,26,1,_maxLT))</f>
        <v>21585.836330656639</v>
      </c>
      <c r="AF138" s="28">
        <f ca="1">SUMPRODUCT(dFactor,tpSurvAxU,INDEX(tEIdxElec,28)*INDEX(elecAxU,1,6)*allOnes,OFFSET(tPrcElec,0,27,1,_maxLT))</f>
        <v>21668.427415421294</v>
      </c>
      <c r="AG138" s="28">
        <f ca="1">SUMPRODUCT(dFactor,tpSurvAxU,INDEX(tEIdxElec,29)*INDEX(elecAxU,1,6)*allOnes,OFFSET(tPrcElec,0,28,1,_maxLT))</f>
        <v>21758.478072375325</v>
      </c>
      <c r="AH138" s="28">
        <f ca="1">SUMPRODUCT(dFactor,tpSurvAxU,INDEX(tEIdxElec,30)*INDEX(elecAxU,1,6)*allOnes,OFFSET(tPrcElec,0,29,1,_maxLT))</f>
        <v>21839.187908209686</v>
      </c>
      <c r="AI138" s="28">
        <f ca="1">SUMPRODUCT(dFactor,tpSurvAxU,INDEX(tEIdxElec,31)*INDEX(elecAxU,1,6)*allOnes,OFFSET(tPrcElec,0,30,1,_maxLT))</f>
        <v>21927.271793548764</v>
      </c>
      <c r="AJ138" s="28">
        <f ca="1">SUMPRODUCT(dFactor,tpSurvAxU,INDEX(tEIdxElec,32)*INDEX(elecAxU,1,6)*allOnes,OFFSET(tPrcElec,0,31,1,_maxLT))</f>
        <v>22005.867966879858</v>
      </c>
      <c r="AK138" s="29">
        <f ca="1">SUMPRODUCT(dFactor,tpSurvAxU,INDEX(tEIdxElec,33)*INDEX(elecAxU,1,6)*allOnes,OFFSET(tPrcElec,0,32,1,_maxLT))</f>
        <v>22091.661941476708</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ts2bElec*SUMPRODUCT(tpSurvAxU,INDEX(tEIdxElec,1)*INDEX(elecAxU,1,6)*convFactor)</f>
        <v>4254.9467532358676</v>
      </c>
      <c r="F140" s="22">
        <f ca="1">ts2bElec*SUMPRODUCT(tpSurvAxU,INDEX(tEIdxElec,2)*INDEX(elecAxU,1,6)*convFactor)</f>
        <v>4224.2161440136424</v>
      </c>
      <c r="G140" s="22">
        <f ca="1">ts2bElec*SUMPRODUCT(tpSurvAxU,INDEX(tEIdxElec,3)*INDEX(elecAxU,1,6)*convFactor)</f>
        <v>4193.2510351105311</v>
      </c>
      <c r="H140" s="22">
        <f ca="1">ts2bElec*SUMPRODUCT(tpSurvAxU,INDEX(tEIdxElec,4)*INDEX(elecAxU,1,6)*convFactor)</f>
        <v>4166.0615868773857</v>
      </c>
      <c r="I140" s="22">
        <f ca="1">ts2bElec*SUMPRODUCT(tpSurvAxU,INDEX(tEIdxElec,5)*INDEX(elecAxU,1,6)*convFactor)</f>
        <v>4140.2856234846877</v>
      </c>
      <c r="J140" s="22">
        <f ca="1">ts2bElec*SUMPRODUCT(tpSurvAxU,INDEX(tEIdxElec,6)*INDEX(elecAxU,1,6)*convFactor)</f>
        <v>4117.8489275512766</v>
      </c>
      <c r="K140" s="22">
        <f ca="1">ts2bElec*SUMPRODUCT(tpSurvAxU,INDEX(tEIdxElec,7)*INDEX(elecAxU,1,6)*convFactor)</f>
        <v>4100.45720160576</v>
      </c>
      <c r="L140" s="22">
        <f ca="1">ts2bElec*SUMPRODUCT(tpSurvAxU,INDEX(tEIdxElec,8)*INDEX(elecAxU,1,6)*convFactor)</f>
        <v>4086.0413078397937</v>
      </c>
      <c r="M140" s="22">
        <f ca="1">ts2bElec*SUMPRODUCT(tpSurvAxU,INDEX(tEIdxElec,9)*INDEX(elecAxU,1,6)*convFactor)</f>
        <v>4071.5582296582629</v>
      </c>
      <c r="N140" s="22">
        <f ca="1">ts2bElec*SUMPRODUCT(tpSurvAxU,INDEX(tEIdxElec,10)*INDEX(elecAxU,1,6)*convFactor)</f>
        <v>4059.9765468255887</v>
      </c>
      <c r="O140" s="22">
        <f ca="1">ts2bElec*SUMPRODUCT(tpSurvAxU,INDEX(tEIdxElec,11)*INDEX(elecAxU,1,6)*convFactor)</f>
        <v>4052.00094272869</v>
      </c>
      <c r="P140" s="22">
        <f ca="1">ts2bElec*SUMPRODUCT(tpSurvAxU,INDEX(tEIdxElec,12)*INDEX(elecAxU,1,6)*convFactor)</f>
        <v>4046.1627995708463</v>
      </c>
      <c r="Q140" s="22">
        <f ca="1">ts2bElec*SUMPRODUCT(tpSurvAxU,INDEX(tEIdxElec,13)*INDEX(elecAxU,1,6)*convFactor)</f>
        <v>4041.2500699258385</v>
      </c>
      <c r="R140" s="22">
        <f ca="1">ts2bElec*SUMPRODUCT(tpSurvAxU,INDEX(tEIdxElec,14)*INDEX(elecAxU,1,6)*convFactor)</f>
        <v>4037.6248335263231</v>
      </c>
      <c r="S140" s="22">
        <f ca="1">ts2bElec*SUMPRODUCT(tpSurvAxU,INDEX(tEIdxElec,15)*INDEX(elecAxU,1,6)*convFactor)</f>
        <v>4034.8613429743068</v>
      </c>
      <c r="T140" s="22">
        <f ca="1">ts2bElec*SUMPRODUCT(tpSurvAxU,INDEX(tEIdxElec,16)*INDEX(elecAxU,1,6)*convFactor)</f>
        <v>4034.5152448410004</v>
      </c>
      <c r="U140" s="22">
        <f ca="1">ts2bElec*SUMPRODUCT(tpSurvAxU,INDEX(tEIdxElec,17)*INDEX(elecAxU,1,6)*convFactor)</f>
        <v>4035.2251051338085</v>
      </c>
      <c r="V140" s="22">
        <f ca="1">ts2bElec*SUMPRODUCT(tpSurvAxU,INDEX(tEIdxElec,18)*INDEX(elecAxU,1,6)*convFactor)</f>
        <v>4036.2671698603249</v>
      </c>
      <c r="W140" s="22">
        <f ca="1">ts2bElec*SUMPRODUCT(tpSurvAxU,INDEX(tEIdxElec,19)*INDEX(elecAxU,1,6)*convFactor)</f>
        <v>4037.7574667955801</v>
      </c>
      <c r="X140" s="22">
        <f ca="1">ts2bElec*SUMPRODUCT(tpSurvAxU,INDEX(tEIdxElec,20)*INDEX(elecAxU,1,6)*convFactor)</f>
        <v>4039.1657813905917</v>
      </c>
      <c r="Y140" s="22">
        <f ca="1">ts2bElec*SUMPRODUCT(tpSurvAxU,INDEX(tEIdxElec,21)*INDEX(elecAxU,1,6)*convFactor)</f>
        <v>4040.3326453300992</v>
      </c>
      <c r="Z140" s="22">
        <f ca="1">ts2bElec*SUMPRODUCT(tpSurvAxU,INDEX(tEIdxElec,22)*INDEX(elecAxU,1,6)*convFactor)</f>
        <v>4041.1146091494725</v>
      </c>
      <c r="AA140" s="22">
        <f ca="1">ts2bElec*SUMPRODUCT(tpSurvAxU,INDEX(tEIdxElec,23)*INDEX(elecAxU,1,6)*convFactor)</f>
        <v>4041.6299753591179</v>
      </c>
      <c r="AB140" s="22">
        <f ca="1">ts2bElec*SUMPRODUCT(tpSurvAxU,INDEX(tEIdxElec,24)*INDEX(elecAxU,1,6)*convFactor)</f>
        <v>4041.6299753591179</v>
      </c>
      <c r="AC140" s="22">
        <f ca="1">ts2bElec*SUMPRODUCT(tpSurvAxU,INDEX(tEIdxElec,25)*INDEX(elecAxU,1,6)*convFactor)</f>
        <v>4041.6299753591179</v>
      </c>
      <c r="AD140" s="22">
        <f ca="1">ts2bElec*SUMPRODUCT(tpSurvAxU,INDEX(tEIdxElec,26)*INDEX(elecAxU,1,6)*convFactor)</f>
        <v>4041.6299753591179</v>
      </c>
      <c r="AE140" s="22">
        <f ca="1">ts2bElec*SUMPRODUCT(tpSurvAxU,INDEX(tEIdxElec,27)*INDEX(elecAxU,1,6)*convFactor)</f>
        <v>4041.6299753591179</v>
      </c>
      <c r="AF140" s="22">
        <f ca="1">ts2bElec*SUMPRODUCT(tpSurvAxU,INDEX(tEIdxElec,28)*INDEX(elecAxU,1,6)*convFactor)</f>
        <v>4041.6299753591179</v>
      </c>
      <c r="AG140" s="22">
        <f ca="1">ts2bElec*SUMPRODUCT(tpSurvAxU,INDEX(tEIdxElec,29)*INDEX(elecAxU,1,6)*convFactor)</f>
        <v>4041.6299753591179</v>
      </c>
      <c r="AH140" s="22">
        <f ca="1">ts2bElec*SUMPRODUCT(tpSurvAxU,INDEX(tEIdxElec,30)*INDEX(elecAxU,1,6)*convFactor)</f>
        <v>4041.6299753591179</v>
      </c>
      <c r="AI140" s="22">
        <f ca="1">ts2bElec*SUMPRODUCT(tpSurvAxU,INDEX(tEIdxElec,31)*INDEX(elecAxU,1,6)*convFactor)</f>
        <v>4041.6299753591179</v>
      </c>
      <c r="AJ140" s="22">
        <f ca="1">ts2bElec*SUMPRODUCT(tpSurvAxU,INDEX(tEIdxElec,32)*INDEX(elecAxU,1,6)*convFactor)</f>
        <v>4041.6299753591179</v>
      </c>
      <c r="AK140" s="25">
        <f ca="1">ts2bElec*SUMPRODUCT(tpSurvAxU,INDEX(tEIdxElec,33)*INDEX(elecAxU,1,6)*convFactor)</f>
        <v>4041.6299753591179</v>
      </c>
      <c r="AL140" s="3"/>
    </row>
    <row r="141" spans="2:38">
      <c r="B141" s="3"/>
      <c r="C141" s="30" t="str">
        <f>"EL 6: " &amp; INDEX(_doName,2,7)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(1+INDEX(vadAxU,1,7))*INDEX(mspAxU,1,7)*tPIdxAll + INDEX(instAxU,1,7) + SUMPRODUCT(dFactor,tpSurvAxU,INDEX(mrAxU,1,7)*allOnes)</f>
        <v>1119.3204619999999</v>
      </c>
      <c r="F142" s="28">
        <f ca="1"/>
        <v>1119.3204619999999</v>
      </c>
      <c r="G142" s="28">
        <f ca="1"/>
        <v>1119.3204619999999</v>
      </c>
      <c r="H142" s="28">
        <f ca="1"/>
        <v>1119.3204619999999</v>
      </c>
      <c r="I142" s="28">
        <f ca="1"/>
        <v>1119.3204619999999</v>
      </c>
      <c r="J142" s="28">
        <f ca="1"/>
        <v>1119.3204619999999</v>
      </c>
      <c r="K142" s="28">
        <f ca="1"/>
        <v>1119.3204619999999</v>
      </c>
      <c r="L142" s="28">
        <f ca="1"/>
        <v>1119.3204619999999</v>
      </c>
      <c r="M142" s="28">
        <f ca="1"/>
        <v>1119.3204619999999</v>
      </c>
      <c r="N142" s="28">
        <f ca="1"/>
        <v>1119.3204619999999</v>
      </c>
      <c r="O142" s="28">
        <f ca="1"/>
        <v>1119.3204619999999</v>
      </c>
      <c r="P142" s="28">
        <f ca="1"/>
        <v>1119.3204619999999</v>
      </c>
      <c r="Q142" s="28">
        <f ca="1"/>
        <v>1119.3204619999999</v>
      </c>
      <c r="R142" s="28">
        <f ca="1"/>
        <v>1119.3204619999999</v>
      </c>
      <c r="S142" s="28">
        <f ca="1"/>
        <v>1119.3204619999999</v>
      </c>
      <c r="T142" s="28">
        <f ca="1"/>
        <v>1119.3204619999999</v>
      </c>
      <c r="U142" s="28">
        <f ca="1"/>
        <v>1119.3204619999999</v>
      </c>
      <c r="V142" s="28">
        <f ca="1"/>
        <v>1119.3204619999999</v>
      </c>
      <c r="W142" s="28">
        <f ca="1"/>
        <v>1119.3204619999999</v>
      </c>
      <c r="X142" s="28">
        <f ca="1"/>
        <v>1119.3204619999999</v>
      </c>
      <c r="Y142" s="28">
        <f ca="1"/>
        <v>1119.3204619999999</v>
      </c>
      <c r="Z142" s="28">
        <f ca="1"/>
        <v>1119.3204619999999</v>
      </c>
      <c r="AA142" s="28">
        <f ca="1"/>
        <v>1119.3204619999999</v>
      </c>
      <c r="AB142" s="28">
        <f ca="1"/>
        <v>1119.3204619999999</v>
      </c>
      <c r="AC142" s="28">
        <f ca="1"/>
        <v>1119.3204619999999</v>
      </c>
      <c r="AD142" s="28">
        <f ca="1"/>
        <v>1119.3204619999999</v>
      </c>
      <c r="AE142" s="28">
        <f ca="1"/>
        <v>1119.3204619999999</v>
      </c>
      <c r="AF142" s="28">
        <f ca="1"/>
        <v>1119.3204619999999</v>
      </c>
      <c r="AG142" s="28">
        <f ca="1"/>
        <v>1119.3204619999999</v>
      </c>
      <c r="AH142" s="28">
        <f ca="1"/>
        <v>1119.3204619999999</v>
      </c>
      <c r="AI142" s="28">
        <f ca="1"/>
        <v>1119.3204619999999</v>
      </c>
      <c r="AJ142" s="28">
        <f ca="1"/>
        <v>1119.3204619999999</v>
      </c>
      <c r="AK142" s="29">
        <f ca="1"/>
        <v>1119.3204619999999</v>
      </c>
      <c r="AL142" s="3"/>
    </row>
    <row r="143" spans="2:38">
      <c r="B143" s="3"/>
      <c r="C143" s="23" t="s">
        <v>47</v>
      </c>
      <c r="D143" s="16" t="str">
        <f>_yearDol &amp; "$"</f>
        <v>2013$</v>
      </c>
      <c r="E143" s="141">
        <f t="array" aca="1" ref="E143:AK143" ca="1">(tlccEFubcElec6)</f>
        <v>18214.004876233528</v>
      </c>
      <c r="F143" s="28">
        <f ca="1"/>
        <v>18294.17201056148</v>
      </c>
      <c r="G143" s="28">
        <f ca="1"/>
        <v>18365.183902245037</v>
      </c>
      <c r="H143" s="28">
        <f ca="1"/>
        <v>18442.519590689317</v>
      </c>
      <c r="I143" s="28">
        <f ca="1"/>
        <v>18510.517121481811</v>
      </c>
      <c r="J143" s="28">
        <f ca="1"/>
        <v>18584.68047925744</v>
      </c>
      <c r="K143" s="28">
        <f ca="1"/>
        <v>18649.333004429205</v>
      </c>
      <c r="L143" s="28">
        <f ca="1"/>
        <v>18719.92671566251</v>
      </c>
      <c r="M143" s="28">
        <f ca="1"/>
        <v>18796.861131797745</v>
      </c>
      <c r="N143" s="28">
        <f ca="1"/>
        <v>18864.444423320445</v>
      </c>
      <c r="O143" s="28">
        <f ca="1"/>
        <v>18938.195241253015</v>
      </c>
      <c r="P143" s="28">
        <f ca="1"/>
        <v>19018.615043889578</v>
      </c>
      <c r="Q143" s="28">
        <f ca="1"/>
        <v>19089.908015319528</v>
      </c>
      <c r="R143" s="28">
        <f ca="1"/>
        <v>19167.649636149679</v>
      </c>
      <c r="S143" s="28">
        <f ca="1"/>
        <v>19236.123230267436</v>
      </c>
      <c r="T143" s="28">
        <f ca="1"/>
        <v>19310.873480705828</v>
      </c>
      <c r="U143" s="28">
        <f ca="1"/>
        <v>19392.373597972131</v>
      </c>
      <c r="V143" s="28">
        <f ca="1"/>
        <v>19464.877779064718</v>
      </c>
      <c r="W143" s="28">
        <f ca="1"/>
        <v>19543.957310464302</v>
      </c>
      <c r="X143" s="28">
        <f ca="1"/>
        <v>19613.869014878364</v>
      </c>
      <c r="Y143" s="28">
        <f ca="1"/>
        <v>19690.216244530835</v>
      </c>
      <c r="Z143" s="28">
        <f ca="1"/>
        <v>19773.427175913457</v>
      </c>
      <c r="AA143" s="28">
        <f ca="1"/>
        <v>19847.802592249569</v>
      </c>
      <c r="AB143" s="28">
        <f ca="1"/>
        <v>19928.932788187991</v>
      </c>
      <c r="AC143" s="28">
        <f ca="1"/>
        <v>20001.087952151167</v>
      </c>
      <c r="AD143" s="28">
        <f ca="1"/>
        <v>20079.813892535258</v>
      </c>
      <c r="AE143" s="28">
        <f ca="1"/>
        <v>20165.572282461395</v>
      </c>
      <c r="AF143" s="28">
        <f ca="1"/>
        <v>20242.729195179349</v>
      </c>
      <c r="AG143" s="28">
        <f ca="1"/>
        <v>20326.854869259016</v>
      </c>
      <c r="AH143" s="28">
        <f ca="1"/>
        <v>20402.254311907043</v>
      </c>
      <c r="AI143" s="28">
        <f ca="1"/>
        <v>20484.542620292046</v>
      </c>
      <c r="AJ143" s="28">
        <f ca="1"/>
        <v>20557.967471206088</v>
      </c>
      <c r="AK143" s="29">
        <f ca="1"/>
        <v>20638.116536066518</v>
      </c>
      <c r="AL143" s="3"/>
    </row>
    <row r="144" spans="2:38">
      <c r="B144" s="3"/>
      <c r="C144" s="27" t="str">
        <f>INDEX(_fuel,1)</f>
        <v>Electricity</v>
      </c>
      <c r="D144" s="16" t="str">
        <f>_yearDol &amp; "$"</f>
        <v>2013$</v>
      </c>
      <c r="E144" s="141">
        <f ca="1">SUMPRODUCT(dFactor,tpSurvAxU,INDEX(tEIdxElec,1)*INDEX(elecAxU,1,7)*allOnes,OFFSET(tPrcElec,0,0,1,_maxLT))</f>
        <v>18214.004876233528</v>
      </c>
      <c r="F144" s="28">
        <f ca="1">SUMPRODUCT(dFactor,tpSurvAxU,INDEX(tEIdxElec,2)*INDEX(elecAxU,1,7)*allOnes,OFFSET(tPrcElec,0,1,1,_maxLT))</f>
        <v>18294.17201056148</v>
      </c>
      <c r="G144" s="28">
        <f ca="1">SUMPRODUCT(dFactor,tpSurvAxU,INDEX(tEIdxElec,3)*INDEX(elecAxU,1,7)*allOnes,OFFSET(tPrcElec,0,2,1,_maxLT))</f>
        <v>18365.183902245037</v>
      </c>
      <c r="H144" s="28">
        <f ca="1">SUMPRODUCT(dFactor,tpSurvAxU,INDEX(tEIdxElec,4)*INDEX(elecAxU,1,7)*allOnes,OFFSET(tPrcElec,0,3,1,_maxLT))</f>
        <v>18442.519590689317</v>
      </c>
      <c r="I144" s="28">
        <f ca="1">SUMPRODUCT(dFactor,tpSurvAxU,INDEX(tEIdxElec,5)*INDEX(elecAxU,1,7)*allOnes,OFFSET(tPrcElec,0,4,1,_maxLT))</f>
        <v>18510.517121481811</v>
      </c>
      <c r="J144" s="28">
        <f ca="1">SUMPRODUCT(dFactor,tpSurvAxU,INDEX(tEIdxElec,6)*INDEX(elecAxU,1,7)*allOnes,OFFSET(tPrcElec,0,5,1,_maxLT))</f>
        <v>18584.68047925744</v>
      </c>
      <c r="K144" s="28">
        <f ca="1">SUMPRODUCT(dFactor,tpSurvAxU,INDEX(tEIdxElec,7)*INDEX(elecAxU,1,7)*allOnes,OFFSET(tPrcElec,0,6,1,_maxLT))</f>
        <v>18649.333004429205</v>
      </c>
      <c r="L144" s="28">
        <f ca="1">SUMPRODUCT(dFactor,tpSurvAxU,INDEX(tEIdxElec,8)*INDEX(elecAxU,1,7)*allOnes,OFFSET(tPrcElec,0,7,1,_maxLT))</f>
        <v>18719.92671566251</v>
      </c>
      <c r="M144" s="28">
        <f ca="1">SUMPRODUCT(dFactor,tpSurvAxU,INDEX(tEIdxElec,9)*INDEX(elecAxU,1,7)*allOnes,OFFSET(tPrcElec,0,8,1,_maxLT))</f>
        <v>18796.861131797745</v>
      </c>
      <c r="N144" s="28">
        <f ca="1">SUMPRODUCT(dFactor,tpSurvAxU,INDEX(tEIdxElec,10)*INDEX(elecAxU,1,7)*allOnes,OFFSET(tPrcElec,0,9,1,_maxLT))</f>
        <v>18864.444423320445</v>
      </c>
      <c r="O144" s="28">
        <f ca="1">SUMPRODUCT(dFactor,tpSurvAxU,INDEX(tEIdxElec,11)*INDEX(elecAxU,1,7)*allOnes,OFFSET(tPrcElec,0,10,1,_maxLT))</f>
        <v>18938.195241253015</v>
      </c>
      <c r="P144" s="28">
        <f ca="1">SUMPRODUCT(dFactor,tpSurvAxU,INDEX(tEIdxElec,12)*INDEX(elecAxU,1,7)*allOnes,OFFSET(tPrcElec,0,11,1,_maxLT))</f>
        <v>19018.615043889578</v>
      </c>
      <c r="Q144" s="28">
        <f ca="1">SUMPRODUCT(dFactor,tpSurvAxU,INDEX(tEIdxElec,13)*INDEX(elecAxU,1,7)*allOnes,OFFSET(tPrcElec,0,12,1,_maxLT))</f>
        <v>19089.908015319528</v>
      </c>
      <c r="R144" s="28">
        <f ca="1">SUMPRODUCT(dFactor,tpSurvAxU,INDEX(tEIdxElec,14)*INDEX(elecAxU,1,7)*allOnes,OFFSET(tPrcElec,0,13,1,_maxLT))</f>
        <v>19167.649636149679</v>
      </c>
      <c r="S144" s="28">
        <f ca="1">SUMPRODUCT(dFactor,tpSurvAxU,INDEX(tEIdxElec,15)*INDEX(elecAxU,1,7)*allOnes,OFFSET(tPrcElec,0,14,1,_maxLT))</f>
        <v>19236.123230267436</v>
      </c>
      <c r="T144" s="28">
        <f ca="1">SUMPRODUCT(dFactor,tpSurvAxU,INDEX(tEIdxElec,16)*INDEX(elecAxU,1,7)*allOnes,OFFSET(tPrcElec,0,15,1,_maxLT))</f>
        <v>19310.873480705828</v>
      </c>
      <c r="U144" s="28">
        <f ca="1">SUMPRODUCT(dFactor,tpSurvAxU,INDEX(tEIdxElec,17)*INDEX(elecAxU,1,7)*allOnes,OFFSET(tPrcElec,0,16,1,_maxLT))</f>
        <v>19392.373597972131</v>
      </c>
      <c r="V144" s="28">
        <f ca="1">SUMPRODUCT(dFactor,tpSurvAxU,INDEX(tEIdxElec,18)*INDEX(elecAxU,1,7)*allOnes,OFFSET(tPrcElec,0,17,1,_maxLT))</f>
        <v>19464.877779064718</v>
      </c>
      <c r="W144" s="28">
        <f ca="1">SUMPRODUCT(dFactor,tpSurvAxU,INDEX(tEIdxElec,19)*INDEX(elecAxU,1,7)*allOnes,OFFSET(tPrcElec,0,18,1,_maxLT))</f>
        <v>19543.957310464302</v>
      </c>
      <c r="X144" s="28">
        <f ca="1">SUMPRODUCT(dFactor,tpSurvAxU,INDEX(tEIdxElec,20)*INDEX(elecAxU,1,7)*allOnes,OFFSET(tPrcElec,0,19,1,_maxLT))</f>
        <v>19613.869014878364</v>
      </c>
      <c r="Y144" s="28">
        <f ca="1">SUMPRODUCT(dFactor,tpSurvAxU,INDEX(tEIdxElec,21)*INDEX(elecAxU,1,7)*allOnes,OFFSET(tPrcElec,0,20,1,_maxLT))</f>
        <v>19690.216244530835</v>
      </c>
      <c r="Z144" s="28">
        <f ca="1">SUMPRODUCT(dFactor,tpSurvAxU,INDEX(tEIdxElec,22)*INDEX(elecAxU,1,7)*allOnes,OFFSET(tPrcElec,0,21,1,_maxLT))</f>
        <v>19773.427175913457</v>
      </c>
      <c r="AA144" s="28">
        <f ca="1">SUMPRODUCT(dFactor,tpSurvAxU,INDEX(tEIdxElec,23)*INDEX(elecAxU,1,7)*allOnes,OFFSET(tPrcElec,0,22,1,_maxLT))</f>
        <v>19847.802592249569</v>
      </c>
      <c r="AB144" s="28">
        <f ca="1">SUMPRODUCT(dFactor,tpSurvAxU,INDEX(tEIdxElec,24)*INDEX(elecAxU,1,7)*allOnes,OFFSET(tPrcElec,0,23,1,_maxLT))</f>
        <v>19928.932788187991</v>
      </c>
      <c r="AC144" s="28">
        <f ca="1">SUMPRODUCT(dFactor,tpSurvAxU,INDEX(tEIdxElec,25)*INDEX(elecAxU,1,7)*allOnes,OFFSET(tPrcElec,0,24,1,_maxLT))</f>
        <v>20001.087952151167</v>
      </c>
      <c r="AD144" s="28">
        <f ca="1">SUMPRODUCT(dFactor,tpSurvAxU,INDEX(tEIdxElec,26)*INDEX(elecAxU,1,7)*allOnes,OFFSET(tPrcElec,0,25,1,_maxLT))</f>
        <v>20079.813892535258</v>
      </c>
      <c r="AE144" s="28">
        <f ca="1">SUMPRODUCT(dFactor,tpSurvAxU,INDEX(tEIdxElec,27)*INDEX(elecAxU,1,7)*allOnes,OFFSET(tPrcElec,0,26,1,_maxLT))</f>
        <v>20165.572282461395</v>
      </c>
      <c r="AF144" s="28">
        <f ca="1">SUMPRODUCT(dFactor,tpSurvAxU,INDEX(tEIdxElec,28)*INDEX(elecAxU,1,7)*allOnes,OFFSET(tPrcElec,0,27,1,_maxLT))</f>
        <v>20242.729195179349</v>
      </c>
      <c r="AG144" s="28">
        <f ca="1">SUMPRODUCT(dFactor,tpSurvAxU,INDEX(tEIdxElec,29)*INDEX(elecAxU,1,7)*allOnes,OFFSET(tPrcElec,0,28,1,_maxLT))</f>
        <v>20326.854869259016</v>
      </c>
      <c r="AH144" s="28">
        <f ca="1">SUMPRODUCT(dFactor,tpSurvAxU,INDEX(tEIdxElec,30)*INDEX(elecAxU,1,7)*allOnes,OFFSET(tPrcElec,0,29,1,_maxLT))</f>
        <v>20402.254311907043</v>
      </c>
      <c r="AI144" s="28">
        <f ca="1">SUMPRODUCT(dFactor,tpSurvAxU,INDEX(tEIdxElec,31)*INDEX(elecAxU,1,7)*allOnes,OFFSET(tPrcElec,0,30,1,_maxLT))</f>
        <v>20484.542620292046</v>
      </c>
      <c r="AJ144" s="28">
        <f ca="1">SUMPRODUCT(dFactor,tpSurvAxU,INDEX(tEIdxElec,32)*INDEX(elecAxU,1,7)*allOnes,OFFSET(tPrcElec,0,31,1,_maxLT))</f>
        <v>20557.967471206088</v>
      </c>
      <c r="AK144" s="29">
        <f ca="1">SUMPRODUCT(dFactor,tpSurvAxU,INDEX(tEIdxElec,33)*INDEX(elecAxU,1,7)*allOnes,OFFSET(tPrcElec,0,32,1,_maxLT))</f>
        <v>20638.116536066518</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ts2bElec*SUMPRODUCT(tpSurvAxU,INDEX(tEIdxElec,1)*INDEX(elecAxU,1,7)*convFactor)</f>
        <v>3974.9878112687502</v>
      </c>
      <c r="F146" s="22">
        <f ca="1">ts2bElec*SUMPRODUCT(tpSurvAxU,INDEX(tEIdxElec,2)*INDEX(elecAxU,1,7)*convFactor)</f>
        <v>3946.2791565721186</v>
      </c>
      <c r="G146" s="22">
        <f ca="1">ts2bElec*SUMPRODUCT(tpSurvAxU,INDEX(tEIdxElec,3)*INDEX(elecAxU,1,7)*convFactor)</f>
        <v>3917.3514313612504</v>
      </c>
      <c r="H146" s="22">
        <f ca="1">ts2bElec*SUMPRODUCT(tpSurvAxU,INDEX(tEIdxElec,4)*INDEX(elecAxU,1,7)*convFactor)</f>
        <v>3891.9509430379412</v>
      </c>
      <c r="I146" s="22">
        <f ca="1">ts2bElec*SUMPRODUCT(tpSurvAxU,INDEX(tEIdxElec,5)*INDEX(elecAxU,1,7)*convFactor)</f>
        <v>3867.8709377519144</v>
      </c>
      <c r="J146" s="22">
        <f ca="1">ts2bElec*SUMPRODUCT(tpSurvAxU,INDEX(tEIdxElec,6)*INDEX(elecAxU,1,7)*convFactor)</f>
        <v>3846.9104891181869</v>
      </c>
      <c r="K146" s="22">
        <f ca="1">ts2bElec*SUMPRODUCT(tpSurvAxU,INDEX(tEIdxElec,7)*INDEX(elecAxU,1,7)*convFactor)</f>
        <v>3830.6630710752261</v>
      </c>
      <c r="L146" s="22">
        <f ca="1">ts2bElec*SUMPRODUCT(tpSurvAxU,INDEX(tEIdxElec,8)*INDEX(elecAxU,1,7)*convFactor)</f>
        <v>3817.1956870322447</v>
      </c>
      <c r="M146" s="22">
        <f ca="1">ts2bElec*SUMPRODUCT(tpSurvAxU,INDEX(tEIdxElec,9)*INDEX(elecAxU,1,7)*convFactor)</f>
        <v>3803.6655390468541</v>
      </c>
      <c r="N146" s="22">
        <f ca="1">ts2bElec*SUMPRODUCT(tpSurvAxU,INDEX(tEIdxElec,10)*INDEX(elecAxU,1,7)*convFactor)</f>
        <v>3792.8458858846025</v>
      </c>
      <c r="O146" s="22">
        <f ca="1">ts2bElec*SUMPRODUCT(tpSurvAxU,INDEX(tEIdxElec,11)*INDEX(elecAxU,1,7)*convFactor)</f>
        <v>3785.3950455072072</v>
      </c>
      <c r="P146" s="22">
        <f ca="1">ts2bElec*SUMPRODUCT(tpSurvAxU,INDEX(tEIdxElec,12)*INDEX(elecAxU,1,7)*convFactor)</f>
        <v>3779.9410294551326</v>
      </c>
      <c r="Q146" s="22">
        <f ca="1">ts2bElec*SUMPRODUCT(tpSurvAxU,INDEX(tEIdxElec,13)*INDEX(elecAxU,1,7)*convFactor)</f>
        <v>3775.3515383071845</v>
      </c>
      <c r="R146" s="22">
        <f ca="1">ts2bElec*SUMPRODUCT(tpSurvAxU,INDEX(tEIdxElec,14)*INDEX(elecAxU,1,7)*convFactor)</f>
        <v>3771.9648283583265</v>
      </c>
      <c r="S146" s="22">
        <f ca="1">ts2bElec*SUMPRODUCT(tpSurvAxU,INDEX(tEIdxElec,15)*INDEX(elecAxU,1,7)*convFactor)</f>
        <v>3769.3831647329325</v>
      </c>
      <c r="T146" s="22">
        <f ca="1">ts2bElec*SUMPRODUCT(tpSurvAxU,INDEX(tEIdxElec,16)*INDEX(elecAxU,1,7)*convFactor)</f>
        <v>3769.0598385102603</v>
      </c>
      <c r="U146" s="22">
        <f ca="1">ts2bElec*SUMPRODUCT(tpSurvAxU,INDEX(tEIdxElec,17)*INDEX(elecAxU,1,7)*convFactor)</f>
        <v>3769.7229927576</v>
      </c>
      <c r="V146" s="22">
        <f ca="1">ts2bElec*SUMPRODUCT(tpSurvAxU,INDEX(tEIdxElec,18)*INDEX(elecAxU,1,7)*convFactor)</f>
        <v>3770.6964936793938</v>
      </c>
      <c r="W146" s="22">
        <f ca="1">ts2bElec*SUMPRODUCT(tpSurvAxU,INDEX(tEIdxElec,19)*INDEX(elecAxU,1,7)*convFactor)</f>
        <v>3772.0887348744936</v>
      </c>
      <c r="X146" s="22">
        <f ca="1">ts2bElec*SUMPRODUCT(tpSurvAxU,INDEX(tEIdxElec,20)*INDEX(elecAxU,1,7)*convFactor)</f>
        <v>3773.4043878483753</v>
      </c>
      <c r="Y146" s="22">
        <f ca="1">ts2bElec*SUMPRODUCT(tpSurvAxU,INDEX(tEIdxElec,21)*INDEX(elecAxU,1,7)*convFactor)</f>
        <v>3774.4944766804911</v>
      </c>
      <c r="Z146" s="22">
        <f ca="1">ts2bElec*SUMPRODUCT(tpSurvAxU,INDEX(tEIdxElec,22)*INDEX(elecAxU,1,7)*convFactor)</f>
        <v>3775.2249903228767</v>
      </c>
      <c r="AA146" s="22">
        <f ca="1">ts2bElec*SUMPRODUCT(tpSurvAxU,INDEX(tEIdxElec,23)*INDEX(elecAxU,1,7)*convFactor)</f>
        <v>3775.7064474410236</v>
      </c>
      <c r="AB146" s="22">
        <f ca="1">ts2bElec*SUMPRODUCT(tpSurvAxU,INDEX(tEIdxElec,24)*INDEX(elecAxU,1,7)*convFactor)</f>
        <v>3775.7064474410236</v>
      </c>
      <c r="AC146" s="22">
        <f ca="1">ts2bElec*SUMPRODUCT(tpSurvAxU,INDEX(tEIdxElec,25)*INDEX(elecAxU,1,7)*convFactor)</f>
        <v>3775.7064474410236</v>
      </c>
      <c r="AD146" s="22">
        <f ca="1">ts2bElec*SUMPRODUCT(tpSurvAxU,INDEX(tEIdxElec,26)*INDEX(elecAxU,1,7)*convFactor)</f>
        <v>3775.7064474410236</v>
      </c>
      <c r="AE146" s="22">
        <f ca="1">ts2bElec*SUMPRODUCT(tpSurvAxU,INDEX(tEIdxElec,27)*INDEX(elecAxU,1,7)*convFactor)</f>
        <v>3775.7064474410236</v>
      </c>
      <c r="AF146" s="22">
        <f ca="1">ts2bElec*SUMPRODUCT(tpSurvAxU,INDEX(tEIdxElec,28)*INDEX(elecAxU,1,7)*convFactor)</f>
        <v>3775.7064474410236</v>
      </c>
      <c r="AG146" s="22">
        <f ca="1">ts2bElec*SUMPRODUCT(tpSurvAxU,INDEX(tEIdxElec,29)*INDEX(elecAxU,1,7)*convFactor)</f>
        <v>3775.7064474410236</v>
      </c>
      <c r="AH146" s="22">
        <f ca="1">ts2bElec*SUMPRODUCT(tpSurvAxU,INDEX(tEIdxElec,30)*INDEX(elecAxU,1,7)*convFactor)</f>
        <v>3775.7064474410236</v>
      </c>
      <c r="AI146" s="22">
        <f ca="1">ts2bElec*SUMPRODUCT(tpSurvAxU,INDEX(tEIdxElec,31)*INDEX(elecAxU,1,7)*convFactor)</f>
        <v>3775.7064474410236</v>
      </c>
      <c r="AJ146" s="22">
        <f ca="1">ts2bElec*SUMPRODUCT(tpSurvAxU,INDEX(tEIdxElec,32)*INDEX(elecAxU,1,7)*convFactor)</f>
        <v>3775.7064474410236</v>
      </c>
      <c r="AK146" s="25">
        <f ca="1">ts2bElec*SUMPRODUCT(tpSurvAxU,INDEX(tEIdxElec,33)*INDEX(elecAxU,1,7)*convFactor)</f>
        <v>3775.7064474410236</v>
      </c>
      <c r="AL146" s="3"/>
    </row>
    <row r="147" spans="2:38">
      <c r="B147" s="3"/>
      <c r="C147" s="33" t="str">
        <f>"Std (CSL " &amp; stdCSL &amp; "): " &amp; INDEX(_doName,2,stdCSL+1)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INDEX(_doName,2,1)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(1+INDEX(vadAxU,stdCSL+1,1))*INDEX(mspAxU,stdCSL+1,1)*tPIdxAll + INDEX(instAxU,stdCSL+1,1) + SUMPRODUCT(dFactor,tpSurvAxU,INDEX(mrAxU,stdCSL+1,1)*allOnes)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SUMPRODUCT(dFactor,tpSurvAxU,INDEX(tEIdxElec,1)*INDEX(elecAxU,stdCSL+1,1)*allOnes,OFFSET(tPrcElec,0,0,1,_maxLT))</f>
        <v>0</v>
      </c>
      <c r="F151" s="28">
        <f ca="1">SUMPRODUCT(dFactor,tpSurvAxU,INDEX(tEIdxElec,2)*INDEX(elecAxU,stdCSL+1,1)*allOnes,OFFSET(tPrcElec,0,1,1,_maxLT))</f>
        <v>0</v>
      </c>
      <c r="G151" s="28">
        <f ca="1">SUMPRODUCT(dFactor,tpSurvAxU,INDEX(tEIdxElec,3)*INDEX(elecAxU,stdCSL+1,1)*allOnes,OFFSET(tPrcElec,0,2,1,_maxLT))</f>
        <v>0</v>
      </c>
      <c r="H151" s="28">
        <f ca="1">SUMPRODUCT(dFactor,tpSurvAxU,INDEX(tEIdxElec,4)*INDEX(elecAxU,stdCSL+1,1)*allOnes,OFFSET(tPrcElec,0,3,1,_maxLT))</f>
        <v>0</v>
      </c>
      <c r="I151" s="28">
        <f ca="1">SUMPRODUCT(dFactor,tpSurvAxU,INDEX(tEIdxElec,5)*INDEX(elecAxU,stdCSL+1,1)*allOnes,OFFSET(tPrcElec,0,4,1,_maxLT))</f>
        <v>0</v>
      </c>
      <c r="J151" s="28">
        <f ca="1">SUMPRODUCT(dFactor,tpSurvAxU,INDEX(tEIdxElec,6)*INDEX(elecAxU,stdCSL+1,1)*allOnes,OFFSET(tPrcElec,0,5,1,_maxLT))</f>
        <v>0</v>
      </c>
      <c r="K151" s="28">
        <f ca="1">SUMPRODUCT(dFactor,tpSurvAxU,INDEX(tEIdxElec,7)*INDEX(elecAxU,stdCSL+1,1)*allOnes,OFFSET(tPrcElec,0,6,1,_maxLT))</f>
        <v>0</v>
      </c>
      <c r="L151" s="28">
        <f ca="1">SUMPRODUCT(dFactor,tpSurvAxU,INDEX(tEIdxElec,8)*INDEX(elecAxU,stdCSL+1,1)*allOnes,OFFSET(tPrcElec,0,7,1,_maxLT))</f>
        <v>0</v>
      </c>
      <c r="M151" s="28">
        <f ca="1">SUMPRODUCT(dFactor,tpSurvAxU,INDEX(tEIdxElec,9)*INDEX(elecAxU,stdCSL+1,1)*allOnes,OFFSET(tPrcElec,0,8,1,_maxLT))</f>
        <v>0</v>
      </c>
      <c r="N151" s="28">
        <f ca="1">SUMPRODUCT(dFactor,tpSurvAxU,INDEX(tEIdxElec,10)*INDEX(elecAxU,stdCSL+1,1)*allOnes,OFFSET(tPrcElec,0,9,1,_maxLT))</f>
        <v>0</v>
      </c>
      <c r="O151" s="28">
        <f ca="1">SUMPRODUCT(dFactor,tpSurvAxU,INDEX(tEIdxElec,11)*INDEX(elecAxU,stdCSL+1,1)*allOnes,OFFSET(tPrcElec,0,10,1,_maxLT))</f>
        <v>0</v>
      </c>
      <c r="P151" s="28">
        <f ca="1">SUMPRODUCT(dFactor,tpSurvAxU,INDEX(tEIdxElec,12)*INDEX(elecAxU,stdCSL+1,1)*allOnes,OFFSET(tPrcElec,0,11,1,_maxLT))</f>
        <v>0</v>
      </c>
      <c r="Q151" s="28">
        <f ca="1">SUMPRODUCT(dFactor,tpSurvAxU,INDEX(tEIdxElec,13)*INDEX(elecAxU,stdCSL+1,1)*allOnes,OFFSET(tPrcElec,0,12,1,_maxLT))</f>
        <v>0</v>
      </c>
      <c r="R151" s="28">
        <f ca="1">SUMPRODUCT(dFactor,tpSurvAxU,INDEX(tEIdxElec,14)*INDEX(elecAxU,stdCSL+1,1)*allOnes,OFFSET(tPrcElec,0,13,1,_maxLT))</f>
        <v>0</v>
      </c>
      <c r="S151" s="28">
        <f ca="1">SUMPRODUCT(dFactor,tpSurvAxU,INDEX(tEIdxElec,15)*INDEX(elecAxU,stdCSL+1,1)*allOnes,OFFSET(tPrcElec,0,14,1,_maxLT))</f>
        <v>0</v>
      </c>
      <c r="T151" s="28">
        <f ca="1">SUMPRODUCT(dFactor,tpSurvAxU,INDEX(tEIdxElec,16)*INDEX(elecAxU,stdCSL+1,1)*allOnes,OFFSET(tPrcElec,0,15,1,_maxLT))</f>
        <v>0</v>
      </c>
      <c r="U151" s="28">
        <f ca="1">SUMPRODUCT(dFactor,tpSurvAxU,INDEX(tEIdxElec,17)*INDEX(elecAxU,stdCSL+1,1)*allOnes,OFFSET(tPrcElec,0,16,1,_maxLT))</f>
        <v>0</v>
      </c>
      <c r="V151" s="28">
        <f ca="1">SUMPRODUCT(dFactor,tpSurvAxU,INDEX(tEIdxElec,18)*INDEX(elecAxU,stdCSL+1,1)*allOnes,OFFSET(tPrcElec,0,17,1,_maxLT))</f>
        <v>0</v>
      </c>
      <c r="W151" s="28">
        <f ca="1">SUMPRODUCT(dFactor,tpSurvAxU,INDEX(tEIdxElec,19)*INDEX(elecAxU,stdCSL+1,1)*allOnes,OFFSET(tPrcElec,0,18,1,_maxLT))</f>
        <v>0</v>
      </c>
      <c r="X151" s="28">
        <f ca="1">SUMPRODUCT(dFactor,tpSurvAxU,INDEX(tEIdxElec,20)*INDEX(elecAxU,stdCSL+1,1)*allOnes,OFFSET(tPrcElec,0,19,1,_maxLT))</f>
        <v>0</v>
      </c>
      <c r="Y151" s="28">
        <f ca="1">SUMPRODUCT(dFactor,tpSurvAxU,INDEX(tEIdxElec,21)*INDEX(elecAxU,stdCSL+1,1)*allOnes,OFFSET(tPrcElec,0,20,1,_maxLT))</f>
        <v>0</v>
      </c>
      <c r="Z151" s="28">
        <f ca="1">SUMPRODUCT(dFactor,tpSurvAxU,INDEX(tEIdxElec,22)*INDEX(elecAxU,stdCSL+1,1)*allOnes,OFFSET(tPrcElec,0,21,1,_maxLT))</f>
        <v>0</v>
      </c>
      <c r="AA151" s="28">
        <f ca="1">SUMPRODUCT(dFactor,tpSurvAxU,INDEX(tEIdxElec,23)*INDEX(elecAxU,stdCSL+1,1)*allOnes,OFFSET(tPrcElec,0,22,1,_maxLT))</f>
        <v>0</v>
      </c>
      <c r="AB151" s="28">
        <f ca="1">SUMPRODUCT(dFactor,tpSurvAxU,INDEX(tEIdxElec,24)*INDEX(elecAxU,stdCSL+1,1)*allOnes,OFFSET(tPrcElec,0,23,1,_maxLT))</f>
        <v>0</v>
      </c>
      <c r="AC151" s="28">
        <f ca="1">SUMPRODUCT(dFactor,tpSurvAxU,INDEX(tEIdxElec,25)*INDEX(elecAxU,stdCSL+1,1)*allOnes,OFFSET(tPrcElec,0,24,1,_maxLT))</f>
        <v>0</v>
      </c>
      <c r="AD151" s="28">
        <f ca="1">SUMPRODUCT(dFactor,tpSurvAxU,INDEX(tEIdxElec,26)*INDEX(elecAxU,stdCSL+1,1)*allOnes,OFFSET(tPrcElec,0,25,1,_maxLT))</f>
        <v>0</v>
      </c>
      <c r="AE151" s="28">
        <f ca="1">SUMPRODUCT(dFactor,tpSurvAxU,INDEX(tEIdxElec,27)*INDEX(elecAxU,stdCSL+1,1)*allOnes,OFFSET(tPrcElec,0,26,1,_maxLT))</f>
        <v>0</v>
      </c>
      <c r="AF151" s="28">
        <f ca="1">SUMPRODUCT(dFactor,tpSurvAxU,INDEX(tEIdxElec,28)*INDEX(elecAxU,stdCSL+1,1)*allOnes,OFFSET(tPrcElec,0,27,1,_maxLT))</f>
        <v>0</v>
      </c>
      <c r="AG151" s="28">
        <f ca="1">SUMPRODUCT(dFactor,tpSurvAxU,INDEX(tEIdxElec,29)*INDEX(elecAxU,stdCSL+1,1)*allOnes,OFFSET(tPrcElec,0,28,1,_maxLT))</f>
        <v>0</v>
      </c>
      <c r="AH151" s="28">
        <f ca="1">SUMPRODUCT(dFactor,tpSurvAxU,INDEX(tEIdxElec,30)*INDEX(elecAxU,stdCSL+1,1)*allOnes,OFFSET(tPrcElec,0,29,1,_maxLT))</f>
        <v>0</v>
      </c>
      <c r="AI151" s="28">
        <f ca="1">SUMPRODUCT(dFactor,tpSurvAxU,INDEX(tEIdxElec,31)*INDEX(elecAxU,stdCSL+1,1)*allOnes,OFFSET(tPrcElec,0,30,1,_maxLT))</f>
        <v>0</v>
      </c>
      <c r="AJ151" s="28">
        <f ca="1">SUMPRODUCT(dFactor,tpSurvAxU,INDEX(tEIdxElec,32)*INDEX(elecAxU,stdCSL+1,1)*allOnes,OFFSET(tPrcElec,0,31,1,_maxLT))</f>
        <v>0</v>
      </c>
      <c r="AK151" s="29">
        <f ca="1">SUMPRODUCT(dFactor,tpSurvAxU,INDEX(tEIdxElec,33)*INDEX(elecAxU,stdCSL+1,1)*allOnes,OFFSET(tPrcElec,0,32,1,_maxLT))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ts2bElec*SUMPRODUCT(tpSurvAxU,INDEX(tEIdxElec,1)*INDEX(elecAxU,stdCSL+1,1)*convFactor)</f>
        <v>0</v>
      </c>
      <c r="F153" s="22">
        <f ca="1">ts2bElec*SUMPRODUCT(tpSurvAxU,INDEX(tEIdxElec,2)*INDEX(elecAxU,stdCSL+1,1)*convFactor)</f>
        <v>0</v>
      </c>
      <c r="G153" s="22">
        <f ca="1">ts2bElec*SUMPRODUCT(tpSurvAxU,INDEX(tEIdxElec,3)*INDEX(elecAxU,stdCSL+1,1)*convFactor)</f>
        <v>0</v>
      </c>
      <c r="H153" s="22">
        <f ca="1">ts2bElec*SUMPRODUCT(tpSurvAxU,INDEX(tEIdxElec,4)*INDEX(elecAxU,stdCSL+1,1)*convFactor)</f>
        <v>0</v>
      </c>
      <c r="I153" s="22">
        <f ca="1">ts2bElec*SUMPRODUCT(tpSurvAxU,INDEX(tEIdxElec,5)*INDEX(elecAxU,stdCSL+1,1)*convFactor)</f>
        <v>0</v>
      </c>
      <c r="J153" s="22">
        <f ca="1">ts2bElec*SUMPRODUCT(tpSurvAxU,INDEX(tEIdxElec,6)*INDEX(elecAxU,stdCSL+1,1)*convFactor)</f>
        <v>0</v>
      </c>
      <c r="K153" s="22">
        <f ca="1">ts2bElec*SUMPRODUCT(tpSurvAxU,INDEX(tEIdxElec,7)*INDEX(elecAxU,stdCSL+1,1)*convFactor)</f>
        <v>0</v>
      </c>
      <c r="L153" s="22">
        <f ca="1">ts2bElec*SUMPRODUCT(tpSurvAxU,INDEX(tEIdxElec,8)*INDEX(elecAxU,stdCSL+1,1)*convFactor)</f>
        <v>0</v>
      </c>
      <c r="M153" s="22">
        <f ca="1">ts2bElec*SUMPRODUCT(tpSurvAxU,INDEX(tEIdxElec,9)*INDEX(elecAxU,stdCSL+1,1)*convFactor)</f>
        <v>0</v>
      </c>
      <c r="N153" s="22">
        <f ca="1">ts2bElec*SUMPRODUCT(tpSurvAxU,INDEX(tEIdxElec,10)*INDEX(elecAxU,stdCSL+1,1)*convFactor)</f>
        <v>0</v>
      </c>
      <c r="O153" s="22">
        <f ca="1">ts2bElec*SUMPRODUCT(tpSurvAxU,INDEX(tEIdxElec,11)*INDEX(elecAxU,stdCSL+1,1)*convFactor)</f>
        <v>0</v>
      </c>
      <c r="P153" s="22">
        <f ca="1">ts2bElec*SUMPRODUCT(tpSurvAxU,INDEX(tEIdxElec,12)*INDEX(elecAxU,stdCSL+1,1)*convFactor)</f>
        <v>0</v>
      </c>
      <c r="Q153" s="22">
        <f ca="1">ts2bElec*SUMPRODUCT(tpSurvAxU,INDEX(tEIdxElec,13)*INDEX(elecAxU,stdCSL+1,1)*convFactor)</f>
        <v>0</v>
      </c>
      <c r="R153" s="22">
        <f ca="1">ts2bElec*SUMPRODUCT(tpSurvAxU,INDEX(tEIdxElec,14)*INDEX(elecAxU,stdCSL+1,1)*convFactor)</f>
        <v>0</v>
      </c>
      <c r="S153" s="22">
        <f ca="1">ts2bElec*SUMPRODUCT(tpSurvAxU,INDEX(tEIdxElec,15)*INDEX(elecAxU,stdCSL+1,1)*convFactor)</f>
        <v>0</v>
      </c>
      <c r="T153" s="22">
        <f ca="1">ts2bElec*SUMPRODUCT(tpSurvAxU,INDEX(tEIdxElec,16)*INDEX(elecAxU,stdCSL+1,1)*convFactor)</f>
        <v>0</v>
      </c>
      <c r="U153" s="22">
        <f ca="1">ts2bElec*SUMPRODUCT(tpSurvAxU,INDEX(tEIdxElec,17)*INDEX(elecAxU,stdCSL+1,1)*convFactor)</f>
        <v>0</v>
      </c>
      <c r="V153" s="22">
        <f ca="1">ts2bElec*SUMPRODUCT(tpSurvAxU,INDEX(tEIdxElec,18)*INDEX(elecAxU,stdCSL+1,1)*convFactor)</f>
        <v>0</v>
      </c>
      <c r="W153" s="22">
        <f ca="1">ts2bElec*SUMPRODUCT(tpSurvAxU,INDEX(tEIdxElec,19)*INDEX(elecAxU,stdCSL+1,1)*convFactor)</f>
        <v>0</v>
      </c>
      <c r="X153" s="22">
        <f ca="1">ts2bElec*SUMPRODUCT(tpSurvAxU,INDEX(tEIdxElec,20)*INDEX(elecAxU,stdCSL+1,1)*convFactor)</f>
        <v>0</v>
      </c>
      <c r="Y153" s="22">
        <f ca="1">ts2bElec*SUMPRODUCT(tpSurvAxU,INDEX(tEIdxElec,21)*INDEX(elecAxU,stdCSL+1,1)*convFactor)</f>
        <v>0</v>
      </c>
      <c r="Z153" s="22">
        <f ca="1">ts2bElec*SUMPRODUCT(tpSurvAxU,INDEX(tEIdxElec,22)*INDEX(elecAxU,stdCSL+1,1)*convFactor)</f>
        <v>0</v>
      </c>
      <c r="AA153" s="22">
        <f ca="1">ts2bElec*SUMPRODUCT(tpSurvAxU,INDEX(tEIdxElec,23)*INDEX(elecAxU,stdCSL+1,1)*convFactor)</f>
        <v>0</v>
      </c>
      <c r="AB153" s="22">
        <f ca="1">ts2bElec*SUMPRODUCT(tpSurvAxU,INDEX(tEIdxElec,24)*INDEX(elecAxU,stdCSL+1,1)*convFactor)</f>
        <v>0</v>
      </c>
      <c r="AC153" s="22">
        <f ca="1">ts2bElec*SUMPRODUCT(tpSurvAxU,INDEX(tEIdxElec,25)*INDEX(elecAxU,stdCSL+1,1)*convFactor)</f>
        <v>0</v>
      </c>
      <c r="AD153" s="22">
        <f ca="1">ts2bElec*SUMPRODUCT(tpSurvAxU,INDEX(tEIdxElec,26)*INDEX(elecAxU,stdCSL+1,1)*convFactor)</f>
        <v>0</v>
      </c>
      <c r="AE153" s="22">
        <f ca="1">ts2bElec*SUMPRODUCT(tpSurvAxU,INDEX(tEIdxElec,27)*INDEX(elecAxU,stdCSL+1,1)*convFactor)</f>
        <v>0</v>
      </c>
      <c r="AF153" s="22">
        <f ca="1">ts2bElec*SUMPRODUCT(tpSurvAxU,INDEX(tEIdxElec,28)*INDEX(elecAxU,stdCSL+1,1)*convFactor)</f>
        <v>0</v>
      </c>
      <c r="AG153" s="22">
        <f ca="1">ts2bElec*SUMPRODUCT(tpSurvAxU,INDEX(tEIdxElec,29)*INDEX(elecAxU,stdCSL+1,1)*convFactor)</f>
        <v>0</v>
      </c>
      <c r="AH153" s="22">
        <f ca="1">ts2bElec*SUMPRODUCT(tpSurvAxU,INDEX(tEIdxElec,30)*INDEX(elecAxU,stdCSL+1,1)*convFactor)</f>
        <v>0</v>
      </c>
      <c r="AI153" s="22">
        <f ca="1">ts2bElec*SUMPRODUCT(tpSurvAxU,INDEX(tEIdxElec,31)*INDEX(elecAxU,stdCSL+1,1)*convFactor)</f>
        <v>0</v>
      </c>
      <c r="AJ153" s="22">
        <f ca="1">ts2bElec*SUMPRODUCT(tpSurvAxU,INDEX(tEIdxElec,32)*INDEX(elecAxU,stdCSL+1,1)*convFactor)</f>
        <v>0</v>
      </c>
      <c r="AK153" s="25">
        <f ca="1">ts2bElec*SUMPRODUCT(tpSurvAxU,INDEX(tEIdxElec,33)*INDEX(elecAxU,stdCSL+1,1)*convFactor)</f>
        <v>0</v>
      </c>
      <c r="AL153" s="3"/>
    </row>
    <row r="154" spans="2:38">
      <c r="B154" s="3"/>
      <c r="C154" s="30" t="str">
        <f>"EL 1: " &amp; INDEX(_doName,2,2)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(1+INDEX(vadAxU,stdCSL+1,2))*INDEX(mspAxU,stdCSL+1,2)*tPIdxAll + INDEX(instAxU,stdCSL+1,2) + SUMPRODUCT(dFactor,tpSurvAxU,INDEX(mrAxU,stdCSL+1,2)*allOnes)</f>
        <v>677.71472400000005</v>
      </c>
      <c r="F155" s="28">
        <f ca="1"/>
        <v>677.71472400000005</v>
      </c>
      <c r="G155" s="28">
        <f ca="1"/>
        <v>677.71472400000005</v>
      </c>
      <c r="H155" s="28">
        <f ca="1"/>
        <v>677.71472400000005</v>
      </c>
      <c r="I155" s="28">
        <f ca="1"/>
        <v>677.71472400000005</v>
      </c>
      <c r="J155" s="28">
        <f ca="1"/>
        <v>677.71472400000005</v>
      </c>
      <c r="K155" s="28">
        <f ca="1"/>
        <v>677.71472400000005</v>
      </c>
      <c r="L155" s="28">
        <f ca="1"/>
        <v>677.71472400000005</v>
      </c>
      <c r="M155" s="28">
        <f ca="1"/>
        <v>677.71472400000005</v>
      </c>
      <c r="N155" s="28">
        <f ca="1"/>
        <v>677.71472400000005</v>
      </c>
      <c r="O155" s="28">
        <f ca="1"/>
        <v>677.71472400000005</v>
      </c>
      <c r="P155" s="28">
        <f ca="1"/>
        <v>677.71472400000005</v>
      </c>
      <c r="Q155" s="28">
        <f ca="1"/>
        <v>677.71472400000005</v>
      </c>
      <c r="R155" s="28">
        <f ca="1"/>
        <v>677.71472400000005</v>
      </c>
      <c r="S155" s="28">
        <f ca="1"/>
        <v>677.71472400000005</v>
      </c>
      <c r="T155" s="28">
        <f ca="1"/>
        <v>677.71472400000005</v>
      </c>
      <c r="U155" s="28">
        <f ca="1"/>
        <v>677.71472400000005</v>
      </c>
      <c r="V155" s="28">
        <f ca="1"/>
        <v>677.71472400000005</v>
      </c>
      <c r="W155" s="28">
        <f ca="1"/>
        <v>677.71472400000005</v>
      </c>
      <c r="X155" s="28">
        <f ca="1"/>
        <v>677.71472400000005</v>
      </c>
      <c r="Y155" s="28">
        <f ca="1"/>
        <v>677.71472400000005</v>
      </c>
      <c r="Z155" s="28">
        <f ca="1"/>
        <v>677.71472400000005</v>
      </c>
      <c r="AA155" s="28">
        <f ca="1"/>
        <v>677.71472400000005</v>
      </c>
      <c r="AB155" s="28">
        <f ca="1"/>
        <v>677.71472400000005</v>
      </c>
      <c r="AC155" s="28">
        <f ca="1"/>
        <v>677.71472400000005</v>
      </c>
      <c r="AD155" s="28">
        <f ca="1"/>
        <v>677.71472400000005</v>
      </c>
      <c r="AE155" s="28">
        <f ca="1"/>
        <v>677.71472400000005</v>
      </c>
      <c r="AF155" s="28">
        <f ca="1"/>
        <v>677.71472400000005</v>
      </c>
      <c r="AG155" s="28">
        <f ca="1"/>
        <v>677.71472400000005</v>
      </c>
      <c r="AH155" s="28">
        <f ca="1"/>
        <v>677.71472400000005</v>
      </c>
      <c r="AI155" s="28">
        <f ca="1"/>
        <v>677.71472400000005</v>
      </c>
      <c r="AJ155" s="28">
        <f ca="1"/>
        <v>677.71472400000005</v>
      </c>
      <c r="AK155" s="29">
        <f ca="1"/>
        <v>677.71472400000005</v>
      </c>
      <c r="AL155" s="3"/>
    </row>
    <row r="156" spans="2:38">
      <c r="B156" s="3"/>
      <c r="C156" s="23" t="s">
        <v>47</v>
      </c>
      <c r="D156" s="16" t="str">
        <f>_yearDol &amp; "$"</f>
        <v>2013$</v>
      </c>
      <c r="E156" s="141">
        <f t="array" aca="1" ref="E156:AK156" ca="1">(tlccEFupolElec1)</f>
        <v>8213.1072006465474</v>
      </c>
      <c r="F156" s="28">
        <f ca="1"/>
        <v>8249.2563766612748</v>
      </c>
      <c r="G156" s="28">
        <f ca="1"/>
        <v>8281.2772464744103</v>
      </c>
      <c r="H156" s="28">
        <f ca="1"/>
        <v>8316.149659430519</v>
      </c>
      <c r="I156" s="28">
        <f ca="1"/>
        <v>8346.8112856666485</v>
      </c>
      <c r="J156" s="28">
        <f ca="1"/>
        <v>8380.2532228962773</v>
      </c>
      <c r="K156" s="28">
        <f ca="1"/>
        <v>8409.4065103603152</v>
      </c>
      <c r="L156" s="28">
        <f ca="1"/>
        <v>8441.238813139993</v>
      </c>
      <c r="M156" s="28">
        <f ca="1"/>
        <v>8475.9302833263409</v>
      </c>
      <c r="N156" s="28">
        <f ca="1"/>
        <v>8506.4051196964956</v>
      </c>
      <c r="O156" s="28">
        <f ca="1"/>
        <v>8539.6610333701465</v>
      </c>
      <c r="P156" s="28">
        <f ca="1"/>
        <v>8575.9241432461458</v>
      </c>
      <c r="Q156" s="28">
        <f ca="1"/>
        <v>8608.071758281154</v>
      </c>
      <c r="R156" s="28">
        <f ca="1"/>
        <v>8643.1272153411901</v>
      </c>
      <c r="S156" s="28">
        <f ca="1"/>
        <v>8674.0035093097122</v>
      </c>
      <c r="T156" s="28">
        <f ca="1"/>
        <v>8707.7100897294149</v>
      </c>
      <c r="U156" s="28">
        <f ca="1"/>
        <v>8744.4603379324781</v>
      </c>
      <c r="V156" s="28">
        <f ca="1"/>
        <v>8777.1541148286087</v>
      </c>
      <c r="W156" s="28">
        <f ca="1"/>
        <v>8812.8128660574002</v>
      </c>
      <c r="X156" s="28">
        <f ca="1"/>
        <v>8844.3376365202566</v>
      </c>
      <c r="Y156" s="28">
        <f ca="1"/>
        <v>8878.7643310264375</v>
      </c>
      <c r="Z156" s="28">
        <f ca="1"/>
        <v>8916.2860240508435</v>
      </c>
      <c r="AA156" s="28">
        <f ca="1"/>
        <v>8949.8235832868249</v>
      </c>
      <c r="AB156" s="28">
        <f ca="1"/>
        <v>8986.407025587383</v>
      </c>
      <c r="AC156" s="28">
        <f ca="1"/>
        <v>9018.9434227574056</v>
      </c>
      <c r="AD156" s="28">
        <f ca="1"/>
        <v>9054.442731791296</v>
      </c>
      <c r="AE156" s="28">
        <f ca="1"/>
        <v>9093.1131315525927</v>
      </c>
      <c r="AF156" s="28">
        <f ca="1"/>
        <v>9127.9049304858618</v>
      </c>
      <c r="AG156" s="28">
        <f ca="1"/>
        <v>9165.8391017039903</v>
      </c>
      <c r="AH156" s="28">
        <f ca="1"/>
        <v>9199.8384175900501</v>
      </c>
      <c r="AI156" s="28">
        <f ca="1"/>
        <v>9236.9440790147801</v>
      </c>
      <c r="AJ156" s="28">
        <f ca="1"/>
        <v>9270.0530067792224</v>
      </c>
      <c r="AK156" s="29">
        <f ca="1"/>
        <v>9306.1940348619155</v>
      </c>
      <c r="AL156" s="3"/>
    </row>
    <row r="157" spans="2:38">
      <c r="B157" s="3"/>
      <c r="C157" s="27" t="str">
        <f>INDEX(_fuel,1)</f>
        <v>Electricity</v>
      </c>
      <c r="D157" s="16" t="str">
        <f>_yearDol &amp; "$"</f>
        <v>2013$</v>
      </c>
      <c r="E157" s="141">
        <f ca="1">SUMPRODUCT(dFactor,tpSurvAxU,INDEX(tEIdxElec,1)*INDEX(elecAxU,stdCSL+1,2)*allOnes,OFFSET(tPrcElec,0,0,1,_maxLT))</f>
        <v>8213.1072006465474</v>
      </c>
      <c r="F157" s="28">
        <f ca="1">SUMPRODUCT(dFactor,tpSurvAxU,INDEX(tEIdxElec,2)*INDEX(elecAxU,stdCSL+1,2)*allOnes,OFFSET(tPrcElec,0,1,1,_maxLT))</f>
        <v>8249.2563766612748</v>
      </c>
      <c r="G157" s="28">
        <f ca="1">SUMPRODUCT(dFactor,tpSurvAxU,INDEX(tEIdxElec,3)*INDEX(elecAxU,stdCSL+1,2)*allOnes,OFFSET(tPrcElec,0,2,1,_maxLT))</f>
        <v>8281.2772464744103</v>
      </c>
      <c r="H157" s="28">
        <f ca="1">SUMPRODUCT(dFactor,tpSurvAxU,INDEX(tEIdxElec,4)*INDEX(elecAxU,stdCSL+1,2)*allOnes,OFFSET(tPrcElec,0,3,1,_maxLT))</f>
        <v>8316.149659430519</v>
      </c>
      <c r="I157" s="28">
        <f ca="1">SUMPRODUCT(dFactor,tpSurvAxU,INDEX(tEIdxElec,5)*INDEX(elecAxU,stdCSL+1,2)*allOnes,OFFSET(tPrcElec,0,4,1,_maxLT))</f>
        <v>8346.8112856666485</v>
      </c>
      <c r="J157" s="28">
        <f ca="1">SUMPRODUCT(dFactor,tpSurvAxU,INDEX(tEIdxElec,6)*INDEX(elecAxU,stdCSL+1,2)*allOnes,OFFSET(tPrcElec,0,5,1,_maxLT))</f>
        <v>8380.2532228962773</v>
      </c>
      <c r="K157" s="28">
        <f ca="1">SUMPRODUCT(dFactor,tpSurvAxU,INDEX(tEIdxElec,7)*INDEX(elecAxU,stdCSL+1,2)*allOnes,OFFSET(tPrcElec,0,6,1,_maxLT))</f>
        <v>8409.4065103603152</v>
      </c>
      <c r="L157" s="28">
        <f ca="1">SUMPRODUCT(dFactor,tpSurvAxU,INDEX(tEIdxElec,8)*INDEX(elecAxU,stdCSL+1,2)*allOnes,OFFSET(tPrcElec,0,7,1,_maxLT))</f>
        <v>8441.238813139993</v>
      </c>
      <c r="M157" s="28">
        <f ca="1">SUMPRODUCT(dFactor,tpSurvAxU,INDEX(tEIdxElec,9)*INDEX(elecAxU,stdCSL+1,2)*allOnes,OFFSET(tPrcElec,0,8,1,_maxLT))</f>
        <v>8475.9302833263409</v>
      </c>
      <c r="N157" s="28">
        <f ca="1">SUMPRODUCT(dFactor,tpSurvAxU,INDEX(tEIdxElec,10)*INDEX(elecAxU,stdCSL+1,2)*allOnes,OFFSET(tPrcElec,0,9,1,_maxLT))</f>
        <v>8506.4051196964956</v>
      </c>
      <c r="O157" s="28">
        <f ca="1">SUMPRODUCT(dFactor,tpSurvAxU,INDEX(tEIdxElec,11)*INDEX(elecAxU,stdCSL+1,2)*allOnes,OFFSET(tPrcElec,0,10,1,_maxLT))</f>
        <v>8539.6610333701465</v>
      </c>
      <c r="P157" s="28">
        <f ca="1">SUMPRODUCT(dFactor,tpSurvAxU,INDEX(tEIdxElec,12)*INDEX(elecAxU,stdCSL+1,2)*allOnes,OFFSET(tPrcElec,0,11,1,_maxLT))</f>
        <v>8575.9241432461458</v>
      </c>
      <c r="Q157" s="28">
        <f ca="1">SUMPRODUCT(dFactor,tpSurvAxU,INDEX(tEIdxElec,13)*INDEX(elecAxU,stdCSL+1,2)*allOnes,OFFSET(tPrcElec,0,12,1,_maxLT))</f>
        <v>8608.071758281154</v>
      </c>
      <c r="R157" s="28">
        <f ca="1">SUMPRODUCT(dFactor,tpSurvAxU,INDEX(tEIdxElec,14)*INDEX(elecAxU,stdCSL+1,2)*allOnes,OFFSET(tPrcElec,0,13,1,_maxLT))</f>
        <v>8643.1272153411901</v>
      </c>
      <c r="S157" s="28">
        <f ca="1">SUMPRODUCT(dFactor,tpSurvAxU,INDEX(tEIdxElec,15)*INDEX(elecAxU,stdCSL+1,2)*allOnes,OFFSET(tPrcElec,0,14,1,_maxLT))</f>
        <v>8674.0035093097122</v>
      </c>
      <c r="T157" s="28">
        <f ca="1">SUMPRODUCT(dFactor,tpSurvAxU,INDEX(tEIdxElec,16)*INDEX(elecAxU,stdCSL+1,2)*allOnes,OFFSET(tPrcElec,0,15,1,_maxLT))</f>
        <v>8707.7100897294149</v>
      </c>
      <c r="U157" s="28">
        <f ca="1">SUMPRODUCT(dFactor,tpSurvAxU,INDEX(tEIdxElec,17)*INDEX(elecAxU,stdCSL+1,2)*allOnes,OFFSET(tPrcElec,0,16,1,_maxLT))</f>
        <v>8744.4603379324781</v>
      </c>
      <c r="V157" s="28">
        <f ca="1">SUMPRODUCT(dFactor,tpSurvAxU,INDEX(tEIdxElec,18)*INDEX(elecAxU,stdCSL+1,2)*allOnes,OFFSET(tPrcElec,0,17,1,_maxLT))</f>
        <v>8777.1541148286087</v>
      </c>
      <c r="W157" s="28">
        <f ca="1">SUMPRODUCT(dFactor,tpSurvAxU,INDEX(tEIdxElec,19)*INDEX(elecAxU,stdCSL+1,2)*allOnes,OFFSET(tPrcElec,0,18,1,_maxLT))</f>
        <v>8812.8128660574002</v>
      </c>
      <c r="X157" s="28">
        <f ca="1">SUMPRODUCT(dFactor,tpSurvAxU,INDEX(tEIdxElec,20)*INDEX(elecAxU,stdCSL+1,2)*allOnes,OFFSET(tPrcElec,0,19,1,_maxLT))</f>
        <v>8844.3376365202566</v>
      </c>
      <c r="Y157" s="28">
        <f ca="1">SUMPRODUCT(dFactor,tpSurvAxU,INDEX(tEIdxElec,21)*INDEX(elecAxU,stdCSL+1,2)*allOnes,OFFSET(tPrcElec,0,20,1,_maxLT))</f>
        <v>8878.7643310264375</v>
      </c>
      <c r="Z157" s="28">
        <f ca="1">SUMPRODUCT(dFactor,tpSurvAxU,INDEX(tEIdxElec,22)*INDEX(elecAxU,stdCSL+1,2)*allOnes,OFFSET(tPrcElec,0,21,1,_maxLT))</f>
        <v>8916.2860240508435</v>
      </c>
      <c r="AA157" s="28">
        <f ca="1">SUMPRODUCT(dFactor,tpSurvAxU,INDEX(tEIdxElec,23)*INDEX(elecAxU,stdCSL+1,2)*allOnes,OFFSET(tPrcElec,0,22,1,_maxLT))</f>
        <v>8949.8235832868249</v>
      </c>
      <c r="AB157" s="28">
        <f ca="1">SUMPRODUCT(dFactor,tpSurvAxU,INDEX(tEIdxElec,24)*INDEX(elecAxU,stdCSL+1,2)*allOnes,OFFSET(tPrcElec,0,23,1,_maxLT))</f>
        <v>8986.407025587383</v>
      </c>
      <c r="AC157" s="28">
        <f ca="1">SUMPRODUCT(dFactor,tpSurvAxU,INDEX(tEIdxElec,25)*INDEX(elecAxU,stdCSL+1,2)*allOnes,OFFSET(tPrcElec,0,24,1,_maxLT))</f>
        <v>9018.9434227574056</v>
      </c>
      <c r="AD157" s="28">
        <f ca="1">SUMPRODUCT(dFactor,tpSurvAxU,INDEX(tEIdxElec,26)*INDEX(elecAxU,stdCSL+1,2)*allOnes,OFFSET(tPrcElec,0,25,1,_maxLT))</f>
        <v>9054.442731791296</v>
      </c>
      <c r="AE157" s="28">
        <f ca="1">SUMPRODUCT(dFactor,tpSurvAxU,INDEX(tEIdxElec,27)*INDEX(elecAxU,stdCSL+1,2)*allOnes,OFFSET(tPrcElec,0,26,1,_maxLT))</f>
        <v>9093.1131315525927</v>
      </c>
      <c r="AF157" s="28">
        <f ca="1">SUMPRODUCT(dFactor,tpSurvAxU,INDEX(tEIdxElec,28)*INDEX(elecAxU,stdCSL+1,2)*allOnes,OFFSET(tPrcElec,0,27,1,_maxLT))</f>
        <v>9127.9049304858618</v>
      </c>
      <c r="AG157" s="28">
        <f ca="1">SUMPRODUCT(dFactor,tpSurvAxU,INDEX(tEIdxElec,29)*INDEX(elecAxU,stdCSL+1,2)*allOnes,OFFSET(tPrcElec,0,28,1,_maxLT))</f>
        <v>9165.8391017039903</v>
      </c>
      <c r="AH157" s="28">
        <f ca="1">SUMPRODUCT(dFactor,tpSurvAxU,INDEX(tEIdxElec,30)*INDEX(elecAxU,stdCSL+1,2)*allOnes,OFFSET(tPrcElec,0,29,1,_maxLT))</f>
        <v>9199.8384175900501</v>
      </c>
      <c r="AI157" s="28">
        <f ca="1">SUMPRODUCT(dFactor,tpSurvAxU,INDEX(tEIdxElec,31)*INDEX(elecAxU,stdCSL+1,2)*allOnes,OFFSET(tPrcElec,0,30,1,_maxLT))</f>
        <v>9236.9440790147801</v>
      </c>
      <c r="AJ157" s="28">
        <f ca="1">SUMPRODUCT(dFactor,tpSurvAxU,INDEX(tEIdxElec,32)*INDEX(elecAxU,stdCSL+1,2)*allOnes,OFFSET(tPrcElec,0,31,1,_maxLT))</f>
        <v>9270.0530067792224</v>
      </c>
      <c r="AK157" s="29">
        <f ca="1">SUMPRODUCT(dFactor,tpSurvAxU,INDEX(tEIdxElec,33)*INDEX(elecAxU,stdCSL+1,2)*allOnes,OFFSET(tPrcElec,0,32,1,_maxLT))</f>
        <v>9306.1940348619155</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ts2bElec*SUMPRODUCT(tpSurvAxU,INDEX(tEIdxElec,1)*INDEX(elecAxU,stdCSL+1,2)*convFactor)</f>
        <v>1792.4120058742783</v>
      </c>
      <c r="F159" s="22">
        <f ca="1">ts2bElec*SUMPRODUCT(tpSurvAxU,INDEX(tEIdxElec,2)*INDEX(elecAxU,stdCSL+1,2)*convFactor)</f>
        <v>1779.4666234494907</v>
      </c>
      <c r="G159" s="22">
        <f ca="1">ts2bElec*SUMPRODUCT(tpSurvAxU,INDEX(tEIdxElec,3)*INDEX(elecAxU,stdCSL+1,2)*convFactor)</f>
        <v>1766.4224571696348</v>
      </c>
      <c r="H159" s="22">
        <f ca="1">ts2bElec*SUMPRODUCT(tpSurvAxU,INDEX(tEIdxElec,4)*INDEX(elecAxU,stdCSL+1,2)*convFactor)</f>
        <v>1754.9688018661641</v>
      </c>
      <c r="I159" s="22">
        <f ca="1">ts2bElec*SUMPRODUCT(tpSurvAxU,INDEX(tEIdxElec,5)*INDEX(elecAxU,stdCSL+1,2)*convFactor)</f>
        <v>1744.1105822626137</v>
      </c>
      <c r="J159" s="22">
        <f ca="1">ts2bElec*SUMPRODUCT(tpSurvAxU,INDEX(tEIdxElec,6)*INDEX(elecAxU,stdCSL+1,2)*convFactor)</f>
        <v>1734.6590413866652</v>
      </c>
      <c r="K159" s="22">
        <f ca="1">ts2bElec*SUMPRODUCT(tpSurvAxU,INDEX(tEIdxElec,7)*INDEX(elecAxU,stdCSL+1,2)*convFactor)</f>
        <v>1727.3327127166497</v>
      </c>
      <c r="L159" s="22">
        <f ca="1">ts2bElec*SUMPRODUCT(tpSurvAxU,INDEX(tEIdxElec,8)*INDEX(elecAxU,stdCSL+1,2)*convFactor)</f>
        <v>1721.2599643228241</v>
      </c>
      <c r="M159" s="22">
        <f ca="1">ts2bElec*SUMPRODUCT(tpSurvAxU,INDEX(tEIdxElec,9)*INDEX(elecAxU,stdCSL+1,2)*convFactor)</f>
        <v>1715.1589142462628</v>
      </c>
      <c r="N159" s="22">
        <f ca="1">ts2bElec*SUMPRODUCT(tpSurvAxU,INDEX(tEIdxElec,10)*INDEX(elecAxU,stdCSL+1,2)*convFactor)</f>
        <v>1710.2800876565466</v>
      </c>
      <c r="O159" s="22">
        <f ca="1">ts2bElec*SUMPRODUCT(tpSurvAxU,INDEX(tEIdxElec,11)*INDEX(elecAxU,stdCSL+1,2)*convFactor)</f>
        <v>1706.9203350282658</v>
      </c>
      <c r="P159" s="22">
        <f ca="1">ts2bElec*SUMPRODUCT(tpSurvAxU,INDEX(tEIdxElec,12)*INDEX(elecAxU,stdCSL+1,2)*convFactor)</f>
        <v>1704.4609957004177</v>
      </c>
      <c r="Q159" s="22">
        <f ca="1">ts2bElec*SUMPRODUCT(tpSurvAxU,INDEX(tEIdxElec,13)*INDEX(elecAxU,stdCSL+1,2)*convFactor)</f>
        <v>1702.3914902264348</v>
      </c>
      <c r="R159" s="22">
        <f ca="1">ts2bElec*SUMPRODUCT(tpSurvAxU,INDEX(tEIdxElec,14)*INDEX(elecAxU,stdCSL+1,2)*convFactor)</f>
        <v>1700.8643460285239</v>
      </c>
      <c r="S159" s="22">
        <f ca="1">ts2bElec*SUMPRODUCT(tpSurvAxU,INDEX(tEIdxElec,15)*INDEX(elecAxU,stdCSL+1,2)*convFactor)</f>
        <v>1699.7002154457412</v>
      </c>
      <c r="T159" s="22">
        <f ca="1">ts2bElec*SUMPRODUCT(tpSurvAxU,INDEX(tEIdxElec,16)*INDEX(elecAxU,stdCSL+1,2)*convFactor)</f>
        <v>1699.5544203311777</v>
      </c>
      <c r="U159" s="22">
        <f ca="1">ts2bElec*SUMPRODUCT(tpSurvAxU,INDEX(tEIdxElec,17)*INDEX(elecAxU,stdCSL+1,2)*convFactor)</f>
        <v>1699.8534515964586</v>
      </c>
      <c r="V159" s="22">
        <f ca="1">ts2bElec*SUMPRODUCT(tpSurvAxU,INDEX(tEIdxElec,18)*INDEX(elecAxU,stdCSL+1,2)*convFactor)</f>
        <v>1700.2924252041273</v>
      </c>
      <c r="W159" s="22">
        <f ca="1">ts2bElec*SUMPRODUCT(tpSurvAxU,INDEX(tEIdxElec,19)*INDEX(elecAxU,stdCSL+1,2)*convFactor)</f>
        <v>1700.9202182821575</v>
      </c>
      <c r="X159" s="22">
        <f ca="1">ts2bElec*SUMPRODUCT(tpSurvAxU,INDEX(tEIdxElec,20)*INDEX(elecAxU,stdCSL+1,2)*convFactor)</f>
        <v>1701.5134759971286</v>
      </c>
      <c r="Y159" s="22">
        <f ca="1">ts2bElec*SUMPRODUCT(tpSurvAxU,INDEX(tEIdxElec,21)*INDEX(elecAxU,stdCSL+1,2)*convFactor)</f>
        <v>1702.005021733348</v>
      </c>
      <c r="Z159" s="22">
        <f ca="1">ts2bElec*SUMPRODUCT(tpSurvAxU,INDEX(tEIdxElec,22)*INDEX(elecAxU,stdCSL+1,2)*convFactor)</f>
        <v>1702.3344268750077</v>
      </c>
      <c r="AA159" s="22">
        <f ca="1">ts2bElec*SUMPRODUCT(tpSurvAxU,INDEX(tEIdxElec,23)*INDEX(elecAxU,stdCSL+1,2)*convFactor)</f>
        <v>1702.5515267907442</v>
      </c>
      <c r="AB159" s="22">
        <f ca="1">ts2bElec*SUMPRODUCT(tpSurvAxU,INDEX(tEIdxElec,24)*INDEX(elecAxU,stdCSL+1,2)*convFactor)</f>
        <v>1702.5515267907442</v>
      </c>
      <c r="AC159" s="22">
        <f ca="1">ts2bElec*SUMPRODUCT(tpSurvAxU,INDEX(tEIdxElec,25)*INDEX(elecAxU,stdCSL+1,2)*convFactor)</f>
        <v>1702.5515267907442</v>
      </c>
      <c r="AD159" s="22">
        <f ca="1">ts2bElec*SUMPRODUCT(tpSurvAxU,INDEX(tEIdxElec,26)*INDEX(elecAxU,stdCSL+1,2)*convFactor)</f>
        <v>1702.5515267907442</v>
      </c>
      <c r="AE159" s="22">
        <f ca="1">ts2bElec*SUMPRODUCT(tpSurvAxU,INDEX(tEIdxElec,27)*INDEX(elecAxU,stdCSL+1,2)*convFactor)</f>
        <v>1702.5515267907442</v>
      </c>
      <c r="AF159" s="22">
        <f ca="1">ts2bElec*SUMPRODUCT(tpSurvAxU,INDEX(tEIdxElec,28)*INDEX(elecAxU,stdCSL+1,2)*convFactor)</f>
        <v>1702.5515267907442</v>
      </c>
      <c r="AG159" s="22">
        <f ca="1">ts2bElec*SUMPRODUCT(tpSurvAxU,INDEX(tEIdxElec,29)*INDEX(elecAxU,stdCSL+1,2)*convFactor)</f>
        <v>1702.5515267907442</v>
      </c>
      <c r="AH159" s="22">
        <f ca="1">ts2bElec*SUMPRODUCT(tpSurvAxU,INDEX(tEIdxElec,30)*INDEX(elecAxU,stdCSL+1,2)*convFactor)</f>
        <v>1702.5515267907442</v>
      </c>
      <c r="AI159" s="22">
        <f ca="1">ts2bElec*SUMPRODUCT(tpSurvAxU,INDEX(tEIdxElec,31)*INDEX(elecAxU,stdCSL+1,2)*convFactor)</f>
        <v>1702.5515267907442</v>
      </c>
      <c r="AJ159" s="22">
        <f ca="1">ts2bElec*SUMPRODUCT(tpSurvAxU,INDEX(tEIdxElec,32)*INDEX(elecAxU,stdCSL+1,2)*convFactor)</f>
        <v>1702.5515267907442</v>
      </c>
      <c r="AK159" s="25">
        <f ca="1">ts2bElec*SUMPRODUCT(tpSurvAxU,INDEX(tEIdxElec,33)*INDEX(elecAxU,stdCSL+1,2)*convFactor)</f>
        <v>1702.5515267907442</v>
      </c>
      <c r="AL159" s="3"/>
    </row>
    <row r="160" spans="2:38">
      <c r="B160" s="3"/>
      <c r="C160" s="30" t="str">
        <f>"EL 2: " &amp; INDEX(_doName,2,3)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(1+INDEX(vadAxU,stdCSL+1,3))*INDEX(mspAxU,stdCSL+1,3)*tPIdxAll + INDEX(instAxU,stdCSL+1,3) + SUMPRODUCT(dFactor,tpSurvAxU,INDEX(mrAxU,stdCSL+1,3)*allOnes)</f>
        <v>326.82268499999998</v>
      </c>
      <c r="F161" s="28">
        <f ca="1"/>
        <v>326.82268499999998</v>
      </c>
      <c r="G161" s="28">
        <f ca="1"/>
        <v>326.82268499999998</v>
      </c>
      <c r="H161" s="28">
        <f ca="1"/>
        <v>326.82268499999998</v>
      </c>
      <c r="I161" s="28">
        <f ca="1"/>
        <v>326.82268499999998</v>
      </c>
      <c r="J161" s="28">
        <f ca="1"/>
        <v>326.82268499999998</v>
      </c>
      <c r="K161" s="28">
        <f ca="1"/>
        <v>326.82268499999998</v>
      </c>
      <c r="L161" s="28">
        <f ca="1"/>
        <v>326.82268499999998</v>
      </c>
      <c r="M161" s="28">
        <f ca="1"/>
        <v>326.82268499999998</v>
      </c>
      <c r="N161" s="28">
        <f ca="1"/>
        <v>326.82268499999998</v>
      </c>
      <c r="O161" s="28">
        <f ca="1"/>
        <v>326.82268499999998</v>
      </c>
      <c r="P161" s="28">
        <f ca="1"/>
        <v>326.82268499999998</v>
      </c>
      <c r="Q161" s="28">
        <f ca="1"/>
        <v>326.82268499999998</v>
      </c>
      <c r="R161" s="28">
        <f ca="1"/>
        <v>326.82268499999998</v>
      </c>
      <c r="S161" s="28">
        <f ca="1"/>
        <v>326.82268499999998</v>
      </c>
      <c r="T161" s="28">
        <f ca="1"/>
        <v>326.82268499999998</v>
      </c>
      <c r="U161" s="28">
        <f ca="1"/>
        <v>326.82268499999998</v>
      </c>
      <c r="V161" s="28">
        <f ca="1"/>
        <v>326.82268499999998</v>
      </c>
      <c r="W161" s="28">
        <f ca="1"/>
        <v>326.82268499999998</v>
      </c>
      <c r="X161" s="28">
        <f ca="1"/>
        <v>326.82268499999998</v>
      </c>
      <c r="Y161" s="28">
        <f ca="1"/>
        <v>326.82268499999998</v>
      </c>
      <c r="Z161" s="28">
        <f ca="1"/>
        <v>326.82268499999998</v>
      </c>
      <c r="AA161" s="28">
        <f ca="1"/>
        <v>326.82268499999998</v>
      </c>
      <c r="AB161" s="28">
        <f ca="1"/>
        <v>326.82268499999998</v>
      </c>
      <c r="AC161" s="28">
        <f ca="1"/>
        <v>326.82268499999998</v>
      </c>
      <c r="AD161" s="28">
        <f ca="1"/>
        <v>326.82268499999998</v>
      </c>
      <c r="AE161" s="28">
        <f ca="1"/>
        <v>326.82268499999998</v>
      </c>
      <c r="AF161" s="28">
        <f ca="1"/>
        <v>326.82268499999998</v>
      </c>
      <c r="AG161" s="28">
        <f ca="1"/>
        <v>326.82268499999998</v>
      </c>
      <c r="AH161" s="28">
        <f ca="1"/>
        <v>326.82268499999998</v>
      </c>
      <c r="AI161" s="28">
        <f ca="1"/>
        <v>326.82268499999998</v>
      </c>
      <c r="AJ161" s="28">
        <f ca="1"/>
        <v>326.82268499999998</v>
      </c>
      <c r="AK161" s="29">
        <f ca="1"/>
        <v>326.82268499999998</v>
      </c>
      <c r="AL161" s="3"/>
    </row>
    <row r="162" spans="2:38">
      <c r="B162" s="3"/>
      <c r="C162" s="23" t="s">
        <v>47</v>
      </c>
      <c r="D162" s="16" t="str">
        <f>_yearDol &amp; "$"</f>
        <v>2013$</v>
      </c>
      <c r="E162" s="141">
        <f t="array" aca="1" ref="E162:AK162" ca="1">(tlccEFupolElec2)</f>
        <v>2590.4519939046922</v>
      </c>
      <c r="F162" s="28">
        <f ca="1"/>
        <v>2601.8536111973531</v>
      </c>
      <c r="G162" s="28">
        <f ca="1"/>
        <v>2611.9531416220229</v>
      </c>
      <c r="H162" s="28">
        <f ca="1"/>
        <v>2622.9520619414006</v>
      </c>
      <c r="I162" s="28">
        <f ca="1"/>
        <v>2632.6228806558424</v>
      </c>
      <c r="J162" s="28">
        <f ca="1"/>
        <v>2643.1706223156248</v>
      </c>
      <c r="K162" s="28">
        <f ca="1"/>
        <v>2652.3657040057974</v>
      </c>
      <c r="L162" s="28">
        <f ca="1"/>
        <v>2662.4057595160552</v>
      </c>
      <c r="M162" s="28">
        <f ca="1"/>
        <v>2673.3476096490517</v>
      </c>
      <c r="N162" s="28">
        <f ca="1"/>
        <v>2682.959513975929</v>
      </c>
      <c r="O162" s="28">
        <f ca="1"/>
        <v>2693.448582945864</v>
      </c>
      <c r="P162" s="28">
        <f ca="1"/>
        <v>2704.886135505275</v>
      </c>
      <c r="Q162" s="28">
        <f ca="1"/>
        <v>2715.0256419590746</v>
      </c>
      <c r="R162" s="28">
        <f ca="1"/>
        <v>2726.0822952353469</v>
      </c>
      <c r="S162" s="28">
        <f ca="1"/>
        <v>2735.8208211453502</v>
      </c>
      <c r="T162" s="28">
        <f ca="1"/>
        <v>2746.45203249117</v>
      </c>
      <c r="U162" s="28">
        <f ca="1"/>
        <v>2758.0432307317874</v>
      </c>
      <c r="V162" s="28">
        <f ca="1"/>
        <v>2768.3549991623959</v>
      </c>
      <c r="W162" s="28">
        <f ca="1"/>
        <v>2779.6019342095246</v>
      </c>
      <c r="X162" s="28">
        <f ca="1"/>
        <v>2789.544992604825</v>
      </c>
      <c r="Y162" s="28">
        <f ca="1"/>
        <v>2800.4033312638003</v>
      </c>
      <c r="Z162" s="28">
        <f ca="1"/>
        <v>2812.2378467687372</v>
      </c>
      <c r="AA162" s="28">
        <f ca="1"/>
        <v>2822.8157480515438</v>
      </c>
      <c r="AB162" s="28">
        <f ca="1"/>
        <v>2834.3543349390884</v>
      </c>
      <c r="AC162" s="28">
        <f ca="1"/>
        <v>2844.6164650762557</v>
      </c>
      <c r="AD162" s="28">
        <f ca="1"/>
        <v>2855.8131113177465</v>
      </c>
      <c r="AE162" s="28">
        <f ca="1"/>
        <v>2868.009934239878</v>
      </c>
      <c r="AF162" s="28">
        <f ca="1"/>
        <v>2878.9834285236398</v>
      </c>
      <c r="AG162" s="28">
        <f ca="1"/>
        <v>2890.948041558448</v>
      </c>
      <c r="AH162" s="28">
        <f ca="1"/>
        <v>2901.6715830241556</v>
      </c>
      <c r="AI162" s="28">
        <f ca="1"/>
        <v>2913.3748802385485</v>
      </c>
      <c r="AJ162" s="28">
        <f ca="1"/>
        <v>2923.817589172957</v>
      </c>
      <c r="AK162" s="29">
        <f ca="1"/>
        <v>2935.2166365701719</v>
      </c>
      <c r="AL162" s="3"/>
    </row>
    <row r="163" spans="2:38">
      <c r="B163" s="3"/>
      <c r="C163" s="27" t="str">
        <f>INDEX(_fuel,1)</f>
        <v>Electricity</v>
      </c>
      <c r="D163" s="16" t="str">
        <f>_yearDol &amp; "$"</f>
        <v>2013$</v>
      </c>
      <c r="E163" s="141">
        <f ca="1">SUMPRODUCT(dFactor,tpSurvAxU,INDEX(tEIdxElec,1)*INDEX(elecAxU,stdCSL+1,3)*allOnes,OFFSET(tPrcElec,0,0,1,_maxLT))</f>
        <v>2590.4519939046922</v>
      </c>
      <c r="F163" s="28">
        <f ca="1">SUMPRODUCT(dFactor,tpSurvAxU,INDEX(tEIdxElec,2)*INDEX(elecAxU,stdCSL+1,3)*allOnes,OFFSET(tPrcElec,0,1,1,_maxLT))</f>
        <v>2601.8536111973531</v>
      </c>
      <c r="G163" s="28">
        <f ca="1">SUMPRODUCT(dFactor,tpSurvAxU,INDEX(tEIdxElec,3)*INDEX(elecAxU,stdCSL+1,3)*allOnes,OFFSET(tPrcElec,0,2,1,_maxLT))</f>
        <v>2611.9531416220229</v>
      </c>
      <c r="H163" s="28">
        <f ca="1">SUMPRODUCT(dFactor,tpSurvAxU,INDEX(tEIdxElec,4)*INDEX(elecAxU,stdCSL+1,3)*allOnes,OFFSET(tPrcElec,0,3,1,_maxLT))</f>
        <v>2622.9520619414006</v>
      </c>
      <c r="I163" s="28">
        <f ca="1">SUMPRODUCT(dFactor,tpSurvAxU,INDEX(tEIdxElec,5)*INDEX(elecAxU,stdCSL+1,3)*allOnes,OFFSET(tPrcElec,0,4,1,_maxLT))</f>
        <v>2632.6228806558424</v>
      </c>
      <c r="J163" s="28">
        <f ca="1">SUMPRODUCT(dFactor,tpSurvAxU,INDEX(tEIdxElec,6)*INDEX(elecAxU,stdCSL+1,3)*allOnes,OFFSET(tPrcElec,0,5,1,_maxLT))</f>
        <v>2643.1706223156248</v>
      </c>
      <c r="K163" s="28">
        <f ca="1">SUMPRODUCT(dFactor,tpSurvAxU,INDEX(tEIdxElec,7)*INDEX(elecAxU,stdCSL+1,3)*allOnes,OFFSET(tPrcElec,0,6,1,_maxLT))</f>
        <v>2652.3657040057974</v>
      </c>
      <c r="L163" s="28">
        <f ca="1">SUMPRODUCT(dFactor,tpSurvAxU,INDEX(tEIdxElec,8)*INDEX(elecAxU,stdCSL+1,3)*allOnes,OFFSET(tPrcElec,0,7,1,_maxLT))</f>
        <v>2662.4057595160552</v>
      </c>
      <c r="M163" s="28">
        <f ca="1">SUMPRODUCT(dFactor,tpSurvAxU,INDEX(tEIdxElec,9)*INDEX(elecAxU,stdCSL+1,3)*allOnes,OFFSET(tPrcElec,0,8,1,_maxLT))</f>
        <v>2673.3476096490517</v>
      </c>
      <c r="N163" s="28">
        <f ca="1">SUMPRODUCT(dFactor,tpSurvAxU,INDEX(tEIdxElec,10)*INDEX(elecAxU,stdCSL+1,3)*allOnes,OFFSET(tPrcElec,0,9,1,_maxLT))</f>
        <v>2682.959513975929</v>
      </c>
      <c r="O163" s="28">
        <f ca="1">SUMPRODUCT(dFactor,tpSurvAxU,INDEX(tEIdxElec,11)*INDEX(elecAxU,stdCSL+1,3)*allOnes,OFFSET(tPrcElec,0,10,1,_maxLT))</f>
        <v>2693.448582945864</v>
      </c>
      <c r="P163" s="28">
        <f ca="1">SUMPRODUCT(dFactor,tpSurvAxU,INDEX(tEIdxElec,12)*INDEX(elecAxU,stdCSL+1,3)*allOnes,OFFSET(tPrcElec,0,11,1,_maxLT))</f>
        <v>2704.886135505275</v>
      </c>
      <c r="Q163" s="28">
        <f ca="1">SUMPRODUCT(dFactor,tpSurvAxU,INDEX(tEIdxElec,13)*INDEX(elecAxU,stdCSL+1,3)*allOnes,OFFSET(tPrcElec,0,12,1,_maxLT))</f>
        <v>2715.0256419590746</v>
      </c>
      <c r="R163" s="28">
        <f ca="1">SUMPRODUCT(dFactor,tpSurvAxU,INDEX(tEIdxElec,14)*INDEX(elecAxU,stdCSL+1,3)*allOnes,OFFSET(tPrcElec,0,13,1,_maxLT))</f>
        <v>2726.0822952353469</v>
      </c>
      <c r="S163" s="28">
        <f ca="1">SUMPRODUCT(dFactor,tpSurvAxU,INDEX(tEIdxElec,15)*INDEX(elecAxU,stdCSL+1,3)*allOnes,OFFSET(tPrcElec,0,14,1,_maxLT))</f>
        <v>2735.8208211453502</v>
      </c>
      <c r="T163" s="28">
        <f ca="1">SUMPRODUCT(dFactor,tpSurvAxU,INDEX(tEIdxElec,16)*INDEX(elecAxU,stdCSL+1,3)*allOnes,OFFSET(tPrcElec,0,15,1,_maxLT))</f>
        <v>2746.45203249117</v>
      </c>
      <c r="U163" s="28">
        <f ca="1">SUMPRODUCT(dFactor,tpSurvAxU,INDEX(tEIdxElec,17)*INDEX(elecAxU,stdCSL+1,3)*allOnes,OFFSET(tPrcElec,0,16,1,_maxLT))</f>
        <v>2758.0432307317874</v>
      </c>
      <c r="V163" s="28">
        <f ca="1">SUMPRODUCT(dFactor,tpSurvAxU,INDEX(tEIdxElec,18)*INDEX(elecAxU,stdCSL+1,3)*allOnes,OFFSET(tPrcElec,0,17,1,_maxLT))</f>
        <v>2768.3549991623959</v>
      </c>
      <c r="W163" s="28">
        <f ca="1">SUMPRODUCT(dFactor,tpSurvAxU,INDEX(tEIdxElec,19)*INDEX(elecAxU,stdCSL+1,3)*allOnes,OFFSET(tPrcElec,0,18,1,_maxLT))</f>
        <v>2779.6019342095246</v>
      </c>
      <c r="X163" s="28">
        <f ca="1">SUMPRODUCT(dFactor,tpSurvAxU,INDEX(tEIdxElec,20)*INDEX(elecAxU,stdCSL+1,3)*allOnes,OFFSET(tPrcElec,0,19,1,_maxLT))</f>
        <v>2789.544992604825</v>
      </c>
      <c r="Y163" s="28">
        <f ca="1">SUMPRODUCT(dFactor,tpSurvAxU,INDEX(tEIdxElec,21)*INDEX(elecAxU,stdCSL+1,3)*allOnes,OFFSET(tPrcElec,0,20,1,_maxLT))</f>
        <v>2800.4033312638003</v>
      </c>
      <c r="Z163" s="28">
        <f ca="1">SUMPRODUCT(dFactor,tpSurvAxU,INDEX(tEIdxElec,22)*INDEX(elecAxU,stdCSL+1,3)*allOnes,OFFSET(tPrcElec,0,21,1,_maxLT))</f>
        <v>2812.2378467687372</v>
      </c>
      <c r="AA163" s="28">
        <f ca="1">SUMPRODUCT(dFactor,tpSurvAxU,INDEX(tEIdxElec,23)*INDEX(elecAxU,stdCSL+1,3)*allOnes,OFFSET(tPrcElec,0,22,1,_maxLT))</f>
        <v>2822.8157480515438</v>
      </c>
      <c r="AB163" s="28">
        <f ca="1">SUMPRODUCT(dFactor,tpSurvAxU,INDEX(tEIdxElec,24)*INDEX(elecAxU,stdCSL+1,3)*allOnes,OFFSET(tPrcElec,0,23,1,_maxLT))</f>
        <v>2834.3543349390884</v>
      </c>
      <c r="AC163" s="28">
        <f ca="1">SUMPRODUCT(dFactor,tpSurvAxU,INDEX(tEIdxElec,25)*INDEX(elecAxU,stdCSL+1,3)*allOnes,OFFSET(tPrcElec,0,24,1,_maxLT))</f>
        <v>2844.6164650762557</v>
      </c>
      <c r="AD163" s="28">
        <f ca="1">SUMPRODUCT(dFactor,tpSurvAxU,INDEX(tEIdxElec,26)*INDEX(elecAxU,stdCSL+1,3)*allOnes,OFFSET(tPrcElec,0,25,1,_maxLT))</f>
        <v>2855.8131113177465</v>
      </c>
      <c r="AE163" s="28">
        <f ca="1">SUMPRODUCT(dFactor,tpSurvAxU,INDEX(tEIdxElec,27)*INDEX(elecAxU,stdCSL+1,3)*allOnes,OFFSET(tPrcElec,0,26,1,_maxLT))</f>
        <v>2868.009934239878</v>
      </c>
      <c r="AF163" s="28">
        <f ca="1">SUMPRODUCT(dFactor,tpSurvAxU,INDEX(tEIdxElec,28)*INDEX(elecAxU,stdCSL+1,3)*allOnes,OFFSET(tPrcElec,0,27,1,_maxLT))</f>
        <v>2878.9834285236398</v>
      </c>
      <c r="AG163" s="28">
        <f ca="1">SUMPRODUCT(dFactor,tpSurvAxU,INDEX(tEIdxElec,29)*INDEX(elecAxU,stdCSL+1,3)*allOnes,OFFSET(tPrcElec,0,28,1,_maxLT))</f>
        <v>2890.948041558448</v>
      </c>
      <c r="AH163" s="28">
        <f ca="1">SUMPRODUCT(dFactor,tpSurvAxU,INDEX(tEIdxElec,30)*INDEX(elecAxU,stdCSL+1,3)*allOnes,OFFSET(tPrcElec,0,29,1,_maxLT))</f>
        <v>2901.6715830241556</v>
      </c>
      <c r="AI163" s="28">
        <f ca="1">SUMPRODUCT(dFactor,tpSurvAxU,INDEX(tEIdxElec,31)*INDEX(elecAxU,stdCSL+1,3)*allOnes,OFFSET(tPrcElec,0,30,1,_maxLT))</f>
        <v>2913.3748802385485</v>
      </c>
      <c r="AJ163" s="28">
        <f ca="1">SUMPRODUCT(dFactor,tpSurvAxU,INDEX(tEIdxElec,32)*INDEX(elecAxU,stdCSL+1,3)*allOnes,OFFSET(tPrcElec,0,31,1,_maxLT))</f>
        <v>2923.817589172957</v>
      </c>
      <c r="AK163" s="29">
        <f ca="1">SUMPRODUCT(dFactor,tpSurvAxU,INDEX(tEIdxElec,33)*INDEX(elecAxU,stdCSL+1,3)*allOnes,OFFSET(tPrcElec,0,32,1,_maxLT))</f>
        <v>2935.2166365701719</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ts2bElec*SUMPRODUCT(tpSurvAxU,INDEX(tEIdxElec,1)*INDEX(elecAxU,stdCSL+1,3)*convFactor)</f>
        <v>565.33503594720128</v>
      </c>
      <c r="F165" s="22">
        <f ca="1">ts2bElec*SUMPRODUCT(tpSurvAxU,INDEX(tEIdxElec,2)*INDEX(elecAxU,stdCSL+1,3)*convFactor)</f>
        <v>561.25200246244299</v>
      </c>
      <c r="G165" s="22">
        <f ca="1">ts2bElec*SUMPRODUCT(tpSurvAxU,INDEX(tEIdxElec,3)*INDEX(elecAxU,stdCSL+1,3)*convFactor)</f>
        <v>557.13781209295439</v>
      </c>
      <c r="H165" s="22">
        <f ca="1">ts2bElec*SUMPRODUCT(tpSurvAxU,INDEX(tEIdxElec,4)*INDEX(elecAxU,stdCSL+1,3)*convFactor)</f>
        <v>553.525276240989</v>
      </c>
      <c r="I165" s="22">
        <f ca="1">ts2bElec*SUMPRODUCT(tpSurvAxU,INDEX(tEIdxElec,5)*INDEX(elecAxU,stdCSL+1,3)*convFactor)</f>
        <v>550.1005435624653</v>
      </c>
      <c r="J165" s="22">
        <f ca="1">ts2bElec*SUMPRODUCT(tpSurvAxU,INDEX(tEIdxElec,6)*INDEX(elecAxU,stdCSL+1,3)*convFactor)</f>
        <v>547.11948386003678</v>
      </c>
      <c r="K165" s="22">
        <f ca="1">ts2bElec*SUMPRODUCT(tpSurvAxU,INDEX(tEIdxElec,7)*INDEX(elecAxU,stdCSL+1,3)*convFactor)</f>
        <v>544.80872591574155</v>
      </c>
      <c r="L165" s="22">
        <f ca="1">ts2bElec*SUMPRODUCT(tpSurvAxU,INDEX(tEIdxElec,8)*INDEX(elecAxU,stdCSL+1,3)*convFactor)</f>
        <v>542.89335298793799</v>
      </c>
      <c r="M165" s="22">
        <f ca="1">ts2bElec*SUMPRODUCT(tpSurvAxU,INDEX(tEIdxElec,9)*INDEX(elecAxU,stdCSL+1,3)*convFactor)</f>
        <v>540.96905357851404</v>
      </c>
      <c r="N165" s="22">
        <f ca="1">ts2bElec*SUMPRODUCT(tpSurvAxU,INDEX(tEIdxElec,10)*INDEX(elecAxU,stdCSL+1,3)*convFactor)</f>
        <v>539.43024910920792</v>
      </c>
      <c r="O165" s="22">
        <f ca="1">ts2bElec*SUMPRODUCT(tpSurvAxU,INDEX(tEIdxElec,11)*INDEX(elecAxU,stdCSL+1,3)*convFactor)</f>
        <v>538.37056759253755</v>
      </c>
      <c r="P165" s="22">
        <f ca="1">ts2bElec*SUMPRODUCT(tpSurvAxU,INDEX(tEIdxElec,12)*INDEX(elecAxU,stdCSL+1,3)*convFactor)</f>
        <v>537.59488059492833</v>
      </c>
      <c r="Q165" s="22">
        <f ca="1">ts2bElec*SUMPRODUCT(tpSurvAxU,INDEX(tEIdxElec,13)*INDEX(elecAxU,stdCSL+1,3)*convFactor)</f>
        <v>536.9421489976769</v>
      </c>
      <c r="R165" s="22">
        <f ca="1">ts2bElec*SUMPRODUCT(tpSurvAxU,INDEX(tEIdxElec,14)*INDEX(elecAxU,stdCSL+1,3)*convFactor)</f>
        <v>536.46048065513446</v>
      </c>
      <c r="S165" s="22">
        <f ca="1">ts2bElec*SUMPRODUCT(tpSurvAxU,INDEX(tEIdxElec,15)*INDEX(elecAxU,stdCSL+1,3)*convFactor)</f>
        <v>536.09330848561774</v>
      </c>
      <c r="T165" s="22">
        <f ca="1">ts2bElec*SUMPRODUCT(tpSurvAxU,INDEX(tEIdxElec,16)*INDEX(elecAxU,stdCSL+1,3)*convFactor)</f>
        <v>536.04732403223159</v>
      </c>
      <c r="U165" s="22">
        <f ca="1">ts2bElec*SUMPRODUCT(tpSurvAxU,INDEX(tEIdxElec,17)*INDEX(elecAxU,stdCSL+1,3)*convFactor)</f>
        <v>536.14163987621885</v>
      </c>
      <c r="V165" s="22">
        <f ca="1">ts2bElec*SUMPRODUCT(tpSurvAxU,INDEX(tEIdxElec,18)*INDEX(elecAxU,stdCSL+1,3)*convFactor)</f>
        <v>536.28009418218096</v>
      </c>
      <c r="W165" s="22">
        <f ca="1">ts2bElec*SUMPRODUCT(tpSurvAxU,INDEX(tEIdxElec,19)*INDEX(elecAxU,stdCSL+1,3)*convFactor)</f>
        <v>536.47810302232062</v>
      </c>
      <c r="X165" s="22">
        <f ca="1">ts2bElec*SUMPRODUCT(tpSurvAxU,INDEX(tEIdxElec,20)*INDEX(elecAxU,stdCSL+1,3)*convFactor)</f>
        <v>536.66521924923711</v>
      </c>
      <c r="Y165" s="22">
        <f ca="1">ts2bElec*SUMPRODUCT(tpSurvAxU,INDEX(tEIdxElec,21)*INDEX(elecAxU,stdCSL+1,3)*convFactor)</f>
        <v>536.82025504767228</v>
      </c>
      <c r="Z165" s="22">
        <f ca="1">ts2bElec*SUMPRODUCT(tpSurvAxU,INDEX(tEIdxElec,22)*INDEX(elecAxU,stdCSL+1,3)*convFactor)</f>
        <v>536.92415095273816</v>
      </c>
      <c r="AA165" s="22">
        <f ca="1">ts2bElec*SUMPRODUCT(tpSurvAxU,INDEX(tEIdxElec,23)*INDEX(elecAxU,stdCSL+1,3)*convFactor)</f>
        <v>536.99262527017447</v>
      </c>
      <c r="AB165" s="22">
        <f ca="1">ts2bElec*SUMPRODUCT(tpSurvAxU,INDEX(tEIdxElec,24)*INDEX(elecAxU,stdCSL+1,3)*convFactor)</f>
        <v>536.99262527017447</v>
      </c>
      <c r="AC165" s="22">
        <f ca="1">ts2bElec*SUMPRODUCT(tpSurvAxU,INDEX(tEIdxElec,25)*INDEX(elecAxU,stdCSL+1,3)*convFactor)</f>
        <v>536.99262527017447</v>
      </c>
      <c r="AD165" s="22">
        <f ca="1">ts2bElec*SUMPRODUCT(tpSurvAxU,INDEX(tEIdxElec,26)*INDEX(elecAxU,stdCSL+1,3)*convFactor)</f>
        <v>536.99262527017447</v>
      </c>
      <c r="AE165" s="22">
        <f ca="1">ts2bElec*SUMPRODUCT(tpSurvAxU,INDEX(tEIdxElec,27)*INDEX(elecAxU,stdCSL+1,3)*convFactor)</f>
        <v>536.99262527017447</v>
      </c>
      <c r="AF165" s="22">
        <f ca="1">ts2bElec*SUMPRODUCT(tpSurvAxU,INDEX(tEIdxElec,28)*INDEX(elecAxU,stdCSL+1,3)*convFactor)</f>
        <v>536.99262527017447</v>
      </c>
      <c r="AG165" s="22">
        <f ca="1">ts2bElec*SUMPRODUCT(tpSurvAxU,INDEX(tEIdxElec,29)*INDEX(elecAxU,stdCSL+1,3)*convFactor)</f>
        <v>536.99262527017447</v>
      </c>
      <c r="AH165" s="22">
        <f ca="1">ts2bElec*SUMPRODUCT(tpSurvAxU,INDEX(tEIdxElec,30)*INDEX(elecAxU,stdCSL+1,3)*convFactor)</f>
        <v>536.99262527017447</v>
      </c>
      <c r="AI165" s="22">
        <f ca="1">ts2bElec*SUMPRODUCT(tpSurvAxU,INDEX(tEIdxElec,31)*INDEX(elecAxU,stdCSL+1,3)*convFactor)</f>
        <v>536.99262527017447</v>
      </c>
      <c r="AJ165" s="22">
        <f ca="1">ts2bElec*SUMPRODUCT(tpSurvAxU,INDEX(tEIdxElec,32)*INDEX(elecAxU,stdCSL+1,3)*convFactor)</f>
        <v>536.99262527017447</v>
      </c>
      <c r="AK165" s="25">
        <f ca="1">ts2bElec*SUMPRODUCT(tpSurvAxU,INDEX(tEIdxElec,33)*INDEX(elecAxU,stdCSL+1,3)*convFactor)</f>
        <v>536.99262527017447</v>
      </c>
      <c r="AL165" s="3"/>
    </row>
    <row r="166" spans="2:38">
      <c r="B166" s="3"/>
      <c r="C166" s="30" t="str">
        <f>"EL 3: " &amp; INDEX(_doName,2,4)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(1+INDEX(vadAxU,stdCSL+1,4))*INDEX(mspAxU,stdCSL+1,4)*tPIdxAll + INDEX(instAxU,stdCSL+1,4) + SUMPRODUCT(dFactor,tpSurvAxU,INDEX(mrAxU,stdCSL+1,4)*allOnes)</f>
        <v>662.81799999999998</v>
      </c>
      <c r="F167" s="28">
        <f ca="1"/>
        <v>662.81799999999998</v>
      </c>
      <c r="G167" s="28">
        <f ca="1"/>
        <v>662.81799999999998</v>
      </c>
      <c r="H167" s="28">
        <f ca="1"/>
        <v>662.81799999999998</v>
      </c>
      <c r="I167" s="28">
        <f ca="1"/>
        <v>662.81799999999998</v>
      </c>
      <c r="J167" s="28">
        <f ca="1"/>
        <v>662.81799999999998</v>
      </c>
      <c r="K167" s="28">
        <f ca="1"/>
        <v>662.81799999999998</v>
      </c>
      <c r="L167" s="28">
        <f ca="1"/>
        <v>662.81799999999998</v>
      </c>
      <c r="M167" s="28">
        <f ca="1"/>
        <v>662.81799999999998</v>
      </c>
      <c r="N167" s="28">
        <f ca="1"/>
        <v>662.81799999999998</v>
      </c>
      <c r="O167" s="28">
        <f ca="1"/>
        <v>662.81799999999998</v>
      </c>
      <c r="P167" s="28">
        <f ca="1"/>
        <v>662.81799999999998</v>
      </c>
      <c r="Q167" s="28">
        <f ca="1"/>
        <v>662.81799999999998</v>
      </c>
      <c r="R167" s="28">
        <f ca="1"/>
        <v>662.81799999999998</v>
      </c>
      <c r="S167" s="28">
        <f ca="1"/>
        <v>662.81799999999998</v>
      </c>
      <c r="T167" s="28">
        <f ca="1"/>
        <v>662.81799999999998</v>
      </c>
      <c r="U167" s="28">
        <f ca="1"/>
        <v>662.81799999999998</v>
      </c>
      <c r="V167" s="28">
        <f ca="1"/>
        <v>662.81799999999998</v>
      </c>
      <c r="W167" s="28">
        <f ca="1"/>
        <v>662.81799999999998</v>
      </c>
      <c r="X167" s="28">
        <f ca="1"/>
        <v>662.81799999999998</v>
      </c>
      <c r="Y167" s="28">
        <f ca="1"/>
        <v>662.81799999999998</v>
      </c>
      <c r="Z167" s="28">
        <f ca="1"/>
        <v>662.81799999999998</v>
      </c>
      <c r="AA167" s="28">
        <f ca="1"/>
        <v>662.81799999999998</v>
      </c>
      <c r="AB167" s="28">
        <f ca="1"/>
        <v>662.81799999999998</v>
      </c>
      <c r="AC167" s="28">
        <f ca="1"/>
        <v>662.81799999999998</v>
      </c>
      <c r="AD167" s="28">
        <f ca="1"/>
        <v>662.81799999999998</v>
      </c>
      <c r="AE167" s="28">
        <f ca="1"/>
        <v>662.81799999999998</v>
      </c>
      <c r="AF167" s="28">
        <f ca="1"/>
        <v>662.81799999999998</v>
      </c>
      <c r="AG167" s="28">
        <f ca="1"/>
        <v>662.81799999999998</v>
      </c>
      <c r="AH167" s="28">
        <f ca="1"/>
        <v>662.81799999999998</v>
      </c>
      <c r="AI167" s="28">
        <f ca="1"/>
        <v>662.81799999999998</v>
      </c>
      <c r="AJ167" s="28">
        <f ca="1"/>
        <v>662.81799999999998</v>
      </c>
      <c r="AK167" s="29">
        <f ca="1"/>
        <v>662.81799999999998</v>
      </c>
      <c r="AL167" s="3"/>
    </row>
    <row r="168" spans="2:38">
      <c r="B168" s="3"/>
      <c r="C168" s="23" t="s">
        <v>47</v>
      </c>
      <c r="D168" s="16" t="str">
        <f>_yearDol &amp; "$"</f>
        <v>2013$</v>
      </c>
      <c r="E168" s="141">
        <f t="array" aca="1" ref="E168:AK168" ca="1">(tlccEFupolElec3)</f>
        <v>17079.111159336699</v>
      </c>
      <c r="F168" s="28">
        <f ca="1"/>
        <v>17154.283171632531</v>
      </c>
      <c r="G168" s="28">
        <f ca="1"/>
        <v>17220.870393934238</v>
      </c>
      <c r="H168" s="28">
        <f ca="1"/>
        <v>17293.387384486228</v>
      </c>
      <c r="I168" s="28">
        <f ca="1"/>
        <v>17357.148067260656</v>
      </c>
      <c r="J168" s="28">
        <f ca="1"/>
        <v>17426.690391423112</v>
      </c>
      <c r="K168" s="28">
        <f ca="1"/>
        <v>17487.314492033809</v>
      </c>
      <c r="L168" s="28">
        <f ca="1"/>
        <v>17553.509590228663</v>
      </c>
      <c r="M168" s="28">
        <f ca="1"/>
        <v>17625.650311288129</v>
      </c>
      <c r="N168" s="28">
        <f ca="1"/>
        <v>17689.022565565716</v>
      </c>
      <c r="O168" s="28">
        <f ca="1"/>
        <v>17758.178054768759</v>
      </c>
      <c r="P168" s="28">
        <f ca="1"/>
        <v>17833.586991901193</v>
      </c>
      <c r="Q168" s="28">
        <f ca="1"/>
        <v>17900.437780193257</v>
      </c>
      <c r="R168" s="28">
        <f ca="1"/>
        <v>17973.335409950552</v>
      </c>
      <c r="S168" s="28">
        <f ca="1"/>
        <v>18037.54249309142</v>
      </c>
      <c r="T168" s="28">
        <f ca="1"/>
        <v>18107.63514130914</v>
      </c>
      <c r="U168" s="28">
        <f ca="1"/>
        <v>18184.057079907954</v>
      </c>
      <c r="V168" s="28">
        <f ca="1"/>
        <v>18252.043608780183</v>
      </c>
      <c r="W168" s="28">
        <f ca="1"/>
        <v>18326.195785436503</v>
      </c>
      <c r="X168" s="28">
        <f ca="1"/>
        <v>18391.751371873437</v>
      </c>
      <c r="Y168" s="28">
        <f ca="1"/>
        <v>18463.341493365257</v>
      </c>
      <c r="Z168" s="28">
        <f ca="1"/>
        <v>18541.367647218442</v>
      </c>
      <c r="AA168" s="28">
        <f ca="1"/>
        <v>18611.108816816119</v>
      </c>
      <c r="AB168" s="28">
        <f ca="1"/>
        <v>18687.183883459984</v>
      </c>
      <c r="AC168" s="28">
        <f ca="1"/>
        <v>18754.843142059141</v>
      </c>
      <c r="AD168" s="28">
        <f ca="1"/>
        <v>18828.663759549891</v>
      </c>
      <c r="AE168" s="28">
        <f ca="1"/>
        <v>18909.078642731645</v>
      </c>
      <c r="AF168" s="28">
        <f ca="1"/>
        <v>18981.427996867398</v>
      </c>
      <c r="AG168" s="28">
        <f ca="1"/>
        <v>19060.311896851163</v>
      </c>
      <c r="AH168" s="28">
        <f ca="1"/>
        <v>19131.013286857815</v>
      </c>
      <c r="AI168" s="28">
        <f ca="1"/>
        <v>19208.174305292334</v>
      </c>
      <c r="AJ168" s="28">
        <f ca="1"/>
        <v>19277.024138107248</v>
      </c>
      <c r="AK168" s="29">
        <f ca="1"/>
        <v>19352.179206823312</v>
      </c>
      <c r="AL168" s="3"/>
    </row>
    <row r="169" spans="2:38">
      <c r="B169" s="3"/>
      <c r="C169" s="27" t="str">
        <f>INDEX(_fuel,1)</f>
        <v>Electricity</v>
      </c>
      <c r="D169" s="16" t="str">
        <f>_yearDol &amp; "$"</f>
        <v>2013$</v>
      </c>
      <c r="E169" s="141">
        <f ca="1">SUMPRODUCT(dFactor,tpSurvAxU,INDEX(tEIdxElec,1)*INDEX(elecAxU,stdCSL+1,4)*allOnes,OFFSET(tPrcElec,0,0,1,_maxLT))</f>
        <v>17079.111159336699</v>
      </c>
      <c r="F169" s="28">
        <f ca="1">SUMPRODUCT(dFactor,tpSurvAxU,INDEX(tEIdxElec,2)*INDEX(elecAxU,stdCSL+1,4)*allOnes,OFFSET(tPrcElec,0,1,1,_maxLT))</f>
        <v>17154.283171632531</v>
      </c>
      <c r="G169" s="28">
        <f ca="1">SUMPRODUCT(dFactor,tpSurvAxU,INDEX(tEIdxElec,3)*INDEX(elecAxU,stdCSL+1,4)*allOnes,OFFSET(tPrcElec,0,2,1,_maxLT))</f>
        <v>17220.870393934238</v>
      </c>
      <c r="H169" s="28">
        <f ca="1">SUMPRODUCT(dFactor,tpSurvAxU,INDEX(tEIdxElec,4)*INDEX(elecAxU,stdCSL+1,4)*allOnes,OFFSET(tPrcElec,0,3,1,_maxLT))</f>
        <v>17293.387384486228</v>
      </c>
      <c r="I169" s="28">
        <f ca="1">SUMPRODUCT(dFactor,tpSurvAxU,INDEX(tEIdxElec,5)*INDEX(elecAxU,stdCSL+1,4)*allOnes,OFFSET(tPrcElec,0,4,1,_maxLT))</f>
        <v>17357.148067260656</v>
      </c>
      <c r="J169" s="28">
        <f ca="1">SUMPRODUCT(dFactor,tpSurvAxU,INDEX(tEIdxElec,6)*INDEX(elecAxU,stdCSL+1,4)*allOnes,OFFSET(tPrcElec,0,5,1,_maxLT))</f>
        <v>17426.690391423112</v>
      </c>
      <c r="K169" s="28">
        <f ca="1">SUMPRODUCT(dFactor,tpSurvAxU,INDEX(tEIdxElec,7)*INDEX(elecAxU,stdCSL+1,4)*allOnes,OFFSET(tPrcElec,0,6,1,_maxLT))</f>
        <v>17487.314492033809</v>
      </c>
      <c r="L169" s="28">
        <f ca="1">SUMPRODUCT(dFactor,tpSurvAxU,INDEX(tEIdxElec,8)*INDEX(elecAxU,stdCSL+1,4)*allOnes,OFFSET(tPrcElec,0,7,1,_maxLT))</f>
        <v>17553.509590228663</v>
      </c>
      <c r="M169" s="28">
        <f ca="1">SUMPRODUCT(dFactor,tpSurvAxU,INDEX(tEIdxElec,9)*INDEX(elecAxU,stdCSL+1,4)*allOnes,OFFSET(tPrcElec,0,8,1,_maxLT))</f>
        <v>17625.650311288129</v>
      </c>
      <c r="N169" s="28">
        <f ca="1">SUMPRODUCT(dFactor,tpSurvAxU,INDEX(tEIdxElec,10)*INDEX(elecAxU,stdCSL+1,4)*allOnes,OFFSET(tPrcElec,0,9,1,_maxLT))</f>
        <v>17689.022565565716</v>
      </c>
      <c r="O169" s="28">
        <f ca="1">SUMPRODUCT(dFactor,tpSurvAxU,INDEX(tEIdxElec,11)*INDEX(elecAxU,stdCSL+1,4)*allOnes,OFFSET(tPrcElec,0,10,1,_maxLT))</f>
        <v>17758.178054768759</v>
      </c>
      <c r="P169" s="28">
        <f ca="1">SUMPRODUCT(dFactor,tpSurvAxU,INDEX(tEIdxElec,12)*INDEX(elecAxU,stdCSL+1,4)*allOnes,OFFSET(tPrcElec,0,11,1,_maxLT))</f>
        <v>17833.586991901193</v>
      </c>
      <c r="Q169" s="28">
        <f ca="1">SUMPRODUCT(dFactor,tpSurvAxU,INDEX(tEIdxElec,13)*INDEX(elecAxU,stdCSL+1,4)*allOnes,OFFSET(tPrcElec,0,12,1,_maxLT))</f>
        <v>17900.437780193257</v>
      </c>
      <c r="R169" s="28">
        <f ca="1">SUMPRODUCT(dFactor,tpSurvAxU,INDEX(tEIdxElec,14)*INDEX(elecAxU,stdCSL+1,4)*allOnes,OFFSET(tPrcElec,0,13,1,_maxLT))</f>
        <v>17973.335409950552</v>
      </c>
      <c r="S169" s="28">
        <f ca="1">SUMPRODUCT(dFactor,tpSurvAxU,INDEX(tEIdxElec,15)*INDEX(elecAxU,stdCSL+1,4)*allOnes,OFFSET(tPrcElec,0,14,1,_maxLT))</f>
        <v>18037.54249309142</v>
      </c>
      <c r="T169" s="28">
        <f ca="1">SUMPRODUCT(dFactor,tpSurvAxU,INDEX(tEIdxElec,16)*INDEX(elecAxU,stdCSL+1,4)*allOnes,OFFSET(tPrcElec,0,15,1,_maxLT))</f>
        <v>18107.63514130914</v>
      </c>
      <c r="U169" s="28">
        <f ca="1">SUMPRODUCT(dFactor,tpSurvAxU,INDEX(tEIdxElec,17)*INDEX(elecAxU,stdCSL+1,4)*allOnes,OFFSET(tPrcElec,0,16,1,_maxLT))</f>
        <v>18184.057079907954</v>
      </c>
      <c r="V169" s="28">
        <f ca="1">SUMPRODUCT(dFactor,tpSurvAxU,INDEX(tEIdxElec,18)*INDEX(elecAxU,stdCSL+1,4)*allOnes,OFFSET(tPrcElec,0,17,1,_maxLT))</f>
        <v>18252.043608780183</v>
      </c>
      <c r="W169" s="28">
        <f ca="1">SUMPRODUCT(dFactor,tpSurvAxU,INDEX(tEIdxElec,19)*INDEX(elecAxU,stdCSL+1,4)*allOnes,OFFSET(tPrcElec,0,18,1,_maxLT))</f>
        <v>18326.195785436503</v>
      </c>
      <c r="X169" s="28">
        <f ca="1">SUMPRODUCT(dFactor,tpSurvAxU,INDEX(tEIdxElec,20)*INDEX(elecAxU,stdCSL+1,4)*allOnes,OFFSET(tPrcElec,0,19,1,_maxLT))</f>
        <v>18391.751371873437</v>
      </c>
      <c r="Y169" s="28">
        <f ca="1">SUMPRODUCT(dFactor,tpSurvAxU,INDEX(tEIdxElec,21)*INDEX(elecAxU,stdCSL+1,4)*allOnes,OFFSET(tPrcElec,0,20,1,_maxLT))</f>
        <v>18463.341493365257</v>
      </c>
      <c r="Z169" s="28">
        <f ca="1">SUMPRODUCT(dFactor,tpSurvAxU,INDEX(tEIdxElec,22)*INDEX(elecAxU,stdCSL+1,4)*allOnes,OFFSET(tPrcElec,0,21,1,_maxLT))</f>
        <v>18541.367647218442</v>
      </c>
      <c r="AA169" s="28">
        <f ca="1">SUMPRODUCT(dFactor,tpSurvAxU,INDEX(tEIdxElec,23)*INDEX(elecAxU,stdCSL+1,4)*allOnes,OFFSET(tPrcElec,0,22,1,_maxLT))</f>
        <v>18611.108816816119</v>
      </c>
      <c r="AB169" s="28">
        <f ca="1">SUMPRODUCT(dFactor,tpSurvAxU,INDEX(tEIdxElec,24)*INDEX(elecAxU,stdCSL+1,4)*allOnes,OFFSET(tPrcElec,0,23,1,_maxLT))</f>
        <v>18687.183883459984</v>
      </c>
      <c r="AC169" s="28">
        <f ca="1">SUMPRODUCT(dFactor,tpSurvAxU,INDEX(tEIdxElec,25)*INDEX(elecAxU,stdCSL+1,4)*allOnes,OFFSET(tPrcElec,0,24,1,_maxLT))</f>
        <v>18754.843142059141</v>
      </c>
      <c r="AD169" s="28">
        <f ca="1">SUMPRODUCT(dFactor,tpSurvAxU,INDEX(tEIdxElec,26)*INDEX(elecAxU,stdCSL+1,4)*allOnes,OFFSET(tPrcElec,0,25,1,_maxLT))</f>
        <v>18828.663759549891</v>
      </c>
      <c r="AE169" s="28">
        <f ca="1">SUMPRODUCT(dFactor,tpSurvAxU,INDEX(tEIdxElec,27)*INDEX(elecAxU,stdCSL+1,4)*allOnes,OFFSET(tPrcElec,0,26,1,_maxLT))</f>
        <v>18909.078642731645</v>
      </c>
      <c r="AF169" s="28">
        <f ca="1">SUMPRODUCT(dFactor,tpSurvAxU,INDEX(tEIdxElec,28)*INDEX(elecAxU,stdCSL+1,4)*allOnes,OFFSET(tPrcElec,0,27,1,_maxLT))</f>
        <v>18981.427996867398</v>
      </c>
      <c r="AG169" s="28">
        <f ca="1">SUMPRODUCT(dFactor,tpSurvAxU,INDEX(tEIdxElec,29)*INDEX(elecAxU,stdCSL+1,4)*allOnes,OFFSET(tPrcElec,0,28,1,_maxLT))</f>
        <v>19060.311896851163</v>
      </c>
      <c r="AH169" s="28">
        <f ca="1">SUMPRODUCT(dFactor,tpSurvAxU,INDEX(tEIdxElec,30)*INDEX(elecAxU,stdCSL+1,4)*allOnes,OFFSET(tPrcElec,0,29,1,_maxLT))</f>
        <v>19131.013286857815</v>
      </c>
      <c r="AI169" s="28">
        <f ca="1">SUMPRODUCT(dFactor,tpSurvAxU,INDEX(tEIdxElec,31)*INDEX(elecAxU,stdCSL+1,4)*allOnes,OFFSET(tPrcElec,0,30,1,_maxLT))</f>
        <v>19208.174305292334</v>
      </c>
      <c r="AJ169" s="28">
        <f ca="1">SUMPRODUCT(dFactor,tpSurvAxU,INDEX(tEIdxElec,32)*INDEX(elecAxU,stdCSL+1,4)*allOnes,OFFSET(tPrcElec,0,31,1,_maxLT))</f>
        <v>19277.024138107248</v>
      </c>
      <c r="AK169" s="29">
        <f ca="1">SUMPRODUCT(dFactor,tpSurvAxU,INDEX(tEIdxElec,33)*INDEX(elecAxU,stdCSL+1,4)*allOnes,OFFSET(tPrcElec,0,32,1,_maxLT))</f>
        <v>19352.179206823312</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ts2bElec*SUMPRODUCT(tpSurvAxU,INDEX(tEIdxElec,1)*INDEX(elecAxU,stdCSL+1,4)*convFactor)</f>
        <v>3727.3108878021944</v>
      </c>
      <c r="F171" s="22">
        <f ca="1">ts2bElec*SUMPRODUCT(tpSurvAxU,INDEX(tEIdxElec,2)*INDEX(elecAxU,stdCSL+1,4)*convFactor)</f>
        <v>3700.3910363949622</v>
      </c>
      <c r="G171" s="22">
        <f ca="1">ts2bElec*SUMPRODUCT(tpSurvAxU,INDEX(tEIdxElec,3)*INDEX(elecAxU,stdCSL+1,4)*convFactor)</f>
        <v>3673.2657645055374</v>
      </c>
      <c r="H171" s="22">
        <f ca="1">ts2bElec*SUMPRODUCT(tpSurvAxU,INDEX(tEIdxElec,4)*INDEX(elecAxU,stdCSL+1,4)*convFactor)</f>
        <v>3649.4479514258169</v>
      </c>
      <c r="I171" s="22">
        <f ca="1">ts2bElec*SUMPRODUCT(tpSurvAxU,INDEX(tEIdxElec,5)*INDEX(elecAxU,stdCSL+1,4)*convFactor)</f>
        <v>3626.8683436024926</v>
      </c>
      <c r="J171" s="22">
        <f ca="1">ts2bElec*SUMPRODUCT(tpSurvAxU,INDEX(tEIdxElec,6)*INDEX(elecAxU,stdCSL+1,4)*convFactor)</f>
        <v>3607.2139164406703</v>
      </c>
      <c r="K171" s="22">
        <f ca="1">ts2bElec*SUMPRODUCT(tpSurvAxU,INDEX(tEIdxElec,7)*INDEX(elecAxU,stdCSL+1,4)*convFactor)</f>
        <v>3591.9788563485322</v>
      </c>
      <c r="L171" s="22">
        <f ca="1">ts2bElec*SUMPRODUCT(tpSurvAxU,INDEX(tEIdxElec,8)*INDEX(elecAxU,stdCSL+1,4)*convFactor)</f>
        <v>3579.3506095319476</v>
      </c>
      <c r="M171" s="22">
        <f ca="1">ts2bElec*SUMPRODUCT(tpSurvAxU,INDEX(tEIdxElec,9)*INDEX(elecAxU,stdCSL+1,4)*convFactor)</f>
        <v>3566.6635095220922</v>
      </c>
      <c r="N171" s="22">
        <f ca="1">ts2bElec*SUMPRODUCT(tpSurvAxU,INDEX(tEIdxElec,10)*INDEX(elecAxU,stdCSL+1,4)*convFactor)</f>
        <v>3556.5180165171628</v>
      </c>
      <c r="O171" s="22">
        <f ca="1">ts2bElec*SUMPRODUCT(tpSurvAxU,INDEX(tEIdxElec,11)*INDEX(elecAxU,stdCSL+1,4)*convFactor)</f>
        <v>3549.5314294430568</v>
      </c>
      <c r="P171" s="22">
        <f ca="1">ts2bElec*SUMPRODUCT(tpSurvAxU,INDEX(tEIdxElec,12)*INDEX(elecAxU,stdCSL+1,4)*convFactor)</f>
        <v>3544.4172468648071</v>
      </c>
      <c r="Q171" s="22">
        <f ca="1">ts2bElec*SUMPRODUCT(tpSurvAxU,INDEX(tEIdxElec,13)*INDEX(elecAxU,stdCSL+1,4)*convFactor)</f>
        <v>3540.1137216372022</v>
      </c>
      <c r="R171" s="22">
        <f ca="1">ts2bElec*SUMPRODUCT(tpSurvAxU,INDEX(tEIdxElec,14)*INDEX(elecAxU,stdCSL+1,4)*convFactor)</f>
        <v>3536.9380336941044</v>
      </c>
      <c r="S171" s="22">
        <f ca="1">ts2bElec*SUMPRODUCT(tpSurvAxU,INDEX(tEIdxElec,15)*INDEX(elecAxU,stdCSL+1,4)*convFactor)</f>
        <v>3534.5172305630117</v>
      </c>
      <c r="T171" s="22">
        <f ca="1">ts2bElec*SUMPRODUCT(tpSurvAxU,INDEX(tEIdxElec,16)*INDEX(elecAxU,stdCSL+1,4)*convFactor)</f>
        <v>3534.2140504257891</v>
      </c>
      <c r="U171" s="22">
        <f ca="1">ts2bElec*SUMPRODUCT(tpSurvAxU,INDEX(tEIdxElec,17)*INDEX(elecAxU,stdCSL+1,4)*convFactor)</f>
        <v>3534.8358842939074</v>
      </c>
      <c r="V171" s="22">
        <f ca="1">ts2bElec*SUMPRODUCT(tpSurvAxU,INDEX(tEIdxElec,18)*INDEX(elecAxU,stdCSL+1,4)*convFactor)</f>
        <v>3535.7487274917653</v>
      </c>
      <c r="W171" s="22">
        <f ca="1">ts2bElec*SUMPRODUCT(tpSurvAxU,INDEX(tEIdxElec,19)*INDEX(elecAxU,stdCSL+1,4)*convFactor)</f>
        <v>3537.0542197376103</v>
      </c>
      <c r="X171" s="22">
        <f ca="1">ts2bElec*SUMPRODUCT(tpSurvAxU,INDEX(tEIdxElec,20)*INDEX(elecAxU,stdCSL+1,4)*convFactor)</f>
        <v>3538.2878958863071</v>
      </c>
      <c r="Y171" s="22">
        <f ca="1">ts2bElec*SUMPRODUCT(tpSurvAxU,INDEX(tEIdxElec,21)*INDEX(elecAxU,stdCSL+1,4)*convFactor)</f>
        <v>3539.3100625357488</v>
      </c>
      <c r="Z171" s="22">
        <f ca="1">ts2bElec*SUMPRODUCT(tpSurvAxU,INDEX(tEIdxElec,22)*INDEX(elecAxU,stdCSL+1,4)*convFactor)</f>
        <v>3539.995058712399</v>
      </c>
      <c r="AA171" s="22">
        <f ca="1">ts2bElec*SUMPRODUCT(tpSurvAxU,INDEX(tEIdxElec,23)*INDEX(elecAxU,stdCSL+1,4)*convFactor)</f>
        <v>3540.4465167906833</v>
      </c>
      <c r="AB171" s="22">
        <f ca="1">ts2bElec*SUMPRODUCT(tpSurvAxU,INDEX(tEIdxElec,24)*INDEX(elecAxU,stdCSL+1,4)*convFactor)</f>
        <v>3540.4465167906833</v>
      </c>
      <c r="AC171" s="22">
        <f ca="1">ts2bElec*SUMPRODUCT(tpSurvAxU,INDEX(tEIdxElec,25)*INDEX(elecAxU,stdCSL+1,4)*convFactor)</f>
        <v>3540.4465167906833</v>
      </c>
      <c r="AD171" s="22">
        <f ca="1">ts2bElec*SUMPRODUCT(tpSurvAxU,INDEX(tEIdxElec,26)*INDEX(elecAxU,stdCSL+1,4)*convFactor)</f>
        <v>3540.4465167906833</v>
      </c>
      <c r="AE171" s="22">
        <f ca="1">ts2bElec*SUMPRODUCT(tpSurvAxU,INDEX(tEIdxElec,27)*INDEX(elecAxU,stdCSL+1,4)*convFactor)</f>
        <v>3540.4465167906833</v>
      </c>
      <c r="AF171" s="22">
        <f ca="1">ts2bElec*SUMPRODUCT(tpSurvAxU,INDEX(tEIdxElec,28)*INDEX(elecAxU,stdCSL+1,4)*convFactor)</f>
        <v>3540.4465167906833</v>
      </c>
      <c r="AG171" s="22">
        <f ca="1">ts2bElec*SUMPRODUCT(tpSurvAxU,INDEX(tEIdxElec,29)*INDEX(elecAxU,stdCSL+1,4)*convFactor)</f>
        <v>3540.4465167906833</v>
      </c>
      <c r="AH171" s="22">
        <f ca="1">ts2bElec*SUMPRODUCT(tpSurvAxU,INDEX(tEIdxElec,30)*INDEX(elecAxU,stdCSL+1,4)*convFactor)</f>
        <v>3540.4465167906833</v>
      </c>
      <c r="AI171" s="22">
        <f ca="1">ts2bElec*SUMPRODUCT(tpSurvAxU,INDEX(tEIdxElec,31)*INDEX(elecAxU,stdCSL+1,4)*convFactor)</f>
        <v>3540.4465167906833</v>
      </c>
      <c r="AJ171" s="22">
        <f ca="1">ts2bElec*SUMPRODUCT(tpSurvAxU,INDEX(tEIdxElec,32)*INDEX(elecAxU,stdCSL+1,4)*convFactor)</f>
        <v>3540.4465167906833</v>
      </c>
      <c r="AK171" s="25">
        <f ca="1">ts2bElec*SUMPRODUCT(tpSurvAxU,INDEX(tEIdxElec,33)*INDEX(elecAxU,stdCSL+1,4)*convFactor)</f>
        <v>3540.4465167906833</v>
      </c>
      <c r="AL171" s="3"/>
    </row>
    <row r="172" spans="2:38">
      <c r="B172" s="3"/>
      <c r="C172" s="30" t="str">
        <f>"EL 4: " &amp; INDEX(_doName,2,5)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(1+INDEX(vadAxU,stdCSL+1,5))*INDEX(mspAxU,stdCSL+1,5)*tPIdxAll + INDEX(instAxU,stdCSL+1,5) + SUMPRODUCT(dFactor,tpSurvAxU,INDEX(mrAxU,stdCSL+1,5)*allOnes)</f>
        <v>1383.336994</v>
      </c>
      <c r="F173" s="28">
        <f ca="1"/>
        <v>1383.336994</v>
      </c>
      <c r="G173" s="28">
        <f ca="1"/>
        <v>1383.336994</v>
      </c>
      <c r="H173" s="28">
        <f ca="1"/>
        <v>1383.336994</v>
      </c>
      <c r="I173" s="28">
        <f ca="1"/>
        <v>1383.336994</v>
      </c>
      <c r="J173" s="28">
        <f ca="1"/>
        <v>1383.336994</v>
      </c>
      <c r="K173" s="28">
        <f ca="1"/>
        <v>1383.336994</v>
      </c>
      <c r="L173" s="28">
        <f ca="1"/>
        <v>1383.336994</v>
      </c>
      <c r="M173" s="28">
        <f ca="1"/>
        <v>1383.336994</v>
      </c>
      <c r="N173" s="28">
        <f ca="1"/>
        <v>1383.336994</v>
      </c>
      <c r="O173" s="28">
        <f ca="1"/>
        <v>1383.336994</v>
      </c>
      <c r="P173" s="28">
        <f ca="1"/>
        <v>1383.336994</v>
      </c>
      <c r="Q173" s="28">
        <f ca="1"/>
        <v>1383.336994</v>
      </c>
      <c r="R173" s="28">
        <f ca="1"/>
        <v>1383.336994</v>
      </c>
      <c r="S173" s="28">
        <f ca="1"/>
        <v>1383.336994</v>
      </c>
      <c r="T173" s="28">
        <f ca="1"/>
        <v>1383.336994</v>
      </c>
      <c r="U173" s="28">
        <f ca="1"/>
        <v>1383.336994</v>
      </c>
      <c r="V173" s="28">
        <f ca="1"/>
        <v>1383.336994</v>
      </c>
      <c r="W173" s="28">
        <f ca="1"/>
        <v>1383.336994</v>
      </c>
      <c r="X173" s="28">
        <f ca="1"/>
        <v>1383.336994</v>
      </c>
      <c r="Y173" s="28">
        <f ca="1"/>
        <v>1383.336994</v>
      </c>
      <c r="Z173" s="28">
        <f ca="1"/>
        <v>1383.336994</v>
      </c>
      <c r="AA173" s="28">
        <f ca="1"/>
        <v>1383.336994</v>
      </c>
      <c r="AB173" s="28">
        <f ca="1"/>
        <v>1383.336994</v>
      </c>
      <c r="AC173" s="28">
        <f ca="1"/>
        <v>1383.336994</v>
      </c>
      <c r="AD173" s="28">
        <f ca="1"/>
        <v>1383.336994</v>
      </c>
      <c r="AE173" s="28">
        <f ca="1"/>
        <v>1383.336994</v>
      </c>
      <c r="AF173" s="28">
        <f ca="1"/>
        <v>1383.336994</v>
      </c>
      <c r="AG173" s="28">
        <f ca="1"/>
        <v>1383.336994</v>
      </c>
      <c r="AH173" s="28">
        <f ca="1"/>
        <v>1383.336994</v>
      </c>
      <c r="AI173" s="28">
        <f ca="1"/>
        <v>1383.336994</v>
      </c>
      <c r="AJ173" s="28">
        <f ca="1"/>
        <v>1383.336994</v>
      </c>
      <c r="AK173" s="29">
        <f ca="1"/>
        <v>1383.336994</v>
      </c>
      <c r="AL173" s="3"/>
    </row>
    <row r="174" spans="2:38">
      <c r="B174" s="3"/>
      <c r="C174" s="23" t="s">
        <v>47</v>
      </c>
      <c r="D174" s="16" t="str">
        <f>_yearDol &amp; "$"</f>
        <v>2013$</v>
      </c>
      <c r="E174" s="141">
        <f t="array" aca="1" ref="E174:AK174" ca="1">(tlccEFupolElec4)</f>
        <v>19707.579712956962</v>
      </c>
      <c r="F174" s="28">
        <f ca="1"/>
        <v>19794.320668659064</v>
      </c>
      <c r="G174" s="28">
        <f ca="1"/>
        <v>19871.155638531483</v>
      </c>
      <c r="H174" s="28">
        <f ca="1"/>
        <v>19954.83296567772</v>
      </c>
      <c r="I174" s="28">
        <f ca="1"/>
        <v>20028.406392690798</v>
      </c>
      <c r="J174" s="28">
        <f ca="1"/>
        <v>20108.651253449068</v>
      </c>
      <c r="K174" s="28">
        <f ca="1"/>
        <v>20178.605379525376</v>
      </c>
      <c r="L174" s="28">
        <f ca="1"/>
        <v>20254.987877543659</v>
      </c>
      <c r="M174" s="28">
        <f ca="1"/>
        <v>20338.231027469104</v>
      </c>
      <c r="N174" s="28">
        <f ca="1"/>
        <v>20411.356246991018</v>
      </c>
      <c r="O174" s="28">
        <f ca="1"/>
        <v>20491.154739040292</v>
      </c>
      <c r="P174" s="28">
        <f ca="1"/>
        <v>20578.169082219043</v>
      </c>
      <c r="Q174" s="28">
        <f ca="1"/>
        <v>20655.308180785065</v>
      </c>
      <c r="R174" s="28">
        <f ca="1"/>
        <v>20739.424727362039</v>
      </c>
      <c r="S174" s="28">
        <f ca="1"/>
        <v>20813.513255584032</v>
      </c>
      <c r="T174" s="28">
        <f ca="1"/>
        <v>20894.393135055256</v>
      </c>
      <c r="U174" s="28">
        <f ca="1"/>
        <v>20982.576380231429</v>
      </c>
      <c r="V174" s="28">
        <f ca="1"/>
        <v>21061.02600941042</v>
      </c>
      <c r="W174" s="28">
        <f ca="1"/>
        <v>21146.590177165417</v>
      </c>
      <c r="X174" s="28">
        <f ca="1"/>
        <v>21222.234742815373</v>
      </c>
      <c r="Y174" s="28">
        <f ca="1"/>
        <v>21304.842556114188</v>
      </c>
      <c r="Z174" s="28">
        <f ca="1"/>
        <v>21394.876904647408</v>
      </c>
      <c r="AA174" s="28">
        <f ca="1"/>
        <v>21475.351213075901</v>
      </c>
      <c r="AB174" s="28">
        <f ca="1"/>
        <v>21563.134202838381</v>
      </c>
      <c r="AC174" s="28">
        <f ca="1"/>
        <v>21641.206194976763</v>
      </c>
      <c r="AD174" s="28">
        <f ca="1"/>
        <v>21726.387776739779</v>
      </c>
      <c r="AE174" s="28">
        <f ca="1"/>
        <v>21819.178479114616</v>
      </c>
      <c r="AF174" s="28">
        <f ca="1"/>
        <v>21902.662370665505</v>
      </c>
      <c r="AG174" s="28">
        <f ca="1"/>
        <v>21993.686472124631</v>
      </c>
      <c r="AH174" s="28">
        <f ca="1"/>
        <v>22075.268778508951</v>
      </c>
      <c r="AI174" s="28">
        <f ca="1"/>
        <v>22164.304847619576</v>
      </c>
      <c r="AJ174" s="28">
        <f ca="1"/>
        <v>22243.7506428817</v>
      </c>
      <c r="AK174" s="29">
        <f ca="1"/>
        <v>22330.472047393709</v>
      </c>
      <c r="AL174" s="3"/>
    </row>
    <row r="175" spans="2:38">
      <c r="B175" s="3"/>
      <c r="C175" s="27" t="str">
        <f>INDEX(_fuel,1)</f>
        <v>Electricity</v>
      </c>
      <c r="D175" s="16" t="str">
        <f>_yearDol &amp; "$"</f>
        <v>2013$</v>
      </c>
      <c r="E175" s="141">
        <f ca="1">SUMPRODUCT(dFactor,tpSurvAxU,INDEX(tEIdxElec,1)*INDEX(elecAxU,stdCSL+1,5)*allOnes,OFFSET(tPrcElec,0,0,1,_maxLT))</f>
        <v>19707.579712956962</v>
      </c>
      <c r="F175" s="28">
        <f ca="1">SUMPRODUCT(dFactor,tpSurvAxU,INDEX(tEIdxElec,2)*INDEX(elecAxU,stdCSL+1,5)*allOnes,OFFSET(tPrcElec,0,1,1,_maxLT))</f>
        <v>19794.320668659064</v>
      </c>
      <c r="G175" s="28">
        <f ca="1">SUMPRODUCT(dFactor,tpSurvAxU,INDEX(tEIdxElec,3)*INDEX(elecAxU,stdCSL+1,5)*allOnes,OFFSET(tPrcElec,0,2,1,_maxLT))</f>
        <v>19871.155638531483</v>
      </c>
      <c r="H175" s="28">
        <f ca="1">SUMPRODUCT(dFactor,tpSurvAxU,INDEX(tEIdxElec,4)*INDEX(elecAxU,stdCSL+1,5)*allOnes,OFFSET(tPrcElec,0,3,1,_maxLT))</f>
        <v>19954.83296567772</v>
      </c>
      <c r="I175" s="28">
        <f ca="1">SUMPRODUCT(dFactor,tpSurvAxU,INDEX(tEIdxElec,5)*INDEX(elecAxU,stdCSL+1,5)*allOnes,OFFSET(tPrcElec,0,4,1,_maxLT))</f>
        <v>20028.406392690798</v>
      </c>
      <c r="J175" s="28">
        <f ca="1">SUMPRODUCT(dFactor,tpSurvAxU,INDEX(tEIdxElec,6)*INDEX(elecAxU,stdCSL+1,5)*allOnes,OFFSET(tPrcElec,0,5,1,_maxLT))</f>
        <v>20108.651253449068</v>
      </c>
      <c r="K175" s="28">
        <f ca="1">SUMPRODUCT(dFactor,tpSurvAxU,INDEX(tEIdxElec,7)*INDEX(elecAxU,stdCSL+1,5)*allOnes,OFFSET(tPrcElec,0,6,1,_maxLT))</f>
        <v>20178.605379525376</v>
      </c>
      <c r="L175" s="28">
        <f ca="1">SUMPRODUCT(dFactor,tpSurvAxU,INDEX(tEIdxElec,8)*INDEX(elecAxU,stdCSL+1,5)*allOnes,OFFSET(tPrcElec,0,7,1,_maxLT))</f>
        <v>20254.987877543659</v>
      </c>
      <c r="M175" s="28">
        <f ca="1">SUMPRODUCT(dFactor,tpSurvAxU,INDEX(tEIdxElec,9)*INDEX(elecAxU,stdCSL+1,5)*allOnes,OFFSET(tPrcElec,0,8,1,_maxLT))</f>
        <v>20338.231027469104</v>
      </c>
      <c r="N175" s="28">
        <f ca="1">SUMPRODUCT(dFactor,tpSurvAxU,INDEX(tEIdxElec,10)*INDEX(elecAxU,stdCSL+1,5)*allOnes,OFFSET(tPrcElec,0,9,1,_maxLT))</f>
        <v>20411.356246991018</v>
      </c>
      <c r="O175" s="28">
        <f ca="1">SUMPRODUCT(dFactor,tpSurvAxU,INDEX(tEIdxElec,11)*INDEX(elecAxU,stdCSL+1,5)*allOnes,OFFSET(tPrcElec,0,10,1,_maxLT))</f>
        <v>20491.154739040292</v>
      </c>
      <c r="P175" s="28">
        <f ca="1">SUMPRODUCT(dFactor,tpSurvAxU,INDEX(tEIdxElec,12)*INDEX(elecAxU,stdCSL+1,5)*allOnes,OFFSET(tPrcElec,0,11,1,_maxLT))</f>
        <v>20578.169082219043</v>
      </c>
      <c r="Q175" s="28">
        <f ca="1">SUMPRODUCT(dFactor,tpSurvAxU,INDEX(tEIdxElec,13)*INDEX(elecAxU,stdCSL+1,5)*allOnes,OFFSET(tPrcElec,0,12,1,_maxLT))</f>
        <v>20655.308180785065</v>
      </c>
      <c r="R175" s="28">
        <f ca="1">SUMPRODUCT(dFactor,tpSurvAxU,INDEX(tEIdxElec,14)*INDEX(elecAxU,stdCSL+1,5)*allOnes,OFFSET(tPrcElec,0,13,1,_maxLT))</f>
        <v>20739.424727362039</v>
      </c>
      <c r="S175" s="28">
        <f ca="1">SUMPRODUCT(dFactor,tpSurvAxU,INDEX(tEIdxElec,15)*INDEX(elecAxU,stdCSL+1,5)*allOnes,OFFSET(tPrcElec,0,14,1,_maxLT))</f>
        <v>20813.513255584032</v>
      </c>
      <c r="T175" s="28">
        <f ca="1">SUMPRODUCT(dFactor,tpSurvAxU,INDEX(tEIdxElec,16)*INDEX(elecAxU,stdCSL+1,5)*allOnes,OFFSET(tPrcElec,0,15,1,_maxLT))</f>
        <v>20894.393135055256</v>
      </c>
      <c r="U175" s="28">
        <f ca="1">SUMPRODUCT(dFactor,tpSurvAxU,INDEX(tEIdxElec,17)*INDEX(elecAxU,stdCSL+1,5)*allOnes,OFFSET(tPrcElec,0,16,1,_maxLT))</f>
        <v>20982.576380231429</v>
      </c>
      <c r="V175" s="28">
        <f ca="1">SUMPRODUCT(dFactor,tpSurvAxU,INDEX(tEIdxElec,18)*INDEX(elecAxU,stdCSL+1,5)*allOnes,OFFSET(tPrcElec,0,17,1,_maxLT))</f>
        <v>21061.02600941042</v>
      </c>
      <c r="W175" s="28">
        <f ca="1">SUMPRODUCT(dFactor,tpSurvAxU,INDEX(tEIdxElec,19)*INDEX(elecAxU,stdCSL+1,5)*allOnes,OFFSET(tPrcElec,0,18,1,_maxLT))</f>
        <v>21146.590177165417</v>
      </c>
      <c r="X175" s="28">
        <f ca="1">SUMPRODUCT(dFactor,tpSurvAxU,INDEX(tEIdxElec,20)*INDEX(elecAxU,stdCSL+1,5)*allOnes,OFFSET(tPrcElec,0,19,1,_maxLT))</f>
        <v>21222.234742815373</v>
      </c>
      <c r="Y175" s="28">
        <f ca="1">SUMPRODUCT(dFactor,tpSurvAxU,INDEX(tEIdxElec,21)*INDEX(elecAxU,stdCSL+1,5)*allOnes,OFFSET(tPrcElec,0,20,1,_maxLT))</f>
        <v>21304.842556114188</v>
      </c>
      <c r="Z175" s="28">
        <f ca="1">SUMPRODUCT(dFactor,tpSurvAxU,INDEX(tEIdxElec,22)*INDEX(elecAxU,stdCSL+1,5)*allOnes,OFFSET(tPrcElec,0,21,1,_maxLT))</f>
        <v>21394.876904647408</v>
      </c>
      <c r="AA175" s="28">
        <f ca="1">SUMPRODUCT(dFactor,tpSurvAxU,INDEX(tEIdxElec,23)*INDEX(elecAxU,stdCSL+1,5)*allOnes,OFFSET(tPrcElec,0,22,1,_maxLT))</f>
        <v>21475.351213075901</v>
      </c>
      <c r="AB175" s="28">
        <f ca="1">SUMPRODUCT(dFactor,tpSurvAxU,INDEX(tEIdxElec,24)*INDEX(elecAxU,stdCSL+1,5)*allOnes,OFFSET(tPrcElec,0,23,1,_maxLT))</f>
        <v>21563.134202838381</v>
      </c>
      <c r="AC175" s="28">
        <f ca="1">SUMPRODUCT(dFactor,tpSurvAxU,INDEX(tEIdxElec,25)*INDEX(elecAxU,stdCSL+1,5)*allOnes,OFFSET(tPrcElec,0,24,1,_maxLT))</f>
        <v>21641.206194976763</v>
      </c>
      <c r="AD175" s="28">
        <f ca="1">SUMPRODUCT(dFactor,tpSurvAxU,INDEX(tEIdxElec,26)*INDEX(elecAxU,stdCSL+1,5)*allOnes,OFFSET(tPrcElec,0,25,1,_maxLT))</f>
        <v>21726.387776739779</v>
      </c>
      <c r="AE175" s="28">
        <f ca="1">SUMPRODUCT(dFactor,tpSurvAxU,INDEX(tEIdxElec,27)*INDEX(elecAxU,stdCSL+1,5)*allOnes,OFFSET(tPrcElec,0,26,1,_maxLT))</f>
        <v>21819.178479114616</v>
      </c>
      <c r="AF175" s="28">
        <f ca="1">SUMPRODUCT(dFactor,tpSurvAxU,INDEX(tEIdxElec,28)*INDEX(elecAxU,stdCSL+1,5)*allOnes,OFFSET(tPrcElec,0,27,1,_maxLT))</f>
        <v>21902.662370665505</v>
      </c>
      <c r="AG175" s="28">
        <f ca="1">SUMPRODUCT(dFactor,tpSurvAxU,INDEX(tEIdxElec,29)*INDEX(elecAxU,stdCSL+1,5)*allOnes,OFFSET(tPrcElec,0,28,1,_maxLT))</f>
        <v>21993.686472124631</v>
      </c>
      <c r="AH175" s="28">
        <f ca="1">SUMPRODUCT(dFactor,tpSurvAxU,INDEX(tEIdxElec,30)*INDEX(elecAxU,stdCSL+1,5)*allOnes,OFFSET(tPrcElec,0,29,1,_maxLT))</f>
        <v>22075.268778508951</v>
      </c>
      <c r="AI175" s="28">
        <f ca="1">SUMPRODUCT(dFactor,tpSurvAxU,INDEX(tEIdxElec,31)*INDEX(elecAxU,stdCSL+1,5)*allOnes,OFFSET(tPrcElec,0,30,1,_maxLT))</f>
        <v>22164.304847619576</v>
      </c>
      <c r="AJ175" s="28">
        <f ca="1">SUMPRODUCT(dFactor,tpSurvAxU,INDEX(tEIdxElec,32)*INDEX(elecAxU,stdCSL+1,5)*allOnes,OFFSET(tPrcElec,0,31,1,_maxLT))</f>
        <v>22243.7506428817</v>
      </c>
      <c r="AK175" s="29">
        <f ca="1">SUMPRODUCT(dFactor,tpSurvAxU,INDEX(tEIdxElec,33)*INDEX(elecAxU,stdCSL+1,5)*allOnes,OFFSET(tPrcElec,0,32,1,_maxLT))</f>
        <v>22330.472047393709</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ts2bElec*SUMPRODUCT(tpSurvAxU,INDEX(tEIdxElec,1)*INDEX(elecAxU,stdCSL+1,5)*convFactor)</f>
        <v>4300.9425813226517</v>
      </c>
      <c r="F177" s="22">
        <f ca="1">ts2bElec*SUMPRODUCT(tpSurvAxU,INDEX(tEIdxElec,2)*INDEX(elecAxU,stdCSL+1,5)*convFactor)</f>
        <v>4269.8797752714736</v>
      </c>
      <c r="G177" s="22">
        <f ca="1">ts2bElec*SUMPRODUCT(tpSurvAxU,INDEX(tEIdxElec,3)*INDEX(elecAxU,stdCSL+1,5)*convFactor)</f>
        <v>4238.5799346059221</v>
      </c>
      <c r="H177" s="22">
        <f ca="1">ts2bElec*SUMPRODUCT(tpSurvAxU,INDEX(tEIdxElec,4)*INDEX(elecAxU,stdCSL+1,5)*convFactor)</f>
        <v>4211.0965693723465</v>
      </c>
      <c r="I177" s="22">
        <f ca="1">ts2bElec*SUMPRODUCT(tpSurvAxU,INDEX(tEIdxElec,5)*INDEX(elecAxU,stdCSL+1,5)*convFactor)</f>
        <v>4185.0419687017366</v>
      </c>
      <c r="J177" s="22">
        <f ca="1">ts2bElec*SUMPRODUCT(tpSurvAxU,INDEX(tEIdxElec,6)*INDEX(elecAxU,stdCSL+1,5)*convFactor)</f>
        <v>4162.3627328568218</v>
      </c>
      <c r="K177" s="22">
        <f ca="1">ts2bElec*SUMPRODUCT(tpSurvAxU,INDEX(tEIdxElec,7)*INDEX(elecAxU,stdCSL+1,5)*convFactor)</f>
        <v>4144.7830029518855</v>
      </c>
      <c r="L177" s="22">
        <f ca="1">ts2bElec*SUMPRODUCT(tpSurvAxU,INDEX(tEIdxElec,8)*INDEX(elecAxU,stdCSL+1,5)*convFactor)</f>
        <v>4130.2112738700307</v>
      </c>
      <c r="M177" s="22">
        <f ca="1">ts2bElec*SUMPRODUCT(tpSurvAxU,INDEX(tEIdxElec,9)*INDEX(elecAxU,stdCSL+1,5)*convFactor)</f>
        <v>4115.5716341113894</v>
      </c>
      <c r="N177" s="22">
        <f ca="1">ts2bElec*SUMPRODUCT(tpSurvAxU,INDEX(tEIdxElec,10)*INDEX(elecAxU,stdCSL+1,5)*convFactor)</f>
        <v>4103.8647536855551</v>
      </c>
      <c r="O177" s="22">
        <f ca="1">ts2bElec*SUMPRODUCT(tpSurvAxU,INDEX(tEIdxElec,11)*INDEX(elecAxU,stdCSL+1,5)*convFactor)</f>
        <v>4095.8029335826282</v>
      </c>
      <c r="P177" s="22">
        <f ca="1">ts2bElec*SUMPRODUCT(tpSurvAxU,INDEX(tEIdxElec,12)*INDEX(elecAxU,stdCSL+1,5)*convFactor)</f>
        <v>4089.901680298005</v>
      </c>
      <c r="Q177" s="22">
        <f ca="1">ts2bElec*SUMPRODUCT(tpSurvAxU,INDEX(tEIdxElec,13)*INDEX(elecAxU,stdCSL+1,5)*convFactor)</f>
        <v>4084.9358442144699</v>
      </c>
      <c r="R177" s="22">
        <f ca="1">ts2bElec*SUMPRODUCT(tpSurvAxU,INDEX(tEIdxElec,14)*INDEX(elecAxU,stdCSL+1,5)*convFactor)</f>
        <v>4081.2714191341365</v>
      </c>
      <c r="S177" s="22">
        <f ca="1">ts2bElec*SUMPRODUCT(tpSurvAxU,INDEX(tEIdxElec,15)*INDEX(elecAxU,stdCSL+1,5)*convFactor)</f>
        <v>4078.478055344282</v>
      </c>
      <c r="T177" s="22">
        <f ca="1">ts2bElec*SUMPRODUCT(tpSurvAxU,INDEX(tEIdxElec,16)*INDEX(elecAxU,stdCSL+1,5)*convFactor)</f>
        <v>4078.1282159020557</v>
      </c>
      <c r="U177" s="22">
        <f ca="1">ts2bElec*SUMPRODUCT(tpSurvAxU,INDEX(tEIdxElec,17)*INDEX(elecAxU,stdCSL+1,5)*convFactor)</f>
        <v>4078.845749760219</v>
      </c>
      <c r="V177" s="22">
        <f ca="1">ts2bElec*SUMPRODUCT(tpSurvAxU,INDEX(tEIdxElec,18)*INDEX(elecAxU,stdCSL+1,5)*convFactor)</f>
        <v>4079.8990791705955</v>
      </c>
      <c r="W177" s="22">
        <f ca="1">ts2bElec*SUMPRODUCT(tpSurvAxU,INDEX(tEIdxElec,19)*INDEX(elecAxU,stdCSL+1,5)*convFactor)</f>
        <v>4081.4054861644736</v>
      </c>
      <c r="X177" s="22">
        <f ca="1">ts2bElec*SUMPRODUCT(tpSurvAxU,INDEX(tEIdxElec,20)*INDEX(elecAxU,stdCSL+1,5)*convFactor)</f>
        <v>4082.8290245918297</v>
      </c>
      <c r="Y177" s="22">
        <f ca="1">ts2bElec*SUMPRODUCT(tpSurvAxU,INDEX(tEIdxElec,21)*INDEX(elecAxU,stdCSL+1,5)*convFactor)</f>
        <v>4084.0085022903977</v>
      </c>
      <c r="Z177" s="22">
        <f ca="1">ts2bElec*SUMPRODUCT(tpSurvAxU,INDEX(tEIdxElec,22)*INDEX(elecAxU,stdCSL+1,5)*convFactor)</f>
        <v>4084.798919111769</v>
      </c>
      <c r="AA177" s="22">
        <f ca="1">ts2bElec*SUMPRODUCT(tpSurvAxU,INDEX(tEIdxElec,23)*INDEX(elecAxU,stdCSL+1,5)*convFactor)</f>
        <v>4085.3198564124186</v>
      </c>
      <c r="AB177" s="22">
        <f ca="1">ts2bElec*SUMPRODUCT(tpSurvAxU,INDEX(tEIdxElec,24)*INDEX(elecAxU,stdCSL+1,5)*convFactor)</f>
        <v>4085.3198564124186</v>
      </c>
      <c r="AC177" s="22">
        <f ca="1">ts2bElec*SUMPRODUCT(tpSurvAxU,INDEX(tEIdxElec,25)*INDEX(elecAxU,stdCSL+1,5)*convFactor)</f>
        <v>4085.3198564124186</v>
      </c>
      <c r="AD177" s="22">
        <f ca="1">ts2bElec*SUMPRODUCT(tpSurvAxU,INDEX(tEIdxElec,26)*INDEX(elecAxU,stdCSL+1,5)*convFactor)</f>
        <v>4085.3198564124186</v>
      </c>
      <c r="AE177" s="22">
        <f ca="1">ts2bElec*SUMPRODUCT(tpSurvAxU,INDEX(tEIdxElec,27)*INDEX(elecAxU,stdCSL+1,5)*convFactor)</f>
        <v>4085.3198564124186</v>
      </c>
      <c r="AF177" s="22">
        <f ca="1">ts2bElec*SUMPRODUCT(tpSurvAxU,INDEX(tEIdxElec,28)*INDEX(elecAxU,stdCSL+1,5)*convFactor)</f>
        <v>4085.3198564124186</v>
      </c>
      <c r="AG177" s="22">
        <f ca="1">ts2bElec*SUMPRODUCT(tpSurvAxU,INDEX(tEIdxElec,29)*INDEX(elecAxU,stdCSL+1,5)*convFactor)</f>
        <v>4085.3198564124186</v>
      </c>
      <c r="AH177" s="22">
        <f ca="1">ts2bElec*SUMPRODUCT(tpSurvAxU,INDEX(tEIdxElec,30)*INDEX(elecAxU,stdCSL+1,5)*convFactor)</f>
        <v>4085.3198564124186</v>
      </c>
      <c r="AI177" s="22">
        <f ca="1">ts2bElec*SUMPRODUCT(tpSurvAxU,INDEX(tEIdxElec,31)*INDEX(elecAxU,stdCSL+1,5)*convFactor)</f>
        <v>4085.3198564124186</v>
      </c>
      <c r="AJ177" s="22">
        <f ca="1">ts2bElec*SUMPRODUCT(tpSurvAxU,INDEX(tEIdxElec,32)*INDEX(elecAxU,stdCSL+1,5)*convFactor)</f>
        <v>4085.3198564124186</v>
      </c>
      <c r="AK177" s="25">
        <f ca="1">ts2bElec*SUMPRODUCT(tpSurvAxU,INDEX(tEIdxElec,33)*INDEX(elecAxU,stdCSL+1,5)*convFactor)</f>
        <v>4085.3198564124186</v>
      </c>
      <c r="AL177" s="3"/>
    </row>
    <row r="178" spans="2:38">
      <c r="B178" s="3"/>
      <c r="C178" s="30" t="str">
        <f>"EL 5: " &amp; INDEX(_doName,2,6)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(1+INDEX(vadAxU,stdCSL+1,6))*INDEX(mspAxU,stdCSL+1,6)*tPIdxAll + INDEX(instAxU,stdCSL+1,6) + SUMPRODUCT(dFactor,tpSurvAxU,INDEX(mrAxU,stdCSL+1,6)*allOnes)</f>
        <v>1264.3701199999998</v>
      </c>
      <c r="F179" s="28">
        <f ca="1"/>
        <v>1264.3701199999998</v>
      </c>
      <c r="G179" s="28">
        <f ca="1"/>
        <v>1264.3701199999998</v>
      </c>
      <c r="H179" s="28">
        <f ca="1"/>
        <v>1264.3701199999998</v>
      </c>
      <c r="I179" s="28">
        <f ca="1"/>
        <v>1264.3701199999998</v>
      </c>
      <c r="J179" s="28">
        <f ca="1"/>
        <v>1264.3701199999998</v>
      </c>
      <c r="K179" s="28">
        <f ca="1"/>
        <v>1264.3701199999998</v>
      </c>
      <c r="L179" s="28">
        <f ca="1"/>
        <v>1264.3701199999998</v>
      </c>
      <c r="M179" s="28">
        <f ca="1"/>
        <v>1264.3701199999998</v>
      </c>
      <c r="N179" s="28">
        <f ca="1"/>
        <v>1264.3701199999998</v>
      </c>
      <c r="O179" s="28">
        <f ca="1"/>
        <v>1264.3701199999998</v>
      </c>
      <c r="P179" s="28">
        <f ca="1"/>
        <v>1264.3701199999998</v>
      </c>
      <c r="Q179" s="28">
        <f ca="1"/>
        <v>1264.3701199999998</v>
      </c>
      <c r="R179" s="28">
        <f ca="1"/>
        <v>1264.3701199999998</v>
      </c>
      <c r="S179" s="28">
        <f ca="1"/>
        <v>1264.3701199999998</v>
      </c>
      <c r="T179" s="28">
        <f ca="1"/>
        <v>1264.3701199999998</v>
      </c>
      <c r="U179" s="28">
        <f ca="1"/>
        <v>1264.3701199999998</v>
      </c>
      <c r="V179" s="28">
        <f ca="1"/>
        <v>1264.3701199999998</v>
      </c>
      <c r="W179" s="28">
        <f ca="1"/>
        <v>1264.3701199999998</v>
      </c>
      <c r="X179" s="28">
        <f ca="1"/>
        <v>1264.3701199999998</v>
      </c>
      <c r="Y179" s="28">
        <f ca="1"/>
        <v>1264.3701199999998</v>
      </c>
      <c r="Z179" s="28">
        <f ca="1"/>
        <v>1264.3701199999998</v>
      </c>
      <c r="AA179" s="28">
        <f ca="1"/>
        <v>1264.3701199999998</v>
      </c>
      <c r="AB179" s="28">
        <f ca="1"/>
        <v>1264.3701199999998</v>
      </c>
      <c r="AC179" s="28">
        <f ca="1"/>
        <v>1264.3701199999998</v>
      </c>
      <c r="AD179" s="28">
        <f ca="1"/>
        <v>1264.3701199999998</v>
      </c>
      <c r="AE179" s="28">
        <f ca="1"/>
        <v>1264.3701199999998</v>
      </c>
      <c r="AF179" s="28">
        <f ca="1"/>
        <v>1264.3701199999998</v>
      </c>
      <c r="AG179" s="28">
        <f ca="1"/>
        <v>1264.3701199999998</v>
      </c>
      <c r="AH179" s="28">
        <f ca="1"/>
        <v>1264.3701199999998</v>
      </c>
      <c r="AI179" s="28">
        <f ca="1"/>
        <v>1264.3701199999998</v>
      </c>
      <c r="AJ179" s="28">
        <f ca="1"/>
        <v>1264.3701199999998</v>
      </c>
      <c r="AK179" s="29">
        <f ca="1"/>
        <v>1264.3701199999998</v>
      </c>
      <c r="AL179" s="3"/>
    </row>
    <row r="180" spans="2:38">
      <c r="B180" s="3"/>
      <c r="C180" s="23" t="s">
        <v>47</v>
      </c>
      <c r="D180" s="16" t="str">
        <f>_yearDol &amp; "$"</f>
        <v>2013$</v>
      </c>
      <c r="E180" s="141">
        <f t="array" aca="1" ref="E180:AK180" ca="1">(tlccEFupolElec5)</f>
        <v>19496.8197617732</v>
      </c>
      <c r="F180" s="28">
        <f ca="1"/>
        <v>19582.633078472671</v>
      </c>
      <c r="G180" s="28">
        <f ca="1"/>
        <v>19658.646347520556</v>
      </c>
      <c r="H180" s="28">
        <f ca="1"/>
        <v>19741.428799210684</v>
      </c>
      <c r="I180" s="28">
        <f ca="1"/>
        <v>19814.215405512557</v>
      </c>
      <c r="J180" s="28">
        <f ca="1"/>
        <v>19893.602098845786</v>
      </c>
      <c r="K180" s="28">
        <f ca="1"/>
        <v>19962.808110317892</v>
      </c>
      <c r="L180" s="28">
        <f ca="1"/>
        <v>20038.373746408517</v>
      </c>
      <c r="M180" s="28">
        <f ca="1"/>
        <v>20120.726664125323</v>
      </c>
      <c r="N180" s="28">
        <f ca="1"/>
        <v>20193.069856228278</v>
      </c>
      <c r="O180" s="28">
        <f ca="1"/>
        <v>20272.014954480172</v>
      </c>
      <c r="P180" s="28">
        <f ca="1"/>
        <v>20358.0987349522</v>
      </c>
      <c r="Q180" s="28">
        <f ca="1"/>
        <v>20434.41288023195</v>
      </c>
      <c r="R180" s="28">
        <f ca="1"/>
        <v>20517.629854182109</v>
      </c>
      <c r="S180" s="28">
        <f ca="1"/>
        <v>20590.926053015181</v>
      </c>
      <c r="T180" s="28">
        <f ca="1"/>
        <v>20670.940973942674</v>
      </c>
      <c r="U180" s="28">
        <f ca="1"/>
        <v>20758.181155753427</v>
      </c>
      <c r="V180" s="28">
        <f ca="1"/>
        <v>20835.79181636007</v>
      </c>
      <c r="W180" s="28">
        <f ca="1"/>
        <v>20920.440930106317</v>
      </c>
      <c r="X180" s="28">
        <f ca="1"/>
        <v>20995.276525542995</v>
      </c>
      <c r="Y180" s="28">
        <f ca="1"/>
        <v>21077.00090115175</v>
      </c>
      <c r="Z180" s="28">
        <f ca="1"/>
        <v>21166.072389953926</v>
      </c>
      <c r="AA180" s="28">
        <f ca="1"/>
        <v>21245.68607716139</v>
      </c>
      <c r="AB180" s="28">
        <f ca="1"/>
        <v>21332.53028403391</v>
      </c>
      <c r="AC180" s="28">
        <f ca="1"/>
        <v>21409.7673461864</v>
      </c>
      <c r="AD180" s="28">
        <f ca="1"/>
        <v>21494.037965452968</v>
      </c>
      <c r="AE180" s="28">
        <f ca="1"/>
        <v>21585.836330656639</v>
      </c>
      <c r="AF180" s="28">
        <f ca="1"/>
        <v>21668.427415421294</v>
      </c>
      <c r="AG180" s="28">
        <f ca="1"/>
        <v>21758.478072375325</v>
      </c>
      <c r="AH180" s="28">
        <f ca="1"/>
        <v>21839.187908209686</v>
      </c>
      <c r="AI180" s="28">
        <f ca="1"/>
        <v>21927.271793548764</v>
      </c>
      <c r="AJ180" s="28">
        <f ca="1"/>
        <v>22005.867966879858</v>
      </c>
      <c r="AK180" s="29">
        <f ca="1"/>
        <v>22091.661941476708</v>
      </c>
      <c r="AL180" s="3"/>
    </row>
    <row r="181" spans="2:38">
      <c r="B181" s="3"/>
      <c r="C181" s="27" t="str">
        <f>INDEX(_fuel,1)</f>
        <v>Electricity</v>
      </c>
      <c r="D181" s="16" t="str">
        <f>_yearDol &amp; "$"</f>
        <v>2013$</v>
      </c>
      <c r="E181" s="141">
        <f ca="1">SUMPRODUCT(dFactor,tpSurvAxU,INDEX(tEIdxElec,1)*INDEX(elecAxU,stdCSL+1,6)*allOnes,OFFSET(tPrcElec,0,0,1,_maxLT))</f>
        <v>19496.8197617732</v>
      </c>
      <c r="F181" s="28">
        <f ca="1">SUMPRODUCT(dFactor,tpSurvAxU,INDEX(tEIdxElec,2)*INDEX(elecAxU,stdCSL+1,6)*allOnes,OFFSET(tPrcElec,0,1,1,_maxLT))</f>
        <v>19582.633078472671</v>
      </c>
      <c r="G181" s="28">
        <f ca="1">SUMPRODUCT(dFactor,tpSurvAxU,INDEX(tEIdxElec,3)*INDEX(elecAxU,stdCSL+1,6)*allOnes,OFFSET(tPrcElec,0,2,1,_maxLT))</f>
        <v>19658.646347520556</v>
      </c>
      <c r="H181" s="28">
        <f ca="1">SUMPRODUCT(dFactor,tpSurvAxU,INDEX(tEIdxElec,4)*INDEX(elecAxU,stdCSL+1,6)*allOnes,OFFSET(tPrcElec,0,3,1,_maxLT))</f>
        <v>19741.428799210684</v>
      </c>
      <c r="I181" s="28">
        <f ca="1">SUMPRODUCT(dFactor,tpSurvAxU,INDEX(tEIdxElec,5)*INDEX(elecAxU,stdCSL+1,6)*allOnes,OFFSET(tPrcElec,0,4,1,_maxLT))</f>
        <v>19814.215405512557</v>
      </c>
      <c r="J181" s="28">
        <f ca="1">SUMPRODUCT(dFactor,tpSurvAxU,INDEX(tEIdxElec,6)*INDEX(elecAxU,stdCSL+1,6)*allOnes,OFFSET(tPrcElec,0,5,1,_maxLT))</f>
        <v>19893.602098845786</v>
      </c>
      <c r="K181" s="28">
        <f ca="1">SUMPRODUCT(dFactor,tpSurvAxU,INDEX(tEIdxElec,7)*INDEX(elecAxU,stdCSL+1,6)*allOnes,OFFSET(tPrcElec,0,6,1,_maxLT))</f>
        <v>19962.808110317892</v>
      </c>
      <c r="L181" s="28">
        <f ca="1">SUMPRODUCT(dFactor,tpSurvAxU,INDEX(tEIdxElec,8)*INDEX(elecAxU,stdCSL+1,6)*allOnes,OFFSET(tPrcElec,0,7,1,_maxLT))</f>
        <v>20038.373746408517</v>
      </c>
      <c r="M181" s="28">
        <f ca="1">SUMPRODUCT(dFactor,tpSurvAxU,INDEX(tEIdxElec,9)*INDEX(elecAxU,stdCSL+1,6)*allOnes,OFFSET(tPrcElec,0,8,1,_maxLT))</f>
        <v>20120.726664125323</v>
      </c>
      <c r="N181" s="28">
        <f ca="1">SUMPRODUCT(dFactor,tpSurvAxU,INDEX(tEIdxElec,10)*INDEX(elecAxU,stdCSL+1,6)*allOnes,OFFSET(tPrcElec,0,9,1,_maxLT))</f>
        <v>20193.069856228278</v>
      </c>
      <c r="O181" s="28">
        <f ca="1">SUMPRODUCT(dFactor,tpSurvAxU,INDEX(tEIdxElec,11)*INDEX(elecAxU,stdCSL+1,6)*allOnes,OFFSET(tPrcElec,0,10,1,_maxLT))</f>
        <v>20272.014954480172</v>
      </c>
      <c r="P181" s="28">
        <f ca="1">SUMPRODUCT(dFactor,tpSurvAxU,INDEX(tEIdxElec,12)*INDEX(elecAxU,stdCSL+1,6)*allOnes,OFFSET(tPrcElec,0,11,1,_maxLT))</f>
        <v>20358.0987349522</v>
      </c>
      <c r="Q181" s="28">
        <f ca="1">SUMPRODUCT(dFactor,tpSurvAxU,INDEX(tEIdxElec,13)*INDEX(elecAxU,stdCSL+1,6)*allOnes,OFFSET(tPrcElec,0,12,1,_maxLT))</f>
        <v>20434.41288023195</v>
      </c>
      <c r="R181" s="28">
        <f ca="1">SUMPRODUCT(dFactor,tpSurvAxU,INDEX(tEIdxElec,14)*INDEX(elecAxU,stdCSL+1,6)*allOnes,OFFSET(tPrcElec,0,13,1,_maxLT))</f>
        <v>20517.629854182109</v>
      </c>
      <c r="S181" s="28">
        <f ca="1">SUMPRODUCT(dFactor,tpSurvAxU,INDEX(tEIdxElec,15)*INDEX(elecAxU,stdCSL+1,6)*allOnes,OFFSET(tPrcElec,0,14,1,_maxLT))</f>
        <v>20590.926053015181</v>
      </c>
      <c r="T181" s="28">
        <f ca="1">SUMPRODUCT(dFactor,tpSurvAxU,INDEX(tEIdxElec,16)*INDEX(elecAxU,stdCSL+1,6)*allOnes,OFFSET(tPrcElec,0,15,1,_maxLT))</f>
        <v>20670.940973942674</v>
      </c>
      <c r="U181" s="28">
        <f ca="1">SUMPRODUCT(dFactor,tpSurvAxU,INDEX(tEIdxElec,17)*INDEX(elecAxU,stdCSL+1,6)*allOnes,OFFSET(tPrcElec,0,16,1,_maxLT))</f>
        <v>20758.181155753427</v>
      </c>
      <c r="V181" s="28">
        <f ca="1">SUMPRODUCT(dFactor,tpSurvAxU,INDEX(tEIdxElec,18)*INDEX(elecAxU,stdCSL+1,6)*allOnes,OFFSET(tPrcElec,0,17,1,_maxLT))</f>
        <v>20835.79181636007</v>
      </c>
      <c r="W181" s="28">
        <f ca="1">SUMPRODUCT(dFactor,tpSurvAxU,INDEX(tEIdxElec,19)*INDEX(elecAxU,stdCSL+1,6)*allOnes,OFFSET(tPrcElec,0,18,1,_maxLT))</f>
        <v>20920.440930106317</v>
      </c>
      <c r="X181" s="28">
        <f ca="1">SUMPRODUCT(dFactor,tpSurvAxU,INDEX(tEIdxElec,20)*INDEX(elecAxU,stdCSL+1,6)*allOnes,OFFSET(tPrcElec,0,19,1,_maxLT))</f>
        <v>20995.276525542995</v>
      </c>
      <c r="Y181" s="28">
        <f ca="1">SUMPRODUCT(dFactor,tpSurvAxU,INDEX(tEIdxElec,21)*INDEX(elecAxU,stdCSL+1,6)*allOnes,OFFSET(tPrcElec,0,20,1,_maxLT))</f>
        <v>21077.00090115175</v>
      </c>
      <c r="Z181" s="28">
        <f ca="1">SUMPRODUCT(dFactor,tpSurvAxU,INDEX(tEIdxElec,22)*INDEX(elecAxU,stdCSL+1,6)*allOnes,OFFSET(tPrcElec,0,21,1,_maxLT))</f>
        <v>21166.072389953926</v>
      </c>
      <c r="AA181" s="28">
        <f ca="1">SUMPRODUCT(dFactor,tpSurvAxU,INDEX(tEIdxElec,23)*INDEX(elecAxU,stdCSL+1,6)*allOnes,OFFSET(tPrcElec,0,22,1,_maxLT))</f>
        <v>21245.68607716139</v>
      </c>
      <c r="AB181" s="28">
        <f ca="1">SUMPRODUCT(dFactor,tpSurvAxU,INDEX(tEIdxElec,24)*INDEX(elecAxU,stdCSL+1,6)*allOnes,OFFSET(tPrcElec,0,23,1,_maxLT))</f>
        <v>21332.53028403391</v>
      </c>
      <c r="AC181" s="28">
        <f ca="1">SUMPRODUCT(dFactor,tpSurvAxU,INDEX(tEIdxElec,25)*INDEX(elecAxU,stdCSL+1,6)*allOnes,OFFSET(tPrcElec,0,24,1,_maxLT))</f>
        <v>21409.7673461864</v>
      </c>
      <c r="AD181" s="28">
        <f ca="1">SUMPRODUCT(dFactor,tpSurvAxU,INDEX(tEIdxElec,26)*INDEX(elecAxU,stdCSL+1,6)*allOnes,OFFSET(tPrcElec,0,25,1,_maxLT))</f>
        <v>21494.037965452968</v>
      </c>
      <c r="AE181" s="28">
        <f ca="1">SUMPRODUCT(dFactor,tpSurvAxU,INDEX(tEIdxElec,27)*INDEX(elecAxU,stdCSL+1,6)*allOnes,OFFSET(tPrcElec,0,26,1,_maxLT))</f>
        <v>21585.836330656639</v>
      </c>
      <c r="AF181" s="28">
        <f ca="1">SUMPRODUCT(dFactor,tpSurvAxU,INDEX(tEIdxElec,28)*INDEX(elecAxU,stdCSL+1,6)*allOnes,OFFSET(tPrcElec,0,27,1,_maxLT))</f>
        <v>21668.427415421294</v>
      </c>
      <c r="AG181" s="28">
        <f ca="1">SUMPRODUCT(dFactor,tpSurvAxU,INDEX(tEIdxElec,29)*INDEX(elecAxU,stdCSL+1,6)*allOnes,OFFSET(tPrcElec,0,28,1,_maxLT))</f>
        <v>21758.478072375325</v>
      </c>
      <c r="AH181" s="28">
        <f ca="1">SUMPRODUCT(dFactor,tpSurvAxU,INDEX(tEIdxElec,30)*INDEX(elecAxU,stdCSL+1,6)*allOnes,OFFSET(tPrcElec,0,29,1,_maxLT))</f>
        <v>21839.187908209686</v>
      </c>
      <c r="AI181" s="28">
        <f ca="1">SUMPRODUCT(dFactor,tpSurvAxU,INDEX(tEIdxElec,31)*INDEX(elecAxU,stdCSL+1,6)*allOnes,OFFSET(tPrcElec,0,30,1,_maxLT))</f>
        <v>21927.271793548764</v>
      </c>
      <c r="AJ181" s="28">
        <f ca="1">SUMPRODUCT(dFactor,tpSurvAxU,INDEX(tEIdxElec,32)*INDEX(elecAxU,stdCSL+1,6)*allOnes,OFFSET(tPrcElec,0,31,1,_maxLT))</f>
        <v>22005.867966879858</v>
      </c>
      <c r="AK181" s="29">
        <f ca="1">SUMPRODUCT(dFactor,tpSurvAxU,INDEX(tEIdxElec,33)*INDEX(elecAxU,stdCSL+1,6)*allOnes,OFFSET(tPrcElec,0,32,1,_maxLT))</f>
        <v>22091.661941476708</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ts2bElec*SUMPRODUCT(tpSurvAxU,INDEX(tEIdxElec,1)*INDEX(elecAxU,stdCSL+1,6)*convFactor)</f>
        <v>4254.9467532358676</v>
      </c>
      <c r="F183" s="22">
        <f ca="1">ts2bElec*SUMPRODUCT(tpSurvAxU,INDEX(tEIdxElec,2)*INDEX(elecAxU,stdCSL+1,6)*convFactor)</f>
        <v>4224.2161440136424</v>
      </c>
      <c r="G183" s="22">
        <f ca="1">ts2bElec*SUMPRODUCT(tpSurvAxU,INDEX(tEIdxElec,3)*INDEX(elecAxU,stdCSL+1,6)*convFactor)</f>
        <v>4193.2510351105311</v>
      </c>
      <c r="H183" s="22">
        <f ca="1">ts2bElec*SUMPRODUCT(tpSurvAxU,INDEX(tEIdxElec,4)*INDEX(elecAxU,stdCSL+1,6)*convFactor)</f>
        <v>4166.0615868773857</v>
      </c>
      <c r="I183" s="22">
        <f ca="1">ts2bElec*SUMPRODUCT(tpSurvAxU,INDEX(tEIdxElec,5)*INDEX(elecAxU,stdCSL+1,6)*convFactor)</f>
        <v>4140.2856234846877</v>
      </c>
      <c r="J183" s="22">
        <f ca="1">ts2bElec*SUMPRODUCT(tpSurvAxU,INDEX(tEIdxElec,6)*INDEX(elecAxU,stdCSL+1,6)*convFactor)</f>
        <v>4117.8489275512766</v>
      </c>
      <c r="K183" s="22">
        <f ca="1">ts2bElec*SUMPRODUCT(tpSurvAxU,INDEX(tEIdxElec,7)*INDEX(elecAxU,stdCSL+1,6)*convFactor)</f>
        <v>4100.45720160576</v>
      </c>
      <c r="L183" s="22">
        <f ca="1">ts2bElec*SUMPRODUCT(tpSurvAxU,INDEX(tEIdxElec,8)*INDEX(elecAxU,stdCSL+1,6)*convFactor)</f>
        <v>4086.0413078397937</v>
      </c>
      <c r="M183" s="22">
        <f ca="1">ts2bElec*SUMPRODUCT(tpSurvAxU,INDEX(tEIdxElec,9)*INDEX(elecAxU,stdCSL+1,6)*convFactor)</f>
        <v>4071.5582296582629</v>
      </c>
      <c r="N183" s="22">
        <f ca="1">ts2bElec*SUMPRODUCT(tpSurvAxU,INDEX(tEIdxElec,10)*INDEX(elecAxU,stdCSL+1,6)*convFactor)</f>
        <v>4059.9765468255887</v>
      </c>
      <c r="O183" s="22">
        <f ca="1">ts2bElec*SUMPRODUCT(tpSurvAxU,INDEX(tEIdxElec,11)*INDEX(elecAxU,stdCSL+1,6)*convFactor)</f>
        <v>4052.00094272869</v>
      </c>
      <c r="P183" s="22">
        <f ca="1">ts2bElec*SUMPRODUCT(tpSurvAxU,INDEX(tEIdxElec,12)*INDEX(elecAxU,stdCSL+1,6)*convFactor)</f>
        <v>4046.1627995708463</v>
      </c>
      <c r="Q183" s="22">
        <f ca="1">ts2bElec*SUMPRODUCT(tpSurvAxU,INDEX(tEIdxElec,13)*INDEX(elecAxU,stdCSL+1,6)*convFactor)</f>
        <v>4041.2500699258385</v>
      </c>
      <c r="R183" s="22">
        <f ca="1">ts2bElec*SUMPRODUCT(tpSurvAxU,INDEX(tEIdxElec,14)*INDEX(elecAxU,stdCSL+1,6)*convFactor)</f>
        <v>4037.6248335263231</v>
      </c>
      <c r="S183" s="22">
        <f ca="1">ts2bElec*SUMPRODUCT(tpSurvAxU,INDEX(tEIdxElec,15)*INDEX(elecAxU,stdCSL+1,6)*convFactor)</f>
        <v>4034.8613429743068</v>
      </c>
      <c r="T183" s="22">
        <f ca="1">ts2bElec*SUMPRODUCT(tpSurvAxU,INDEX(tEIdxElec,16)*INDEX(elecAxU,stdCSL+1,6)*convFactor)</f>
        <v>4034.5152448410004</v>
      </c>
      <c r="U183" s="22">
        <f ca="1">ts2bElec*SUMPRODUCT(tpSurvAxU,INDEX(tEIdxElec,17)*INDEX(elecAxU,stdCSL+1,6)*convFactor)</f>
        <v>4035.2251051338085</v>
      </c>
      <c r="V183" s="22">
        <f ca="1">ts2bElec*SUMPRODUCT(tpSurvAxU,INDEX(tEIdxElec,18)*INDEX(elecAxU,stdCSL+1,6)*convFactor)</f>
        <v>4036.2671698603249</v>
      </c>
      <c r="W183" s="22">
        <f ca="1">ts2bElec*SUMPRODUCT(tpSurvAxU,INDEX(tEIdxElec,19)*INDEX(elecAxU,stdCSL+1,6)*convFactor)</f>
        <v>4037.7574667955801</v>
      </c>
      <c r="X183" s="22">
        <f ca="1">ts2bElec*SUMPRODUCT(tpSurvAxU,INDEX(tEIdxElec,20)*INDEX(elecAxU,stdCSL+1,6)*convFactor)</f>
        <v>4039.1657813905917</v>
      </c>
      <c r="Y183" s="22">
        <f ca="1">ts2bElec*SUMPRODUCT(tpSurvAxU,INDEX(tEIdxElec,21)*INDEX(elecAxU,stdCSL+1,6)*convFactor)</f>
        <v>4040.3326453300992</v>
      </c>
      <c r="Z183" s="22">
        <f ca="1">ts2bElec*SUMPRODUCT(tpSurvAxU,INDEX(tEIdxElec,22)*INDEX(elecAxU,stdCSL+1,6)*convFactor)</f>
        <v>4041.1146091494725</v>
      </c>
      <c r="AA183" s="22">
        <f ca="1">ts2bElec*SUMPRODUCT(tpSurvAxU,INDEX(tEIdxElec,23)*INDEX(elecAxU,stdCSL+1,6)*convFactor)</f>
        <v>4041.6299753591179</v>
      </c>
      <c r="AB183" s="22">
        <f ca="1">ts2bElec*SUMPRODUCT(tpSurvAxU,INDEX(tEIdxElec,24)*INDEX(elecAxU,stdCSL+1,6)*convFactor)</f>
        <v>4041.6299753591179</v>
      </c>
      <c r="AC183" s="22">
        <f ca="1">ts2bElec*SUMPRODUCT(tpSurvAxU,INDEX(tEIdxElec,25)*INDEX(elecAxU,stdCSL+1,6)*convFactor)</f>
        <v>4041.6299753591179</v>
      </c>
      <c r="AD183" s="22">
        <f ca="1">ts2bElec*SUMPRODUCT(tpSurvAxU,INDEX(tEIdxElec,26)*INDEX(elecAxU,stdCSL+1,6)*convFactor)</f>
        <v>4041.6299753591179</v>
      </c>
      <c r="AE183" s="22">
        <f ca="1">ts2bElec*SUMPRODUCT(tpSurvAxU,INDEX(tEIdxElec,27)*INDEX(elecAxU,stdCSL+1,6)*convFactor)</f>
        <v>4041.6299753591179</v>
      </c>
      <c r="AF183" s="22">
        <f ca="1">ts2bElec*SUMPRODUCT(tpSurvAxU,INDEX(tEIdxElec,28)*INDEX(elecAxU,stdCSL+1,6)*convFactor)</f>
        <v>4041.6299753591179</v>
      </c>
      <c r="AG183" s="22">
        <f ca="1">ts2bElec*SUMPRODUCT(tpSurvAxU,INDEX(tEIdxElec,29)*INDEX(elecAxU,stdCSL+1,6)*convFactor)</f>
        <v>4041.6299753591179</v>
      </c>
      <c r="AH183" s="22">
        <f ca="1">ts2bElec*SUMPRODUCT(tpSurvAxU,INDEX(tEIdxElec,30)*INDEX(elecAxU,stdCSL+1,6)*convFactor)</f>
        <v>4041.6299753591179</v>
      </c>
      <c r="AI183" s="22">
        <f ca="1">ts2bElec*SUMPRODUCT(tpSurvAxU,INDEX(tEIdxElec,31)*INDEX(elecAxU,stdCSL+1,6)*convFactor)</f>
        <v>4041.6299753591179</v>
      </c>
      <c r="AJ183" s="22">
        <f ca="1">ts2bElec*SUMPRODUCT(tpSurvAxU,INDEX(tEIdxElec,32)*INDEX(elecAxU,stdCSL+1,6)*convFactor)</f>
        <v>4041.6299753591179</v>
      </c>
      <c r="AK183" s="25">
        <f ca="1">ts2bElec*SUMPRODUCT(tpSurvAxU,INDEX(tEIdxElec,33)*INDEX(elecAxU,stdCSL+1,6)*convFactor)</f>
        <v>4041.6299753591179</v>
      </c>
      <c r="AL183" s="3"/>
    </row>
    <row r="184" spans="2:38">
      <c r="B184" s="3"/>
      <c r="C184" s="30" t="str">
        <f>"EL 6: " &amp; INDEX(_doName,2,7)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(1+INDEX(vadAxU,stdCSL+1,7))*INDEX(mspAxU,stdCSL+1,7)*tPIdxAll + INDEX(instAxU,stdCSL+1,7) + SUMPRODUCT(dFactor,tpSurvAxU,INDEX(mrAxU,stdCSL+1,7)*allOnes)</f>
        <v>1119.3204619999999</v>
      </c>
      <c r="F185" s="28">
        <f ca="1"/>
        <v>1119.3204619999999</v>
      </c>
      <c r="G185" s="28">
        <f ca="1"/>
        <v>1119.3204619999999</v>
      </c>
      <c r="H185" s="28">
        <f ca="1"/>
        <v>1119.3204619999999</v>
      </c>
      <c r="I185" s="28">
        <f ca="1"/>
        <v>1119.3204619999999</v>
      </c>
      <c r="J185" s="28">
        <f ca="1"/>
        <v>1119.3204619999999</v>
      </c>
      <c r="K185" s="28">
        <f ca="1"/>
        <v>1119.3204619999999</v>
      </c>
      <c r="L185" s="28">
        <f ca="1"/>
        <v>1119.3204619999999</v>
      </c>
      <c r="M185" s="28">
        <f ca="1"/>
        <v>1119.3204619999999</v>
      </c>
      <c r="N185" s="28">
        <f ca="1"/>
        <v>1119.3204619999999</v>
      </c>
      <c r="O185" s="28">
        <f ca="1"/>
        <v>1119.3204619999999</v>
      </c>
      <c r="P185" s="28">
        <f ca="1"/>
        <v>1119.3204619999999</v>
      </c>
      <c r="Q185" s="28">
        <f ca="1"/>
        <v>1119.3204619999999</v>
      </c>
      <c r="R185" s="28">
        <f ca="1"/>
        <v>1119.3204619999999</v>
      </c>
      <c r="S185" s="28">
        <f ca="1"/>
        <v>1119.3204619999999</v>
      </c>
      <c r="T185" s="28">
        <f ca="1"/>
        <v>1119.3204619999999</v>
      </c>
      <c r="U185" s="28">
        <f ca="1"/>
        <v>1119.3204619999999</v>
      </c>
      <c r="V185" s="28">
        <f ca="1"/>
        <v>1119.3204619999999</v>
      </c>
      <c r="W185" s="28">
        <f ca="1"/>
        <v>1119.3204619999999</v>
      </c>
      <c r="X185" s="28">
        <f ca="1"/>
        <v>1119.3204619999999</v>
      </c>
      <c r="Y185" s="28">
        <f ca="1"/>
        <v>1119.3204619999999</v>
      </c>
      <c r="Z185" s="28">
        <f ca="1"/>
        <v>1119.3204619999999</v>
      </c>
      <c r="AA185" s="28">
        <f ca="1"/>
        <v>1119.3204619999999</v>
      </c>
      <c r="AB185" s="28">
        <f ca="1"/>
        <v>1119.3204619999999</v>
      </c>
      <c r="AC185" s="28">
        <f ca="1"/>
        <v>1119.3204619999999</v>
      </c>
      <c r="AD185" s="28">
        <f ca="1"/>
        <v>1119.3204619999999</v>
      </c>
      <c r="AE185" s="28">
        <f ca="1"/>
        <v>1119.3204619999999</v>
      </c>
      <c r="AF185" s="28">
        <f ca="1"/>
        <v>1119.3204619999999</v>
      </c>
      <c r="AG185" s="28">
        <f ca="1"/>
        <v>1119.3204619999999</v>
      </c>
      <c r="AH185" s="28">
        <f ca="1"/>
        <v>1119.3204619999999</v>
      </c>
      <c r="AI185" s="28">
        <f ca="1"/>
        <v>1119.3204619999999</v>
      </c>
      <c r="AJ185" s="28">
        <f ca="1"/>
        <v>1119.3204619999999</v>
      </c>
      <c r="AK185" s="29">
        <f ca="1"/>
        <v>1119.3204619999999</v>
      </c>
      <c r="AL185" s="3"/>
    </row>
    <row r="186" spans="2:38">
      <c r="B186" s="3"/>
      <c r="C186" s="23" t="s">
        <v>47</v>
      </c>
      <c r="D186" s="16" t="str">
        <f>_yearDol &amp; "$"</f>
        <v>2013$</v>
      </c>
      <c r="E186" s="141">
        <f t="array" aca="1" ref="E186:AK186" ca="1">(tlccEFupolElec6)</f>
        <v>18214.004876233528</v>
      </c>
      <c r="F186" s="28">
        <f ca="1"/>
        <v>18294.17201056148</v>
      </c>
      <c r="G186" s="28">
        <f ca="1"/>
        <v>18365.183902245037</v>
      </c>
      <c r="H186" s="28">
        <f ca="1"/>
        <v>18442.519590689317</v>
      </c>
      <c r="I186" s="28">
        <f ca="1"/>
        <v>18510.517121481811</v>
      </c>
      <c r="J186" s="28">
        <f ca="1"/>
        <v>18584.68047925744</v>
      </c>
      <c r="K186" s="28">
        <f ca="1"/>
        <v>18649.333004429205</v>
      </c>
      <c r="L186" s="28">
        <f ca="1"/>
        <v>18719.92671566251</v>
      </c>
      <c r="M186" s="28">
        <f ca="1"/>
        <v>18796.861131797745</v>
      </c>
      <c r="N186" s="28">
        <f ca="1"/>
        <v>18864.444423320445</v>
      </c>
      <c r="O186" s="28">
        <f ca="1"/>
        <v>18938.195241253015</v>
      </c>
      <c r="P186" s="28">
        <f ca="1"/>
        <v>19018.615043889578</v>
      </c>
      <c r="Q186" s="28">
        <f ca="1"/>
        <v>19089.908015319528</v>
      </c>
      <c r="R186" s="28">
        <f ca="1"/>
        <v>19167.649636149679</v>
      </c>
      <c r="S186" s="28">
        <f ca="1"/>
        <v>19236.123230267436</v>
      </c>
      <c r="T186" s="28">
        <f ca="1"/>
        <v>19310.873480705828</v>
      </c>
      <c r="U186" s="28">
        <f ca="1"/>
        <v>19392.373597972131</v>
      </c>
      <c r="V186" s="28">
        <f ca="1"/>
        <v>19464.877779064718</v>
      </c>
      <c r="W186" s="28">
        <f ca="1"/>
        <v>19543.957310464302</v>
      </c>
      <c r="X186" s="28">
        <f ca="1"/>
        <v>19613.869014878364</v>
      </c>
      <c r="Y186" s="28">
        <f ca="1"/>
        <v>19690.216244530835</v>
      </c>
      <c r="Z186" s="28">
        <f ca="1"/>
        <v>19773.427175913457</v>
      </c>
      <c r="AA186" s="28">
        <f ca="1"/>
        <v>19847.802592249569</v>
      </c>
      <c r="AB186" s="28">
        <f ca="1"/>
        <v>19928.932788187991</v>
      </c>
      <c r="AC186" s="28">
        <f ca="1"/>
        <v>20001.087952151167</v>
      </c>
      <c r="AD186" s="28">
        <f ca="1"/>
        <v>20079.813892535258</v>
      </c>
      <c r="AE186" s="28">
        <f ca="1"/>
        <v>20165.572282461395</v>
      </c>
      <c r="AF186" s="28">
        <f ca="1"/>
        <v>20242.729195179349</v>
      </c>
      <c r="AG186" s="28">
        <f ca="1"/>
        <v>20326.854869259016</v>
      </c>
      <c r="AH186" s="28">
        <f ca="1"/>
        <v>20402.254311907043</v>
      </c>
      <c r="AI186" s="28">
        <f ca="1"/>
        <v>20484.542620292046</v>
      </c>
      <c r="AJ186" s="28">
        <f ca="1"/>
        <v>20557.967471206088</v>
      </c>
      <c r="AK186" s="29">
        <f ca="1"/>
        <v>20638.116536066518</v>
      </c>
      <c r="AL186" s="3"/>
    </row>
    <row r="187" spans="2:38">
      <c r="B187" s="3"/>
      <c r="C187" s="27" t="str">
        <f>INDEX(_fuel,1)</f>
        <v>Electricity</v>
      </c>
      <c r="D187" s="16" t="str">
        <f>_yearDol &amp; "$"</f>
        <v>2013$</v>
      </c>
      <c r="E187" s="141">
        <f ca="1">SUMPRODUCT(dFactor,tpSurvAxU,INDEX(tEIdxElec,1)*INDEX(elecAxU,stdCSL+1,7)*allOnes,OFFSET(tPrcElec,0,0,1,_maxLT))</f>
        <v>18214.004876233528</v>
      </c>
      <c r="F187" s="28">
        <f ca="1">SUMPRODUCT(dFactor,tpSurvAxU,INDEX(tEIdxElec,2)*INDEX(elecAxU,stdCSL+1,7)*allOnes,OFFSET(tPrcElec,0,1,1,_maxLT))</f>
        <v>18294.17201056148</v>
      </c>
      <c r="G187" s="28">
        <f ca="1">SUMPRODUCT(dFactor,tpSurvAxU,INDEX(tEIdxElec,3)*INDEX(elecAxU,stdCSL+1,7)*allOnes,OFFSET(tPrcElec,0,2,1,_maxLT))</f>
        <v>18365.183902245037</v>
      </c>
      <c r="H187" s="28">
        <f ca="1">SUMPRODUCT(dFactor,tpSurvAxU,INDEX(tEIdxElec,4)*INDEX(elecAxU,stdCSL+1,7)*allOnes,OFFSET(tPrcElec,0,3,1,_maxLT))</f>
        <v>18442.519590689317</v>
      </c>
      <c r="I187" s="28">
        <f ca="1">SUMPRODUCT(dFactor,tpSurvAxU,INDEX(tEIdxElec,5)*INDEX(elecAxU,stdCSL+1,7)*allOnes,OFFSET(tPrcElec,0,4,1,_maxLT))</f>
        <v>18510.517121481811</v>
      </c>
      <c r="J187" s="28">
        <f ca="1">SUMPRODUCT(dFactor,tpSurvAxU,INDEX(tEIdxElec,6)*INDEX(elecAxU,stdCSL+1,7)*allOnes,OFFSET(tPrcElec,0,5,1,_maxLT))</f>
        <v>18584.68047925744</v>
      </c>
      <c r="K187" s="28">
        <f ca="1">SUMPRODUCT(dFactor,tpSurvAxU,INDEX(tEIdxElec,7)*INDEX(elecAxU,stdCSL+1,7)*allOnes,OFFSET(tPrcElec,0,6,1,_maxLT))</f>
        <v>18649.333004429205</v>
      </c>
      <c r="L187" s="28">
        <f ca="1">SUMPRODUCT(dFactor,tpSurvAxU,INDEX(tEIdxElec,8)*INDEX(elecAxU,stdCSL+1,7)*allOnes,OFFSET(tPrcElec,0,7,1,_maxLT))</f>
        <v>18719.92671566251</v>
      </c>
      <c r="M187" s="28">
        <f ca="1">SUMPRODUCT(dFactor,tpSurvAxU,INDEX(tEIdxElec,9)*INDEX(elecAxU,stdCSL+1,7)*allOnes,OFFSET(tPrcElec,0,8,1,_maxLT))</f>
        <v>18796.861131797745</v>
      </c>
      <c r="N187" s="28">
        <f ca="1">SUMPRODUCT(dFactor,tpSurvAxU,INDEX(tEIdxElec,10)*INDEX(elecAxU,stdCSL+1,7)*allOnes,OFFSET(tPrcElec,0,9,1,_maxLT))</f>
        <v>18864.444423320445</v>
      </c>
      <c r="O187" s="28">
        <f ca="1">SUMPRODUCT(dFactor,tpSurvAxU,INDEX(tEIdxElec,11)*INDEX(elecAxU,stdCSL+1,7)*allOnes,OFFSET(tPrcElec,0,10,1,_maxLT))</f>
        <v>18938.195241253015</v>
      </c>
      <c r="P187" s="28">
        <f ca="1">SUMPRODUCT(dFactor,tpSurvAxU,INDEX(tEIdxElec,12)*INDEX(elecAxU,stdCSL+1,7)*allOnes,OFFSET(tPrcElec,0,11,1,_maxLT))</f>
        <v>19018.615043889578</v>
      </c>
      <c r="Q187" s="28">
        <f ca="1">SUMPRODUCT(dFactor,tpSurvAxU,INDEX(tEIdxElec,13)*INDEX(elecAxU,stdCSL+1,7)*allOnes,OFFSET(tPrcElec,0,12,1,_maxLT))</f>
        <v>19089.908015319528</v>
      </c>
      <c r="R187" s="28">
        <f ca="1">SUMPRODUCT(dFactor,tpSurvAxU,INDEX(tEIdxElec,14)*INDEX(elecAxU,stdCSL+1,7)*allOnes,OFFSET(tPrcElec,0,13,1,_maxLT))</f>
        <v>19167.649636149679</v>
      </c>
      <c r="S187" s="28">
        <f ca="1">SUMPRODUCT(dFactor,tpSurvAxU,INDEX(tEIdxElec,15)*INDEX(elecAxU,stdCSL+1,7)*allOnes,OFFSET(tPrcElec,0,14,1,_maxLT))</f>
        <v>19236.123230267436</v>
      </c>
      <c r="T187" s="28">
        <f ca="1">SUMPRODUCT(dFactor,tpSurvAxU,INDEX(tEIdxElec,16)*INDEX(elecAxU,stdCSL+1,7)*allOnes,OFFSET(tPrcElec,0,15,1,_maxLT))</f>
        <v>19310.873480705828</v>
      </c>
      <c r="U187" s="28">
        <f ca="1">SUMPRODUCT(dFactor,tpSurvAxU,INDEX(tEIdxElec,17)*INDEX(elecAxU,stdCSL+1,7)*allOnes,OFFSET(tPrcElec,0,16,1,_maxLT))</f>
        <v>19392.373597972131</v>
      </c>
      <c r="V187" s="28">
        <f ca="1">SUMPRODUCT(dFactor,tpSurvAxU,INDEX(tEIdxElec,18)*INDEX(elecAxU,stdCSL+1,7)*allOnes,OFFSET(tPrcElec,0,17,1,_maxLT))</f>
        <v>19464.877779064718</v>
      </c>
      <c r="W187" s="28">
        <f ca="1">SUMPRODUCT(dFactor,tpSurvAxU,INDEX(tEIdxElec,19)*INDEX(elecAxU,stdCSL+1,7)*allOnes,OFFSET(tPrcElec,0,18,1,_maxLT))</f>
        <v>19543.957310464302</v>
      </c>
      <c r="X187" s="28">
        <f ca="1">SUMPRODUCT(dFactor,tpSurvAxU,INDEX(tEIdxElec,20)*INDEX(elecAxU,stdCSL+1,7)*allOnes,OFFSET(tPrcElec,0,19,1,_maxLT))</f>
        <v>19613.869014878364</v>
      </c>
      <c r="Y187" s="28">
        <f ca="1">SUMPRODUCT(dFactor,tpSurvAxU,INDEX(tEIdxElec,21)*INDEX(elecAxU,stdCSL+1,7)*allOnes,OFFSET(tPrcElec,0,20,1,_maxLT))</f>
        <v>19690.216244530835</v>
      </c>
      <c r="Z187" s="28">
        <f ca="1">SUMPRODUCT(dFactor,tpSurvAxU,INDEX(tEIdxElec,22)*INDEX(elecAxU,stdCSL+1,7)*allOnes,OFFSET(tPrcElec,0,21,1,_maxLT))</f>
        <v>19773.427175913457</v>
      </c>
      <c r="AA187" s="28">
        <f ca="1">SUMPRODUCT(dFactor,tpSurvAxU,INDEX(tEIdxElec,23)*INDEX(elecAxU,stdCSL+1,7)*allOnes,OFFSET(tPrcElec,0,22,1,_maxLT))</f>
        <v>19847.802592249569</v>
      </c>
      <c r="AB187" s="28">
        <f ca="1">SUMPRODUCT(dFactor,tpSurvAxU,INDEX(tEIdxElec,24)*INDEX(elecAxU,stdCSL+1,7)*allOnes,OFFSET(tPrcElec,0,23,1,_maxLT))</f>
        <v>19928.932788187991</v>
      </c>
      <c r="AC187" s="28">
        <f ca="1">SUMPRODUCT(dFactor,tpSurvAxU,INDEX(tEIdxElec,25)*INDEX(elecAxU,stdCSL+1,7)*allOnes,OFFSET(tPrcElec,0,24,1,_maxLT))</f>
        <v>20001.087952151167</v>
      </c>
      <c r="AD187" s="28">
        <f ca="1">SUMPRODUCT(dFactor,tpSurvAxU,INDEX(tEIdxElec,26)*INDEX(elecAxU,stdCSL+1,7)*allOnes,OFFSET(tPrcElec,0,25,1,_maxLT))</f>
        <v>20079.813892535258</v>
      </c>
      <c r="AE187" s="28">
        <f ca="1">SUMPRODUCT(dFactor,tpSurvAxU,INDEX(tEIdxElec,27)*INDEX(elecAxU,stdCSL+1,7)*allOnes,OFFSET(tPrcElec,0,26,1,_maxLT))</f>
        <v>20165.572282461395</v>
      </c>
      <c r="AF187" s="28">
        <f ca="1">SUMPRODUCT(dFactor,tpSurvAxU,INDEX(tEIdxElec,28)*INDEX(elecAxU,stdCSL+1,7)*allOnes,OFFSET(tPrcElec,0,27,1,_maxLT))</f>
        <v>20242.729195179349</v>
      </c>
      <c r="AG187" s="28">
        <f ca="1">SUMPRODUCT(dFactor,tpSurvAxU,INDEX(tEIdxElec,29)*INDEX(elecAxU,stdCSL+1,7)*allOnes,OFFSET(tPrcElec,0,28,1,_maxLT))</f>
        <v>20326.854869259016</v>
      </c>
      <c r="AH187" s="28">
        <f ca="1">SUMPRODUCT(dFactor,tpSurvAxU,INDEX(tEIdxElec,30)*INDEX(elecAxU,stdCSL+1,7)*allOnes,OFFSET(tPrcElec,0,29,1,_maxLT))</f>
        <v>20402.254311907043</v>
      </c>
      <c r="AI187" s="28">
        <f ca="1">SUMPRODUCT(dFactor,tpSurvAxU,INDEX(tEIdxElec,31)*INDEX(elecAxU,stdCSL+1,7)*allOnes,OFFSET(tPrcElec,0,30,1,_maxLT))</f>
        <v>20484.542620292046</v>
      </c>
      <c r="AJ187" s="28">
        <f ca="1">SUMPRODUCT(dFactor,tpSurvAxU,INDEX(tEIdxElec,32)*INDEX(elecAxU,stdCSL+1,7)*allOnes,OFFSET(tPrcElec,0,31,1,_maxLT))</f>
        <v>20557.967471206088</v>
      </c>
      <c r="AK187" s="29">
        <f ca="1">SUMPRODUCT(dFactor,tpSurvAxU,INDEX(tEIdxElec,33)*INDEX(elecAxU,stdCSL+1,7)*allOnes,OFFSET(tPrcElec,0,32,1,_maxLT))</f>
        <v>20638.116536066518</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ts2bElec*SUMPRODUCT(tpSurvAxU,INDEX(tEIdxElec,1)*INDEX(elecAxU,stdCSL+1,7)*convFactor)</f>
        <v>3974.9878112687502</v>
      </c>
      <c r="F189" s="24">
        <f ca="1">ts2bElec*SUMPRODUCT(tpSurvAxU,INDEX(tEIdxElec,2)*INDEX(elecAxU,stdCSL+1,7)*convFactor)</f>
        <v>3946.2791565721186</v>
      </c>
      <c r="G189" s="24">
        <f ca="1">ts2bElec*SUMPRODUCT(tpSurvAxU,INDEX(tEIdxElec,3)*INDEX(elecAxU,stdCSL+1,7)*convFactor)</f>
        <v>3917.3514313612504</v>
      </c>
      <c r="H189" s="24">
        <f ca="1">ts2bElec*SUMPRODUCT(tpSurvAxU,INDEX(tEIdxElec,4)*INDEX(elecAxU,stdCSL+1,7)*convFactor)</f>
        <v>3891.9509430379412</v>
      </c>
      <c r="I189" s="24">
        <f ca="1">ts2bElec*SUMPRODUCT(tpSurvAxU,INDEX(tEIdxElec,5)*INDEX(elecAxU,stdCSL+1,7)*convFactor)</f>
        <v>3867.8709377519144</v>
      </c>
      <c r="J189" s="24">
        <f ca="1">ts2bElec*SUMPRODUCT(tpSurvAxU,INDEX(tEIdxElec,6)*INDEX(elecAxU,stdCSL+1,7)*convFactor)</f>
        <v>3846.9104891181869</v>
      </c>
      <c r="K189" s="24">
        <f ca="1">ts2bElec*SUMPRODUCT(tpSurvAxU,INDEX(tEIdxElec,7)*INDEX(elecAxU,stdCSL+1,7)*convFactor)</f>
        <v>3830.6630710752261</v>
      </c>
      <c r="L189" s="24">
        <f ca="1">ts2bElec*SUMPRODUCT(tpSurvAxU,INDEX(tEIdxElec,8)*INDEX(elecAxU,stdCSL+1,7)*convFactor)</f>
        <v>3817.1956870322447</v>
      </c>
      <c r="M189" s="24">
        <f ca="1">ts2bElec*SUMPRODUCT(tpSurvAxU,INDEX(tEIdxElec,9)*INDEX(elecAxU,stdCSL+1,7)*convFactor)</f>
        <v>3803.6655390468541</v>
      </c>
      <c r="N189" s="24">
        <f ca="1">ts2bElec*SUMPRODUCT(tpSurvAxU,INDEX(tEIdxElec,10)*INDEX(elecAxU,stdCSL+1,7)*convFactor)</f>
        <v>3792.8458858846025</v>
      </c>
      <c r="O189" s="24">
        <f ca="1">ts2bElec*SUMPRODUCT(tpSurvAxU,INDEX(tEIdxElec,11)*INDEX(elecAxU,stdCSL+1,7)*convFactor)</f>
        <v>3785.3950455072072</v>
      </c>
      <c r="P189" s="24">
        <f ca="1">ts2bElec*SUMPRODUCT(tpSurvAxU,INDEX(tEIdxElec,12)*INDEX(elecAxU,stdCSL+1,7)*convFactor)</f>
        <v>3779.9410294551326</v>
      </c>
      <c r="Q189" s="24">
        <f ca="1">ts2bElec*SUMPRODUCT(tpSurvAxU,INDEX(tEIdxElec,13)*INDEX(elecAxU,stdCSL+1,7)*convFactor)</f>
        <v>3775.3515383071845</v>
      </c>
      <c r="R189" s="24">
        <f ca="1">ts2bElec*SUMPRODUCT(tpSurvAxU,INDEX(tEIdxElec,14)*INDEX(elecAxU,stdCSL+1,7)*convFactor)</f>
        <v>3771.9648283583265</v>
      </c>
      <c r="S189" s="24">
        <f ca="1">ts2bElec*SUMPRODUCT(tpSurvAxU,INDEX(tEIdxElec,15)*INDEX(elecAxU,stdCSL+1,7)*convFactor)</f>
        <v>3769.3831647329325</v>
      </c>
      <c r="T189" s="24">
        <f ca="1">ts2bElec*SUMPRODUCT(tpSurvAxU,INDEX(tEIdxElec,16)*INDEX(elecAxU,stdCSL+1,7)*convFactor)</f>
        <v>3769.0598385102603</v>
      </c>
      <c r="U189" s="24">
        <f ca="1">ts2bElec*SUMPRODUCT(tpSurvAxU,INDEX(tEIdxElec,17)*INDEX(elecAxU,stdCSL+1,7)*convFactor)</f>
        <v>3769.7229927576</v>
      </c>
      <c r="V189" s="24">
        <f ca="1">ts2bElec*SUMPRODUCT(tpSurvAxU,INDEX(tEIdxElec,18)*INDEX(elecAxU,stdCSL+1,7)*convFactor)</f>
        <v>3770.6964936793938</v>
      </c>
      <c r="W189" s="24">
        <f ca="1">ts2bElec*SUMPRODUCT(tpSurvAxU,INDEX(tEIdxElec,19)*INDEX(elecAxU,stdCSL+1,7)*convFactor)</f>
        <v>3772.0887348744936</v>
      </c>
      <c r="X189" s="24">
        <f ca="1">ts2bElec*SUMPRODUCT(tpSurvAxU,INDEX(tEIdxElec,20)*INDEX(elecAxU,stdCSL+1,7)*convFactor)</f>
        <v>3773.4043878483753</v>
      </c>
      <c r="Y189" s="24">
        <f ca="1">ts2bElec*SUMPRODUCT(tpSurvAxU,INDEX(tEIdxElec,21)*INDEX(elecAxU,stdCSL+1,7)*convFactor)</f>
        <v>3774.4944766804911</v>
      </c>
      <c r="Z189" s="24">
        <f ca="1">ts2bElec*SUMPRODUCT(tpSurvAxU,INDEX(tEIdxElec,22)*INDEX(elecAxU,stdCSL+1,7)*convFactor)</f>
        <v>3775.2249903228767</v>
      </c>
      <c r="AA189" s="24">
        <f ca="1">ts2bElec*SUMPRODUCT(tpSurvAxU,INDEX(tEIdxElec,23)*INDEX(elecAxU,stdCSL+1,7)*convFactor)</f>
        <v>3775.7064474410236</v>
      </c>
      <c r="AB189" s="24">
        <f ca="1">ts2bElec*SUMPRODUCT(tpSurvAxU,INDEX(tEIdxElec,24)*INDEX(elecAxU,stdCSL+1,7)*convFactor)</f>
        <v>3775.7064474410236</v>
      </c>
      <c r="AC189" s="24">
        <f ca="1">ts2bElec*SUMPRODUCT(tpSurvAxU,INDEX(tEIdxElec,25)*INDEX(elecAxU,stdCSL+1,7)*convFactor)</f>
        <v>3775.7064474410236</v>
      </c>
      <c r="AD189" s="24">
        <f ca="1">ts2bElec*SUMPRODUCT(tpSurvAxU,INDEX(tEIdxElec,26)*INDEX(elecAxU,stdCSL+1,7)*convFactor)</f>
        <v>3775.7064474410236</v>
      </c>
      <c r="AE189" s="24">
        <f ca="1">ts2bElec*SUMPRODUCT(tpSurvAxU,INDEX(tEIdxElec,27)*INDEX(elecAxU,stdCSL+1,7)*convFactor)</f>
        <v>3775.7064474410236</v>
      </c>
      <c r="AF189" s="24">
        <f ca="1">ts2bElec*SUMPRODUCT(tpSurvAxU,INDEX(tEIdxElec,28)*INDEX(elecAxU,stdCSL+1,7)*convFactor)</f>
        <v>3775.7064474410236</v>
      </c>
      <c r="AG189" s="24">
        <f ca="1">ts2bElec*SUMPRODUCT(tpSurvAxU,INDEX(tEIdxElec,29)*INDEX(elecAxU,stdCSL+1,7)*convFactor)</f>
        <v>3775.7064474410236</v>
      </c>
      <c r="AH189" s="24">
        <f ca="1">ts2bElec*SUMPRODUCT(tpSurvAxU,INDEX(tEIdxElec,30)*INDEX(elecAxU,stdCSL+1,7)*convFactor)</f>
        <v>3775.7064474410236</v>
      </c>
      <c r="AI189" s="24">
        <f ca="1">ts2bElec*SUMPRODUCT(tpSurvAxU,INDEX(tEIdxElec,31)*INDEX(elecAxU,stdCSL+1,7)*convFactor)</f>
        <v>3775.7064474410236</v>
      </c>
      <c r="AJ189" s="24">
        <f ca="1">ts2bElec*SUMPRODUCT(tpSurvAxU,INDEX(tEIdxElec,32)*INDEX(elecAxU,stdCSL+1,7)*convFactor)</f>
        <v>3775.7064474410236</v>
      </c>
      <c r="AK189" s="26">
        <f ca="1">ts2bElec*SUMPRODUCT(tpSurvAxU,INDEX(tEIdxElec,33)*INDEX(elecAxU,stdCSL+1,7)*convFactor)</f>
        <v>3775.7064474410236</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3267" priority="1" stopIfTrue="1">
      <formula>LEN(TRIM(E106))=0</formula>
    </cfRule>
    <cfRule type="notContainsBlanks" dxfId="3266" priority="2" stopIfTrue="1">
      <formula>LEN(TRIM(E106))&gt;0</formula>
    </cfRule>
  </conditionalFormatting>
  <conditionalFormatting sqref="E107:AK107">
    <cfRule type="containsBlanks" dxfId="3265" priority="3" stopIfTrue="1">
      <formula>LEN(TRIM(E107))=0</formula>
    </cfRule>
    <cfRule type="notContainsBlanks" dxfId="3264" priority="4" stopIfTrue="1">
      <formula>LEN(TRIM(E107))&gt;0</formula>
    </cfRule>
  </conditionalFormatting>
  <conditionalFormatting sqref="E108:AK108">
    <cfRule type="containsBlanks" dxfId="3263" priority="5" stopIfTrue="1">
      <formula>LEN(TRIM(E108))=0</formula>
    </cfRule>
    <cfRule type="notContainsBlanks" dxfId="3262" priority="6" stopIfTrue="1">
      <formula>LEN(TRIM(E108))&gt;0</formula>
    </cfRule>
  </conditionalFormatting>
  <conditionalFormatting sqref="E110:AK110">
    <cfRule type="containsBlanks" dxfId="3261" priority="7" stopIfTrue="1">
      <formula>LEN(TRIM(E110))=0</formula>
    </cfRule>
    <cfRule type="notContainsBlanks" dxfId="3260" priority="8" stopIfTrue="1">
      <formula>LEN(TRIM(E110))&gt;0</formula>
    </cfRule>
  </conditionalFormatting>
  <conditionalFormatting sqref="E112:AK112">
    <cfRule type="containsBlanks" dxfId="3259" priority="9" stopIfTrue="1">
      <formula>LEN(TRIM(E112))=0</formula>
    </cfRule>
    <cfRule type="notContainsBlanks" dxfId="3258" priority="10" stopIfTrue="1">
      <formula>LEN(TRIM(E112))&gt;0</formula>
    </cfRule>
  </conditionalFormatting>
  <conditionalFormatting sqref="E113:AK113">
    <cfRule type="containsBlanks" dxfId="3257" priority="11" stopIfTrue="1">
      <formula>LEN(TRIM(E113))=0</formula>
    </cfRule>
    <cfRule type="notContainsBlanks" dxfId="3256" priority="12" stopIfTrue="1">
      <formula>LEN(TRIM(E113))&gt;0</formula>
    </cfRule>
  </conditionalFormatting>
  <conditionalFormatting sqref="E114:AK114">
    <cfRule type="containsBlanks" dxfId="3255" priority="13" stopIfTrue="1">
      <formula>LEN(TRIM(E114))=0</formula>
    </cfRule>
    <cfRule type="notContainsBlanks" dxfId="3254" priority="14" stopIfTrue="1">
      <formula>LEN(TRIM(E114))&gt;0</formula>
    </cfRule>
  </conditionalFormatting>
  <conditionalFormatting sqref="E116:AK116">
    <cfRule type="containsBlanks" dxfId="3253" priority="15" stopIfTrue="1">
      <formula>LEN(TRIM(E116))=0</formula>
    </cfRule>
    <cfRule type="notContainsBlanks" dxfId="3252" priority="16" stopIfTrue="1">
      <formula>LEN(TRIM(E116))&gt;0</formula>
    </cfRule>
  </conditionalFormatting>
  <conditionalFormatting sqref="E118:AK118">
    <cfRule type="containsBlanks" dxfId="3251" priority="17" stopIfTrue="1">
      <formula>LEN(TRIM(E118))=0</formula>
    </cfRule>
    <cfRule type="notContainsBlanks" dxfId="3250" priority="18" stopIfTrue="1">
      <formula>LEN(TRIM(E118))&gt;0</formula>
    </cfRule>
  </conditionalFormatting>
  <conditionalFormatting sqref="E119:AK119">
    <cfRule type="containsBlanks" dxfId="3249" priority="19" stopIfTrue="1">
      <formula>LEN(TRIM(E119))=0</formula>
    </cfRule>
    <cfRule type="notContainsBlanks" dxfId="3248" priority="20" stopIfTrue="1">
      <formula>LEN(TRIM(E119))&gt;0</formula>
    </cfRule>
  </conditionalFormatting>
  <conditionalFormatting sqref="E120:AK120">
    <cfRule type="containsBlanks" dxfId="3247" priority="21" stopIfTrue="1">
      <formula>LEN(TRIM(E120))=0</formula>
    </cfRule>
    <cfRule type="notContainsBlanks" dxfId="3246" priority="22" stopIfTrue="1">
      <formula>LEN(TRIM(E120))&gt;0</formula>
    </cfRule>
  </conditionalFormatting>
  <conditionalFormatting sqref="E122:AK122">
    <cfRule type="containsBlanks" dxfId="3245" priority="23" stopIfTrue="1">
      <formula>LEN(TRIM(E122))=0</formula>
    </cfRule>
    <cfRule type="notContainsBlanks" dxfId="3244" priority="24" stopIfTrue="1">
      <formula>LEN(TRIM(E122))&gt;0</formula>
    </cfRule>
  </conditionalFormatting>
  <conditionalFormatting sqref="E124:AK124">
    <cfRule type="containsBlanks" dxfId="3243" priority="25" stopIfTrue="1">
      <formula>LEN(TRIM(E124))=0</formula>
    </cfRule>
    <cfRule type="notContainsBlanks" dxfId="3242" priority="26" stopIfTrue="1">
      <formula>LEN(TRIM(E124))&gt;0</formula>
    </cfRule>
  </conditionalFormatting>
  <conditionalFormatting sqref="E125:AK125">
    <cfRule type="containsBlanks" dxfId="3241" priority="27" stopIfTrue="1">
      <formula>LEN(TRIM(E125))=0</formula>
    </cfRule>
    <cfRule type="notContainsBlanks" dxfId="3240" priority="28" stopIfTrue="1">
      <formula>LEN(TRIM(E125))&gt;0</formula>
    </cfRule>
  </conditionalFormatting>
  <conditionalFormatting sqref="E126:AK126">
    <cfRule type="containsBlanks" dxfId="3239" priority="29" stopIfTrue="1">
      <formula>LEN(TRIM(E126))=0</formula>
    </cfRule>
    <cfRule type="notContainsBlanks" dxfId="3238" priority="30" stopIfTrue="1">
      <formula>LEN(TRIM(E126))&gt;0</formula>
    </cfRule>
  </conditionalFormatting>
  <conditionalFormatting sqref="E128:AK128">
    <cfRule type="containsBlanks" dxfId="3237" priority="31" stopIfTrue="1">
      <formula>LEN(TRIM(E128))=0</formula>
    </cfRule>
    <cfRule type="notContainsBlanks" dxfId="3236" priority="32" stopIfTrue="1">
      <formula>LEN(TRIM(E128))&gt;0</formula>
    </cfRule>
  </conditionalFormatting>
  <conditionalFormatting sqref="E130:AK130">
    <cfRule type="containsBlanks" dxfId="3235" priority="33" stopIfTrue="1">
      <formula>LEN(TRIM(E130))=0</formula>
    </cfRule>
    <cfRule type="notContainsBlanks" dxfId="3234" priority="34" stopIfTrue="1">
      <formula>LEN(TRIM(E130))&gt;0</formula>
    </cfRule>
  </conditionalFormatting>
  <conditionalFormatting sqref="E131:AK131">
    <cfRule type="containsBlanks" dxfId="3233" priority="35" stopIfTrue="1">
      <formula>LEN(TRIM(E131))=0</formula>
    </cfRule>
    <cfRule type="notContainsBlanks" dxfId="3232" priority="36" stopIfTrue="1">
      <formula>LEN(TRIM(E131))&gt;0</formula>
    </cfRule>
  </conditionalFormatting>
  <conditionalFormatting sqref="E132:AK132">
    <cfRule type="containsBlanks" dxfId="3231" priority="37" stopIfTrue="1">
      <formula>LEN(TRIM(E132))=0</formula>
    </cfRule>
    <cfRule type="notContainsBlanks" dxfId="3230" priority="38" stopIfTrue="1">
      <formula>LEN(TRIM(E132))&gt;0</formula>
    </cfRule>
  </conditionalFormatting>
  <conditionalFormatting sqref="E134:AK134">
    <cfRule type="containsBlanks" dxfId="3229" priority="39" stopIfTrue="1">
      <formula>LEN(TRIM(E134))=0</formula>
    </cfRule>
    <cfRule type="notContainsBlanks" dxfId="3228" priority="40" stopIfTrue="1">
      <formula>LEN(TRIM(E134))&gt;0</formula>
    </cfRule>
  </conditionalFormatting>
  <conditionalFormatting sqref="E136:AK136">
    <cfRule type="containsBlanks" dxfId="3227" priority="41" stopIfTrue="1">
      <formula>LEN(TRIM(E136))=0</formula>
    </cfRule>
  </conditionalFormatting>
  <conditionalFormatting sqref="E136:AK136">
    <cfRule type="notContainsBlanks" dxfId="3226" priority="42" stopIfTrue="1">
      <formula>LEN(TRIM(E136))&gt;0</formula>
    </cfRule>
  </conditionalFormatting>
  <conditionalFormatting sqref="E137:AK137">
    <cfRule type="containsBlanks" dxfId="3225" priority="43" stopIfTrue="1">
      <formula>LEN(TRIM(E137))=0</formula>
    </cfRule>
  </conditionalFormatting>
  <conditionalFormatting sqref="E137:AK137">
    <cfRule type="notContainsBlanks" dxfId="3224" priority="44" stopIfTrue="1">
      <formula>LEN(TRIM(E137))&gt;0</formula>
    </cfRule>
  </conditionalFormatting>
  <conditionalFormatting sqref="E138:AK138">
    <cfRule type="containsBlanks" dxfId="3223" priority="45" stopIfTrue="1">
      <formula>LEN(TRIM(E138))=0</formula>
    </cfRule>
  </conditionalFormatting>
  <conditionalFormatting sqref="E138:AK138">
    <cfRule type="notContainsBlanks" dxfId="3222" priority="46" stopIfTrue="1">
      <formula>LEN(TRIM(E138))&gt;0</formula>
    </cfRule>
  </conditionalFormatting>
  <conditionalFormatting sqref="E140:AK140">
    <cfRule type="containsBlanks" dxfId="3221" priority="47" stopIfTrue="1">
      <formula>LEN(TRIM(E140))=0</formula>
    </cfRule>
  </conditionalFormatting>
  <conditionalFormatting sqref="E140:AK140">
    <cfRule type="notContainsBlanks" dxfId="3220" priority="48" stopIfTrue="1">
      <formula>LEN(TRIM(E140))&gt;0</formula>
    </cfRule>
  </conditionalFormatting>
  <conditionalFormatting sqref="E142:AK142">
    <cfRule type="containsBlanks" dxfId="3219" priority="49" stopIfTrue="1">
      <formula>LEN(TRIM(E142))=0</formula>
    </cfRule>
  </conditionalFormatting>
  <conditionalFormatting sqref="E142:AK142">
    <cfRule type="notContainsBlanks" dxfId="3218" priority="50" stopIfTrue="1">
      <formula>LEN(TRIM(E142))&gt;0</formula>
    </cfRule>
  </conditionalFormatting>
  <conditionalFormatting sqref="E143:AK143">
    <cfRule type="containsBlanks" dxfId="3217" priority="51" stopIfTrue="1">
      <formula>LEN(TRIM(E143))=0</formula>
    </cfRule>
  </conditionalFormatting>
  <conditionalFormatting sqref="E143:AK143">
    <cfRule type="notContainsBlanks" dxfId="3216" priority="52" stopIfTrue="1">
      <formula>LEN(TRIM(E143))&gt;0</formula>
    </cfRule>
  </conditionalFormatting>
  <conditionalFormatting sqref="E144:AK144">
    <cfRule type="containsBlanks" dxfId="3215" priority="53" stopIfTrue="1">
      <formula>LEN(TRIM(E144))=0</formula>
    </cfRule>
  </conditionalFormatting>
  <conditionalFormatting sqref="E144:AK144">
    <cfRule type="notContainsBlanks" dxfId="3214" priority="54" stopIfTrue="1">
      <formula>LEN(TRIM(E144))&gt;0</formula>
    </cfRule>
  </conditionalFormatting>
  <conditionalFormatting sqref="E146:AK146">
    <cfRule type="containsBlanks" dxfId="3213" priority="55" stopIfTrue="1">
      <formula>LEN(TRIM(E146))=0</formula>
    </cfRule>
  </conditionalFormatting>
  <conditionalFormatting sqref="E146:AK146">
    <cfRule type="notContainsBlanks" dxfId="3212" priority="56" stopIfTrue="1">
      <formula>LEN(TRIM(E146))&gt;0</formula>
    </cfRule>
  </conditionalFormatting>
  <conditionalFormatting sqref="E149:AK149">
    <cfRule type="containsBlanks" dxfId="3211" priority="57" stopIfTrue="1">
      <formula>LEN(TRIM(E149))=0</formula>
    </cfRule>
  </conditionalFormatting>
  <conditionalFormatting sqref="E149:AK149">
    <cfRule type="notContainsBlanks" dxfId="3210" priority="58" stopIfTrue="1">
      <formula>LEN(TRIM(E149))&gt;0</formula>
    </cfRule>
  </conditionalFormatting>
  <conditionalFormatting sqref="E150:AK150">
    <cfRule type="containsBlanks" dxfId="3209" priority="59" stopIfTrue="1">
      <formula>LEN(TRIM(E150))=0</formula>
    </cfRule>
  </conditionalFormatting>
  <conditionalFormatting sqref="E150:AK150">
    <cfRule type="notContainsBlanks" dxfId="3208" priority="60" stopIfTrue="1">
      <formula>LEN(TRIM(E150))&gt;0</formula>
    </cfRule>
  </conditionalFormatting>
  <conditionalFormatting sqref="E151:AK151">
    <cfRule type="containsBlanks" dxfId="3207" priority="61" stopIfTrue="1">
      <formula>LEN(TRIM(E151))=0</formula>
    </cfRule>
  </conditionalFormatting>
  <conditionalFormatting sqref="E151:AK151">
    <cfRule type="notContainsBlanks" dxfId="3206" priority="62" stopIfTrue="1">
      <formula>LEN(TRIM(E151))&gt;0</formula>
    </cfRule>
  </conditionalFormatting>
  <conditionalFormatting sqref="E153:AK153">
    <cfRule type="containsBlanks" dxfId="3205" priority="63" stopIfTrue="1">
      <formula>LEN(TRIM(E153))=0</formula>
    </cfRule>
  </conditionalFormatting>
  <conditionalFormatting sqref="E153:AK153">
    <cfRule type="notContainsBlanks" dxfId="3204" priority="64" stopIfTrue="1">
      <formula>LEN(TRIM(E153))&gt;0</formula>
    </cfRule>
  </conditionalFormatting>
  <conditionalFormatting sqref="E155:AK155">
    <cfRule type="containsBlanks" dxfId="3203" priority="65" stopIfTrue="1">
      <formula>LEN(TRIM(E155))=0</formula>
    </cfRule>
  </conditionalFormatting>
  <conditionalFormatting sqref="E155:AK155">
    <cfRule type="notContainsBlanks" dxfId="3202" priority="66" stopIfTrue="1">
      <formula>LEN(TRIM(E155))&gt;0</formula>
    </cfRule>
  </conditionalFormatting>
  <conditionalFormatting sqref="E156:AK156">
    <cfRule type="containsBlanks" dxfId="3201" priority="67" stopIfTrue="1">
      <formula>LEN(TRIM(E156))=0</formula>
    </cfRule>
  </conditionalFormatting>
  <conditionalFormatting sqref="E156:AK156">
    <cfRule type="notContainsBlanks" dxfId="3200" priority="68" stopIfTrue="1">
      <formula>LEN(TRIM(E156))&gt;0</formula>
    </cfRule>
  </conditionalFormatting>
  <conditionalFormatting sqref="E157:AK157">
    <cfRule type="containsBlanks" dxfId="3199" priority="69" stopIfTrue="1">
      <formula>LEN(TRIM(E157))=0</formula>
    </cfRule>
  </conditionalFormatting>
  <conditionalFormatting sqref="E157:AK157">
    <cfRule type="notContainsBlanks" dxfId="3198" priority="70" stopIfTrue="1">
      <formula>LEN(TRIM(E157))&gt;0</formula>
    </cfRule>
  </conditionalFormatting>
  <conditionalFormatting sqref="E159:AK159">
    <cfRule type="containsBlanks" dxfId="3197" priority="71" stopIfTrue="1">
      <formula>LEN(TRIM(E159))=0</formula>
    </cfRule>
  </conditionalFormatting>
  <conditionalFormatting sqref="E159:AK159">
    <cfRule type="notContainsBlanks" dxfId="3196" priority="72" stopIfTrue="1">
      <formula>LEN(TRIM(E159))&gt;0</formula>
    </cfRule>
  </conditionalFormatting>
  <conditionalFormatting sqref="E161:AK161">
    <cfRule type="containsBlanks" dxfId="3195" priority="73" stopIfTrue="1">
      <formula>LEN(TRIM(E161))=0</formula>
    </cfRule>
  </conditionalFormatting>
  <conditionalFormatting sqref="E161:AK161">
    <cfRule type="notContainsBlanks" dxfId="3194" priority="74" stopIfTrue="1">
      <formula>LEN(TRIM(E161))&gt;0</formula>
    </cfRule>
  </conditionalFormatting>
  <conditionalFormatting sqref="E162:AK162">
    <cfRule type="containsBlanks" dxfId="3193" priority="75" stopIfTrue="1">
      <formula>LEN(TRIM(E162))=0</formula>
    </cfRule>
  </conditionalFormatting>
  <conditionalFormatting sqref="E162:AK162">
    <cfRule type="notContainsBlanks" dxfId="3192" priority="76" stopIfTrue="1">
      <formula>LEN(TRIM(E162))&gt;0</formula>
    </cfRule>
  </conditionalFormatting>
  <conditionalFormatting sqref="E163:AK163">
    <cfRule type="containsBlanks" dxfId="3191" priority="77" stopIfTrue="1">
      <formula>LEN(TRIM(E163))=0</formula>
    </cfRule>
  </conditionalFormatting>
  <conditionalFormatting sqref="E163:AK163">
    <cfRule type="notContainsBlanks" dxfId="3190" priority="78" stopIfTrue="1">
      <formula>LEN(TRIM(E163))&gt;0</formula>
    </cfRule>
  </conditionalFormatting>
  <conditionalFormatting sqref="E165:AK165">
    <cfRule type="containsBlanks" dxfId="3189" priority="79" stopIfTrue="1">
      <formula>LEN(TRIM(E165))=0</formula>
    </cfRule>
  </conditionalFormatting>
  <conditionalFormatting sqref="E165:AK165">
    <cfRule type="notContainsBlanks" dxfId="3188" priority="80" stopIfTrue="1">
      <formula>LEN(TRIM(E165))&gt;0</formula>
    </cfRule>
  </conditionalFormatting>
  <conditionalFormatting sqref="E167:AK167">
    <cfRule type="containsBlanks" dxfId="3187" priority="81" stopIfTrue="1">
      <formula>LEN(TRIM(E167))=0</formula>
    </cfRule>
  </conditionalFormatting>
  <conditionalFormatting sqref="E167:AK167">
    <cfRule type="notContainsBlanks" dxfId="3186" priority="82" stopIfTrue="1">
      <formula>LEN(TRIM(E167))&gt;0</formula>
    </cfRule>
  </conditionalFormatting>
  <conditionalFormatting sqref="E168:AK168">
    <cfRule type="containsBlanks" dxfId="3185" priority="83" stopIfTrue="1">
      <formula>LEN(TRIM(E168))=0</formula>
    </cfRule>
  </conditionalFormatting>
  <conditionalFormatting sqref="E168:AK168">
    <cfRule type="notContainsBlanks" dxfId="3184" priority="84" stopIfTrue="1">
      <formula>LEN(TRIM(E168))&gt;0</formula>
    </cfRule>
  </conditionalFormatting>
  <conditionalFormatting sqref="E169:AK169">
    <cfRule type="containsBlanks" dxfId="3183" priority="85" stopIfTrue="1">
      <formula>LEN(TRIM(E169))=0</formula>
    </cfRule>
  </conditionalFormatting>
  <conditionalFormatting sqref="E169:AK169">
    <cfRule type="notContainsBlanks" dxfId="3182" priority="86" stopIfTrue="1">
      <formula>LEN(TRIM(E169))&gt;0</formula>
    </cfRule>
  </conditionalFormatting>
  <conditionalFormatting sqref="E171:AK171">
    <cfRule type="containsBlanks" dxfId="3181" priority="87" stopIfTrue="1">
      <formula>LEN(TRIM(E171))=0</formula>
    </cfRule>
  </conditionalFormatting>
  <conditionalFormatting sqref="E171:AK171">
    <cfRule type="notContainsBlanks" dxfId="3180" priority="88" stopIfTrue="1">
      <formula>LEN(TRIM(E171))&gt;0</formula>
    </cfRule>
  </conditionalFormatting>
  <conditionalFormatting sqref="E173:AK173">
    <cfRule type="containsBlanks" dxfId="3179" priority="89" stopIfTrue="1">
      <formula>LEN(TRIM(E173))=0</formula>
    </cfRule>
  </conditionalFormatting>
  <conditionalFormatting sqref="E173:AK173">
    <cfRule type="notContainsBlanks" dxfId="3178" priority="90" stopIfTrue="1">
      <formula>LEN(TRIM(E173))&gt;0</formula>
    </cfRule>
  </conditionalFormatting>
  <conditionalFormatting sqref="E174:AK174">
    <cfRule type="containsBlanks" dxfId="3177" priority="91" stopIfTrue="1">
      <formula>LEN(TRIM(E174))=0</formula>
    </cfRule>
  </conditionalFormatting>
  <conditionalFormatting sqref="E174:AK174">
    <cfRule type="notContainsBlanks" dxfId="3176" priority="92" stopIfTrue="1">
      <formula>LEN(TRIM(E174))&gt;0</formula>
    </cfRule>
  </conditionalFormatting>
  <conditionalFormatting sqref="E175:AK175">
    <cfRule type="containsBlanks" dxfId="3175" priority="93" stopIfTrue="1">
      <formula>LEN(TRIM(E175))=0</formula>
    </cfRule>
  </conditionalFormatting>
  <conditionalFormatting sqref="E175:AK175">
    <cfRule type="notContainsBlanks" dxfId="3174" priority="94" stopIfTrue="1">
      <formula>LEN(TRIM(E175))&gt;0</formula>
    </cfRule>
  </conditionalFormatting>
  <conditionalFormatting sqref="E177:AK177">
    <cfRule type="containsBlanks" dxfId="3173" priority="95" stopIfTrue="1">
      <formula>LEN(TRIM(E177))=0</formula>
    </cfRule>
  </conditionalFormatting>
  <conditionalFormatting sqref="E177:AK177">
    <cfRule type="notContainsBlanks" dxfId="3172" priority="96" stopIfTrue="1">
      <formula>LEN(TRIM(E177))&gt;0</formula>
    </cfRule>
  </conditionalFormatting>
  <conditionalFormatting sqref="E179:AK179">
    <cfRule type="containsBlanks" dxfId="3171" priority="97" stopIfTrue="1">
      <formula>LEN(TRIM(E179))=0</formula>
    </cfRule>
  </conditionalFormatting>
  <conditionalFormatting sqref="E179:AK179">
    <cfRule type="notContainsBlanks" dxfId="3170" priority="98" stopIfTrue="1">
      <formula>LEN(TRIM(E179))&gt;0</formula>
    </cfRule>
  </conditionalFormatting>
  <conditionalFormatting sqref="E180:AK180">
    <cfRule type="containsBlanks" dxfId="3169" priority="99" stopIfTrue="1">
      <formula>LEN(TRIM(E180))=0</formula>
    </cfRule>
  </conditionalFormatting>
  <conditionalFormatting sqref="E180:AK180">
    <cfRule type="notContainsBlanks" dxfId="3168" priority="100" stopIfTrue="1">
      <formula>LEN(TRIM(E180))&gt;0</formula>
    </cfRule>
  </conditionalFormatting>
  <conditionalFormatting sqref="E181:AK181">
    <cfRule type="containsBlanks" dxfId="3167" priority="101" stopIfTrue="1">
      <formula>LEN(TRIM(E181))=0</formula>
    </cfRule>
  </conditionalFormatting>
  <conditionalFormatting sqref="E181:AK181">
    <cfRule type="notContainsBlanks" dxfId="3166" priority="102" stopIfTrue="1">
      <formula>LEN(TRIM(E181))&gt;0</formula>
    </cfRule>
  </conditionalFormatting>
  <conditionalFormatting sqref="E183:AK183">
    <cfRule type="containsBlanks" dxfId="3165" priority="103" stopIfTrue="1">
      <formula>LEN(TRIM(E183))=0</formula>
    </cfRule>
  </conditionalFormatting>
  <conditionalFormatting sqref="E183:AK183">
    <cfRule type="notContainsBlanks" dxfId="3164" priority="104" stopIfTrue="1">
      <formula>LEN(TRIM(E183))&gt;0</formula>
    </cfRule>
  </conditionalFormatting>
  <conditionalFormatting sqref="E185:AK185">
    <cfRule type="containsBlanks" dxfId="3163" priority="105" stopIfTrue="1">
      <formula>LEN(TRIM(E185))=0</formula>
    </cfRule>
  </conditionalFormatting>
  <conditionalFormatting sqref="E185:AK185">
    <cfRule type="notContainsBlanks" dxfId="3162" priority="106" stopIfTrue="1">
      <formula>LEN(TRIM(E185))&gt;0</formula>
    </cfRule>
  </conditionalFormatting>
  <conditionalFormatting sqref="E186:AK186">
    <cfRule type="containsBlanks" dxfId="3161" priority="107" stopIfTrue="1">
      <formula>LEN(TRIM(E186))=0</formula>
    </cfRule>
  </conditionalFormatting>
  <conditionalFormatting sqref="E186:AK186">
    <cfRule type="notContainsBlanks" dxfId="3160" priority="108" stopIfTrue="1">
      <formula>LEN(TRIM(E186))&gt;0</formula>
    </cfRule>
  </conditionalFormatting>
  <conditionalFormatting sqref="E187:AK187">
    <cfRule type="containsBlanks" dxfId="3159" priority="109" stopIfTrue="1">
      <formula>LEN(TRIM(E187))=0</formula>
    </cfRule>
  </conditionalFormatting>
  <conditionalFormatting sqref="E187:AK187">
    <cfRule type="notContainsBlanks" dxfId="3158" priority="110" stopIfTrue="1">
      <formula>LEN(TRIM(E187))&gt;0</formula>
    </cfRule>
  </conditionalFormatting>
  <conditionalFormatting sqref="E189:AK189">
    <cfRule type="containsBlanks" dxfId="3157" priority="111" stopIfTrue="1">
      <formula>LEN(TRIM(E189))=0</formula>
    </cfRule>
  </conditionalFormatting>
  <conditionalFormatting sqref="E189:AK189">
    <cfRule type="notContainsBlanks" dxfId="3156" priority="112" stopIfTrue="1">
      <formula>LEN(TRIM(E189))&gt;0</formula>
    </cfRule>
  </conditionalFormatting>
  <conditionalFormatting sqref="E95:AK95">
    <cfRule type="containsBlanks" dxfId="3155" priority="113" stopIfTrue="1">
      <formula>LEN(TRIM(E95))=0</formula>
    </cfRule>
    <cfRule type="notContainsBlanks" dxfId="3154" priority="114" stopIfTrue="1">
      <formula>LEN(TRIM(E95))&gt;0</formula>
    </cfRule>
  </conditionalFormatting>
  <conditionalFormatting sqref="E96:AK96">
    <cfRule type="containsBlanks" dxfId="3153" priority="115" stopIfTrue="1">
      <formula>LEN(TRIM(E96))=0</formula>
    </cfRule>
    <cfRule type="notContainsBlanks" dxfId="3152" priority="116" stopIfTrue="1">
      <formula>LEN(TRIM(E96))&gt;0</formula>
    </cfRule>
  </conditionalFormatting>
  <conditionalFormatting sqref="E97:AK97">
    <cfRule type="containsBlanks" dxfId="3151" priority="117" stopIfTrue="1">
      <formula>LEN(TRIM(E97))=0</formula>
    </cfRule>
    <cfRule type="notContainsBlanks" dxfId="3150" priority="118" stopIfTrue="1">
      <formula>LEN(TRIM(E97))&gt;0</formula>
    </cfRule>
  </conditionalFormatting>
  <conditionalFormatting sqref="E98:AK98">
    <cfRule type="containsBlanks" dxfId="3149" priority="119" stopIfTrue="1">
      <formula>LEN(TRIM(E98))=0</formula>
    </cfRule>
    <cfRule type="notContainsBlanks" dxfId="3148" priority="120" stopIfTrue="1">
      <formula>LEN(TRIM(E98))&gt;0</formula>
    </cfRule>
  </conditionalFormatting>
  <conditionalFormatting sqref="E99:AK99">
    <cfRule type="containsBlanks" dxfId="3147" priority="121" stopIfTrue="1">
      <formula>LEN(TRIM(E99))=0</formula>
    </cfRule>
    <cfRule type="notContainsBlanks" dxfId="3146" priority="122" stopIfTrue="1">
      <formula>LEN(TRIM(E99))&gt;0</formula>
    </cfRule>
  </conditionalFormatting>
  <conditionalFormatting sqref="E100:AK100">
    <cfRule type="containsBlanks" dxfId="3145" priority="123" stopIfTrue="1">
      <formula>LEN(TRIM(E100))=0</formula>
    </cfRule>
    <cfRule type="notContainsBlanks" dxfId="3144" priority="124" stopIfTrue="1">
      <formula>LEN(TRIM(E100))&gt;0</formula>
    </cfRule>
  </conditionalFormatting>
  <conditionalFormatting sqref="E101:AK101">
    <cfRule type="containsBlanks" dxfId="3143" priority="125" stopIfTrue="1">
      <formula>LEN(TRIM(E101))=0</formula>
    </cfRule>
    <cfRule type="notContainsBlanks" dxfId="3142" priority="126" stopIfTrue="1">
      <formula>LEN(TRIM(E101))&gt;0</formula>
    </cfRule>
  </conditionalFormatting>
  <conditionalFormatting sqref="E86:AK86">
    <cfRule type="containsBlanks" dxfId="3141" priority="127" stopIfTrue="1">
      <formula>LEN(TRIM(E86))=0</formula>
    </cfRule>
    <cfRule type="notContainsBlanks" dxfId="3140" priority="128" stopIfTrue="1">
      <formula>LEN(TRIM(E86))&gt;0</formula>
    </cfRule>
  </conditionalFormatting>
  <conditionalFormatting sqref="E87:AK87">
    <cfRule type="containsBlanks" dxfId="3139" priority="129" stopIfTrue="1">
      <formula>LEN(TRIM(E87))=0</formula>
    </cfRule>
    <cfRule type="notContainsBlanks" dxfId="3138" priority="130" stopIfTrue="1">
      <formula>LEN(TRIM(E87))&gt;0</formula>
    </cfRule>
  </conditionalFormatting>
  <conditionalFormatting sqref="E88:AK88">
    <cfRule type="containsBlanks" dxfId="3137" priority="131" stopIfTrue="1">
      <formula>LEN(TRIM(E88))=0</formula>
    </cfRule>
    <cfRule type="notContainsBlanks" dxfId="3136" priority="132" stopIfTrue="1">
      <formula>LEN(TRIM(E88))&gt;0</formula>
    </cfRule>
  </conditionalFormatting>
  <conditionalFormatting sqref="E89:AK89">
    <cfRule type="containsBlanks" dxfId="3135" priority="133" stopIfTrue="1">
      <formula>LEN(TRIM(E89))=0</formula>
    </cfRule>
    <cfRule type="notContainsBlanks" dxfId="3134" priority="134" stopIfTrue="1">
      <formula>LEN(TRIM(E89))&gt;0</formula>
    </cfRule>
  </conditionalFormatting>
  <conditionalFormatting sqref="E90:AK90">
    <cfRule type="containsBlanks" dxfId="3133" priority="135" stopIfTrue="1">
      <formula>LEN(TRIM(E90))=0</formula>
    </cfRule>
    <cfRule type="notContainsBlanks" dxfId="3132" priority="136" stopIfTrue="1">
      <formula>LEN(TRIM(E90))&gt;0</formula>
    </cfRule>
  </conditionalFormatting>
  <conditionalFormatting sqref="E91:AK91">
    <cfRule type="containsBlanks" dxfId="3131" priority="137" stopIfTrue="1">
      <formula>LEN(TRIM(E91))=0</formula>
    </cfRule>
    <cfRule type="notContainsBlanks" dxfId="3130" priority="138" stopIfTrue="1">
      <formula>LEN(TRIM(E91))&gt;0</formula>
    </cfRule>
  </conditionalFormatting>
  <conditionalFormatting sqref="E92:AK92">
    <cfRule type="containsBlanks" dxfId="3129" priority="139" stopIfTrue="1">
      <formula>LEN(TRIM(E92))=0</formula>
    </cfRule>
    <cfRule type="notContainsBlanks" dxfId="3128" priority="140" stopIfTrue="1">
      <formula>LEN(TRIM(E92))&gt;0</formula>
    </cfRule>
  </conditionalFormatting>
  <conditionalFormatting sqref="E77:AK77">
    <cfRule type="containsBlanks" dxfId="3127" priority="141" stopIfTrue="1">
      <formula>LEN(TRIM(E77))=0</formula>
    </cfRule>
    <cfRule type="notContainsBlanks" dxfId="3126" priority="142" stopIfTrue="1">
      <formula>LEN(TRIM(E77))&gt;0</formula>
    </cfRule>
  </conditionalFormatting>
  <conditionalFormatting sqref="E78:AK78">
    <cfRule type="containsBlanks" dxfId="3125" priority="143" stopIfTrue="1">
      <formula>LEN(TRIM(E78))=0</formula>
    </cfRule>
    <cfRule type="notContainsBlanks" dxfId="3124" priority="144" stopIfTrue="1">
      <formula>LEN(TRIM(E78))&gt;0</formula>
    </cfRule>
  </conditionalFormatting>
  <conditionalFormatting sqref="E79:AK79">
    <cfRule type="containsBlanks" dxfId="3123" priority="145" stopIfTrue="1">
      <formula>LEN(TRIM(E79))=0</formula>
    </cfRule>
    <cfRule type="notContainsBlanks" dxfId="3122" priority="146" stopIfTrue="1">
      <formula>LEN(TRIM(E79))&gt;0</formula>
    </cfRule>
  </conditionalFormatting>
  <conditionalFormatting sqref="E80:AK80">
    <cfRule type="containsBlanks" dxfId="3121" priority="147" stopIfTrue="1">
      <formula>LEN(TRIM(E80))=0</formula>
    </cfRule>
    <cfRule type="notContainsBlanks" dxfId="3120" priority="148" stopIfTrue="1">
      <formula>LEN(TRIM(E80))&gt;0</formula>
    </cfRule>
  </conditionalFormatting>
  <conditionalFormatting sqref="E81:AK81">
    <cfRule type="containsBlanks" dxfId="3119" priority="149" stopIfTrue="1">
      <formula>LEN(TRIM(E81))=0</formula>
    </cfRule>
    <cfRule type="notContainsBlanks" dxfId="3118" priority="150" stopIfTrue="1">
      <formula>LEN(TRIM(E81))&gt;0</formula>
    </cfRule>
  </conditionalFormatting>
  <conditionalFormatting sqref="E82:AK82">
    <cfRule type="containsBlanks" dxfId="3117" priority="151" stopIfTrue="1">
      <formula>LEN(TRIM(E82))=0</formula>
    </cfRule>
    <cfRule type="notContainsBlanks" dxfId="3116" priority="152" stopIfTrue="1">
      <formula>LEN(TRIM(E82))&gt;0</formula>
    </cfRule>
  </conditionalFormatting>
  <conditionalFormatting sqref="E83:AK83">
    <cfRule type="containsBlanks" dxfId="3115" priority="153" stopIfTrue="1">
      <formula>LEN(TRIM(E83))=0</formula>
    </cfRule>
    <cfRule type="notContainsBlanks" dxfId="3114" priority="154" stopIfTrue="1">
      <formula>LEN(TRIM(E83))&gt;0</formula>
    </cfRule>
  </conditionalFormatting>
  <conditionalFormatting sqref="E68:AK68">
    <cfRule type="containsBlanks" dxfId="3113" priority="155" stopIfTrue="1">
      <formula>LEN(TRIM(E68))=0</formula>
    </cfRule>
    <cfRule type="notContainsBlanks" dxfId="3112" priority="156" stopIfTrue="1">
      <formula>LEN(TRIM(E68))&gt;0</formula>
    </cfRule>
  </conditionalFormatting>
  <conditionalFormatting sqref="E69:AK69">
    <cfRule type="containsBlanks" dxfId="3111" priority="157" stopIfTrue="1">
      <formula>LEN(TRIM(E69))=0</formula>
    </cfRule>
    <cfRule type="notContainsBlanks" dxfId="3110" priority="158" stopIfTrue="1">
      <formula>LEN(TRIM(E69))&gt;0</formula>
    </cfRule>
  </conditionalFormatting>
  <conditionalFormatting sqref="E70:AK70">
    <cfRule type="containsBlanks" dxfId="3109" priority="159" stopIfTrue="1">
      <formula>LEN(TRIM(E70))=0</formula>
    </cfRule>
    <cfRule type="notContainsBlanks" dxfId="3108" priority="160" stopIfTrue="1">
      <formula>LEN(TRIM(E70))&gt;0</formula>
    </cfRule>
  </conditionalFormatting>
  <conditionalFormatting sqref="E71:AK71">
    <cfRule type="containsBlanks" dxfId="3107" priority="161" stopIfTrue="1">
      <formula>LEN(TRIM(E71))=0</formula>
    </cfRule>
    <cfRule type="notContainsBlanks" dxfId="3106" priority="162" stopIfTrue="1">
      <formula>LEN(TRIM(E71))&gt;0</formula>
    </cfRule>
  </conditionalFormatting>
  <conditionalFormatting sqref="E72:AK72">
    <cfRule type="containsBlanks" dxfId="3105" priority="163" stopIfTrue="1">
      <formula>LEN(TRIM(E72))=0</formula>
    </cfRule>
    <cfRule type="notContainsBlanks" dxfId="3104" priority="164" stopIfTrue="1">
      <formula>LEN(TRIM(E72))&gt;0</formula>
    </cfRule>
  </conditionalFormatting>
  <conditionalFormatting sqref="E73:AK73">
    <cfRule type="containsBlanks" dxfId="3103" priority="165" stopIfTrue="1">
      <formula>LEN(TRIM(E73))=0</formula>
    </cfRule>
    <cfRule type="notContainsBlanks" dxfId="3102" priority="166" stopIfTrue="1">
      <formula>LEN(TRIM(E73))&gt;0</formula>
    </cfRule>
  </conditionalFormatting>
  <conditionalFormatting sqref="E74:AK74">
    <cfRule type="containsBlanks" dxfId="3101" priority="167" stopIfTrue="1">
      <formula>LEN(TRIM(E74))=0</formula>
    </cfRule>
    <cfRule type="notContainsBlanks" dxfId="3100" priority="168" stopIfTrue="1">
      <formula>LEN(TRIM(E74))&gt;0</formula>
    </cfRule>
  </conditionalFormatting>
  <conditionalFormatting sqref="E59:AK59">
    <cfRule type="containsBlanks" dxfId="3099" priority="169" stopIfTrue="1">
      <formula>LEN(TRIM(E59))=0</formula>
    </cfRule>
    <cfRule type="notContainsBlanks" dxfId="3098" priority="170" stopIfTrue="1">
      <formula>LEN(TRIM(E59))&gt;0</formula>
    </cfRule>
  </conditionalFormatting>
  <conditionalFormatting sqref="E60:AK60">
    <cfRule type="containsBlanks" dxfId="3097" priority="171" stopIfTrue="1">
      <formula>LEN(TRIM(E60))=0</formula>
    </cfRule>
    <cfRule type="notContainsBlanks" dxfId="3096" priority="172" stopIfTrue="1">
      <formula>LEN(TRIM(E60))&gt;0</formula>
    </cfRule>
  </conditionalFormatting>
  <conditionalFormatting sqref="E61:AK61">
    <cfRule type="containsBlanks" dxfId="3095" priority="173" stopIfTrue="1">
      <formula>LEN(TRIM(E61))=0</formula>
    </cfRule>
    <cfRule type="notContainsBlanks" dxfId="3094" priority="174" stopIfTrue="1">
      <formula>LEN(TRIM(E61))&gt;0</formula>
    </cfRule>
  </conditionalFormatting>
  <conditionalFormatting sqref="E62:AK62">
    <cfRule type="containsBlanks" dxfId="3093" priority="175" stopIfTrue="1">
      <formula>LEN(TRIM(E62))=0</formula>
    </cfRule>
    <cfRule type="notContainsBlanks" dxfId="3092" priority="176" stopIfTrue="1">
      <formula>LEN(TRIM(E62))&gt;0</formula>
    </cfRule>
  </conditionalFormatting>
  <conditionalFormatting sqref="E63:AK63">
    <cfRule type="containsBlanks" dxfId="3091" priority="177" stopIfTrue="1">
      <formula>LEN(TRIM(E63))=0</formula>
    </cfRule>
    <cfRule type="notContainsBlanks" dxfId="3090" priority="178" stopIfTrue="1">
      <formula>LEN(TRIM(E63))&gt;0</formula>
    </cfRule>
  </conditionalFormatting>
  <conditionalFormatting sqref="E64:AK64">
    <cfRule type="containsBlanks" dxfId="3089" priority="179" stopIfTrue="1">
      <formula>LEN(TRIM(E64))=0</formula>
    </cfRule>
    <cfRule type="notContainsBlanks" dxfId="3088" priority="180" stopIfTrue="1">
      <formula>LEN(TRIM(E64))&gt;0</formula>
    </cfRule>
  </conditionalFormatting>
  <conditionalFormatting sqref="E65:AK65">
    <cfRule type="containsBlanks" dxfId="3087" priority="181" stopIfTrue="1">
      <formula>LEN(TRIM(E65))=0</formula>
    </cfRule>
    <cfRule type="notContainsBlanks" dxfId="3086" priority="182" stopIfTrue="1">
      <formula>LEN(TRIM(E65))&gt;0</formula>
    </cfRule>
  </conditionalFormatting>
  <conditionalFormatting sqref="E50:AK50">
    <cfRule type="containsBlanks" dxfId="3085" priority="183" stopIfTrue="1">
      <formula>LEN(TRIM(E50))=0</formula>
    </cfRule>
    <cfRule type="notContainsBlanks" dxfId="3084" priority="184" stopIfTrue="1">
      <formula>LEN(TRIM(E50))&gt;0</formula>
    </cfRule>
  </conditionalFormatting>
  <conditionalFormatting sqref="E51:AK51">
    <cfRule type="containsBlanks" dxfId="3083" priority="185" stopIfTrue="1">
      <formula>LEN(TRIM(E51))=0</formula>
    </cfRule>
    <cfRule type="notContainsBlanks" dxfId="3082" priority="186" stopIfTrue="1">
      <formula>LEN(TRIM(E51))&gt;0</formula>
    </cfRule>
  </conditionalFormatting>
  <conditionalFormatting sqref="E52:AK52">
    <cfRule type="containsBlanks" dxfId="3081" priority="187" stopIfTrue="1">
      <formula>LEN(TRIM(E52))=0</formula>
    </cfRule>
    <cfRule type="notContainsBlanks" dxfId="3080" priority="188" stopIfTrue="1">
      <formula>LEN(TRIM(E52))&gt;0</formula>
    </cfRule>
  </conditionalFormatting>
  <conditionalFormatting sqref="E53:AK53">
    <cfRule type="containsBlanks" dxfId="3079" priority="189" stopIfTrue="1">
      <formula>LEN(TRIM(E53))=0</formula>
    </cfRule>
    <cfRule type="notContainsBlanks" dxfId="3078" priority="190" stopIfTrue="1">
      <formula>LEN(TRIM(E53))&gt;0</formula>
    </cfRule>
  </conditionalFormatting>
  <conditionalFormatting sqref="E54:AK54">
    <cfRule type="containsBlanks" dxfId="3077" priority="191" stopIfTrue="1">
      <formula>LEN(TRIM(E54))=0</formula>
    </cfRule>
    <cfRule type="notContainsBlanks" dxfId="3076" priority="192" stopIfTrue="1">
      <formula>LEN(TRIM(E54))&gt;0</formula>
    </cfRule>
  </conditionalFormatting>
  <conditionalFormatting sqref="E55:AK55">
    <cfRule type="containsBlanks" dxfId="3075" priority="193" stopIfTrue="1">
      <formula>LEN(TRIM(E55))=0</formula>
    </cfRule>
    <cfRule type="notContainsBlanks" dxfId="3074" priority="194" stopIfTrue="1">
      <formula>LEN(TRIM(E55))&gt;0</formula>
    </cfRule>
  </conditionalFormatting>
  <conditionalFormatting sqref="E56:AK56">
    <cfRule type="containsBlanks" dxfId="3073" priority="195" stopIfTrue="1">
      <formula>LEN(TRIM(E56))=0</formula>
    </cfRule>
    <cfRule type="notContainsBlanks" dxfId="3072" priority="196" stopIfTrue="1">
      <formula>LEN(TRIM(E56))&gt;0</formula>
    </cfRule>
  </conditionalFormatting>
  <conditionalFormatting sqref="E41:E47">
    <cfRule type="containsBlanks" dxfId="3071" priority="211" stopIfTrue="1">
      <formula>LEN(TRIM(E41))=0</formula>
    </cfRule>
    <cfRule type="expression" dxfId="3070" priority="212" stopIfTrue="1">
      <formula>SUM($E$41:$E$47)&lt;&gt;1</formula>
    </cfRule>
    <cfRule type="notContainsBlanks" dxfId="3069" priority="213" stopIfTrue="1">
      <formula>LEN(TRIM(E41))&gt;0</formula>
    </cfRule>
  </conditionalFormatting>
  <conditionalFormatting sqref="F41:F47">
    <cfRule type="containsBlanks" dxfId="3068" priority="214" stopIfTrue="1">
      <formula>LEN(TRIM(F41))=0</formula>
    </cfRule>
    <cfRule type="expression" dxfId="3067" priority="215" stopIfTrue="1">
      <formula>SUM($F$41:$F$47)&lt;&gt;1</formula>
    </cfRule>
    <cfRule type="notContainsBlanks" dxfId="3066" priority="216" stopIfTrue="1">
      <formula>LEN(TRIM(F41))&gt;0</formula>
    </cfRule>
  </conditionalFormatting>
  <conditionalFormatting sqref="G41:G47">
    <cfRule type="containsBlanks" dxfId="3065" priority="217" stopIfTrue="1">
      <formula>LEN(TRIM(G41))=0</formula>
    </cfRule>
    <cfRule type="expression" dxfId="3064" priority="218" stopIfTrue="1">
      <formula>SUM($G$41:$G$47)&lt;&gt;1</formula>
    </cfRule>
    <cfRule type="notContainsBlanks" dxfId="3063" priority="219" stopIfTrue="1">
      <formula>LEN(TRIM(G41))&gt;0</formula>
    </cfRule>
  </conditionalFormatting>
  <conditionalFormatting sqref="H41:H47">
    <cfRule type="containsBlanks" dxfId="3062" priority="220" stopIfTrue="1">
      <formula>LEN(TRIM(H41))=0</formula>
    </cfRule>
    <cfRule type="expression" dxfId="3061" priority="221" stopIfTrue="1">
      <formula>SUM($H$41:$H$47)&lt;&gt;1</formula>
    </cfRule>
    <cfRule type="notContainsBlanks" dxfId="3060" priority="222" stopIfTrue="1">
      <formula>LEN(TRIM(H41))&gt;0</formula>
    </cfRule>
  </conditionalFormatting>
  <conditionalFormatting sqref="I41:I47">
    <cfRule type="containsBlanks" dxfId="3059" priority="223" stopIfTrue="1">
      <formula>LEN(TRIM(I41))=0</formula>
    </cfRule>
    <cfRule type="expression" dxfId="3058" priority="224" stopIfTrue="1">
      <formula>SUM($I$41:$I$47)&lt;&gt;1</formula>
    </cfRule>
    <cfRule type="notContainsBlanks" dxfId="3057" priority="225" stopIfTrue="1">
      <formula>LEN(TRIM(I41))&gt;0</formula>
    </cfRule>
  </conditionalFormatting>
  <conditionalFormatting sqref="J41:J47">
    <cfRule type="containsBlanks" dxfId="3056" priority="226" stopIfTrue="1">
      <formula>LEN(TRIM(J41))=0</formula>
    </cfRule>
    <cfRule type="expression" dxfId="3055" priority="227" stopIfTrue="1">
      <formula>SUM($J$41:$J$47)&lt;&gt;1</formula>
    </cfRule>
    <cfRule type="notContainsBlanks" dxfId="3054" priority="228" stopIfTrue="1">
      <formula>LEN(TRIM(J41))&gt;0</formula>
    </cfRule>
  </conditionalFormatting>
  <conditionalFormatting sqref="K41:K47">
    <cfRule type="containsBlanks" dxfId="3053" priority="229" stopIfTrue="1">
      <formula>LEN(TRIM(K41))=0</formula>
    </cfRule>
    <cfRule type="expression" dxfId="3052" priority="230" stopIfTrue="1">
      <formula>SUM($K$41:$K$47)&lt;&gt;1</formula>
    </cfRule>
    <cfRule type="notContainsBlanks" dxfId="3051" priority="231" stopIfTrue="1">
      <formula>LEN(TRIM(K41))&gt;0</formula>
    </cfRule>
  </conditionalFormatting>
  <conditionalFormatting sqref="L41:L47">
    <cfRule type="containsBlanks" dxfId="3050" priority="232" stopIfTrue="1">
      <formula>LEN(TRIM(L41))=0</formula>
    </cfRule>
    <cfRule type="expression" dxfId="3049" priority="233" stopIfTrue="1">
      <formula>SUM($L$41:$L$47)&lt;&gt;1</formula>
    </cfRule>
    <cfRule type="notContainsBlanks" dxfId="3048" priority="234" stopIfTrue="1">
      <formula>LEN(TRIM(L41))&gt;0</formula>
    </cfRule>
  </conditionalFormatting>
  <conditionalFormatting sqref="M41:M47">
    <cfRule type="containsBlanks" dxfId="3047" priority="235" stopIfTrue="1">
      <formula>LEN(TRIM(M41))=0</formula>
    </cfRule>
    <cfRule type="expression" dxfId="3046" priority="236" stopIfTrue="1">
      <formula>SUM($M$41:$M$47)&lt;&gt;1</formula>
    </cfRule>
    <cfRule type="notContainsBlanks" dxfId="3045" priority="237" stopIfTrue="1">
      <formula>LEN(TRIM(M41))&gt;0</formula>
    </cfRule>
  </conditionalFormatting>
  <conditionalFormatting sqref="N41:N47">
    <cfRule type="containsBlanks" dxfId="3044" priority="238" stopIfTrue="1">
      <formula>LEN(TRIM(N41))=0</formula>
    </cfRule>
    <cfRule type="expression" dxfId="3043" priority="239" stopIfTrue="1">
      <formula>SUM($N$41:$N$47)&lt;&gt;1</formula>
    </cfRule>
    <cfRule type="notContainsBlanks" dxfId="3042" priority="240" stopIfTrue="1">
      <formula>LEN(TRIM(N41))&gt;0</formula>
    </cfRule>
  </conditionalFormatting>
  <conditionalFormatting sqref="O41:O47">
    <cfRule type="containsBlanks" dxfId="3041" priority="241" stopIfTrue="1">
      <formula>LEN(TRIM(O41))=0</formula>
    </cfRule>
    <cfRule type="expression" dxfId="3040" priority="242" stopIfTrue="1">
      <formula>SUM($O$41:$O$47)&lt;&gt;1</formula>
    </cfRule>
    <cfRule type="notContainsBlanks" dxfId="3039" priority="243" stopIfTrue="1">
      <formula>LEN(TRIM(O41))&gt;0</formula>
    </cfRule>
  </conditionalFormatting>
  <conditionalFormatting sqref="P41:P47">
    <cfRule type="containsBlanks" dxfId="3038" priority="244" stopIfTrue="1">
      <formula>LEN(TRIM(P41))=0</formula>
    </cfRule>
    <cfRule type="expression" dxfId="3037" priority="245" stopIfTrue="1">
      <formula>SUM($P$41:$P$47)&lt;&gt;1</formula>
    </cfRule>
    <cfRule type="notContainsBlanks" dxfId="3036" priority="246" stopIfTrue="1">
      <formula>LEN(TRIM(P41))&gt;0</formula>
    </cfRule>
  </conditionalFormatting>
  <conditionalFormatting sqref="Q41:Q47">
    <cfRule type="containsBlanks" dxfId="3035" priority="247" stopIfTrue="1">
      <formula>LEN(TRIM(Q41))=0</formula>
    </cfRule>
    <cfRule type="expression" dxfId="3034" priority="248" stopIfTrue="1">
      <formula>SUM($Q$41:$Q$47)&lt;&gt;1</formula>
    </cfRule>
    <cfRule type="notContainsBlanks" dxfId="3033" priority="249" stopIfTrue="1">
      <formula>LEN(TRIM(Q41))&gt;0</formula>
    </cfRule>
  </conditionalFormatting>
  <conditionalFormatting sqref="R41:R47">
    <cfRule type="containsBlanks" dxfId="3032" priority="250" stopIfTrue="1">
      <formula>LEN(TRIM(R41))=0</formula>
    </cfRule>
  </conditionalFormatting>
  <conditionalFormatting sqref="R41:R47">
    <cfRule type="expression" dxfId="3031" priority="251" stopIfTrue="1">
      <formula>SUM($R$41:$R$47)&lt;&gt;1</formula>
    </cfRule>
  </conditionalFormatting>
  <conditionalFormatting sqref="R41:R47">
    <cfRule type="notContainsBlanks" dxfId="3030" priority="252" stopIfTrue="1">
      <formula>LEN(TRIM(R41))&gt;0</formula>
    </cfRule>
  </conditionalFormatting>
  <conditionalFormatting sqref="S41:S47">
    <cfRule type="containsBlanks" dxfId="3029" priority="253" stopIfTrue="1">
      <formula>LEN(TRIM(S41))=0</formula>
    </cfRule>
  </conditionalFormatting>
  <conditionalFormatting sqref="S41:S47">
    <cfRule type="expression" dxfId="3028" priority="254" stopIfTrue="1">
      <formula>SUM($S$41:$S$47)&lt;&gt;1</formula>
    </cfRule>
  </conditionalFormatting>
  <conditionalFormatting sqref="S41:S47">
    <cfRule type="notContainsBlanks" dxfId="3027" priority="255" stopIfTrue="1">
      <formula>LEN(TRIM(S41))&gt;0</formula>
    </cfRule>
  </conditionalFormatting>
  <conditionalFormatting sqref="T41:T47">
    <cfRule type="containsBlanks" dxfId="3026" priority="256" stopIfTrue="1">
      <formula>LEN(TRIM(T41))=0</formula>
    </cfRule>
  </conditionalFormatting>
  <conditionalFormatting sqref="T41:T47">
    <cfRule type="expression" dxfId="3025" priority="257" stopIfTrue="1">
      <formula>SUM($T$41:$T$47)&lt;&gt;1</formula>
    </cfRule>
  </conditionalFormatting>
  <conditionalFormatting sqref="T41:T47">
    <cfRule type="notContainsBlanks" dxfId="3024" priority="258" stopIfTrue="1">
      <formula>LEN(TRIM(T41))&gt;0</formula>
    </cfRule>
  </conditionalFormatting>
  <conditionalFormatting sqref="U41:U47">
    <cfRule type="containsBlanks" dxfId="3023" priority="259" stopIfTrue="1">
      <formula>LEN(TRIM(U41))=0</formula>
    </cfRule>
  </conditionalFormatting>
  <conditionalFormatting sqref="U41:U47">
    <cfRule type="expression" dxfId="3022" priority="260" stopIfTrue="1">
      <formula>SUM($U$41:$U$47)&lt;&gt;1</formula>
    </cfRule>
  </conditionalFormatting>
  <conditionalFormatting sqref="U41:U47">
    <cfRule type="notContainsBlanks" dxfId="3021" priority="261" stopIfTrue="1">
      <formula>LEN(TRIM(U41))&gt;0</formula>
    </cfRule>
  </conditionalFormatting>
  <conditionalFormatting sqref="V41:V47">
    <cfRule type="containsBlanks" dxfId="3020" priority="262" stopIfTrue="1">
      <formula>LEN(TRIM(V41))=0</formula>
    </cfRule>
  </conditionalFormatting>
  <conditionalFormatting sqref="V41:V47">
    <cfRule type="expression" dxfId="3019" priority="263" stopIfTrue="1">
      <formula>SUM($V$41:$V$47)&lt;&gt;1</formula>
    </cfRule>
  </conditionalFormatting>
  <conditionalFormatting sqref="V41:V47">
    <cfRule type="notContainsBlanks" dxfId="3018" priority="264" stopIfTrue="1">
      <formula>LEN(TRIM(V41))&gt;0</formula>
    </cfRule>
  </conditionalFormatting>
  <conditionalFormatting sqref="W41:W47">
    <cfRule type="containsBlanks" dxfId="3017" priority="265" stopIfTrue="1">
      <formula>LEN(TRIM(W41))=0</formula>
    </cfRule>
  </conditionalFormatting>
  <conditionalFormatting sqref="W41:W47">
    <cfRule type="expression" dxfId="3016" priority="266" stopIfTrue="1">
      <formula>SUM($W$41:$W$47)&lt;&gt;1</formula>
    </cfRule>
  </conditionalFormatting>
  <conditionalFormatting sqref="W41:W47">
    <cfRule type="notContainsBlanks" dxfId="3015" priority="267" stopIfTrue="1">
      <formula>LEN(TRIM(W41))&gt;0</formula>
    </cfRule>
  </conditionalFormatting>
  <conditionalFormatting sqref="X41:X47">
    <cfRule type="containsBlanks" dxfId="3014" priority="268" stopIfTrue="1">
      <formula>LEN(TRIM(X41))=0</formula>
    </cfRule>
  </conditionalFormatting>
  <conditionalFormatting sqref="X41:X47">
    <cfRule type="expression" dxfId="3013" priority="269" stopIfTrue="1">
      <formula>SUM($X$41:$X$47)&lt;&gt;1</formula>
    </cfRule>
  </conditionalFormatting>
  <conditionalFormatting sqref="X41:X47">
    <cfRule type="notContainsBlanks" dxfId="3012" priority="270" stopIfTrue="1">
      <formula>LEN(TRIM(X41))&gt;0</formula>
    </cfRule>
  </conditionalFormatting>
  <conditionalFormatting sqref="Y41:Y47">
    <cfRule type="containsBlanks" dxfId="3011" priority="271" stopIfTrue="1">
      <formula>LEN(TRIM(Y41))=0</formula>
    </cfRule>
  </conditionalFormatting>
  <conditionalFormatting sqref="Y41:Y47">
    <cfRule type="expression" dxfId="3010" priority="272" stopIfTrue="1">
      <formula>SUM($Y$41:$Y$47)&lt;&gt;1</formula>
    </cfRule>
  </conditionalFormatting>
  <conditionalFormatting sqref="Y41:Y47">
    <cfRule type="notContainsBlanks" dxfId="3009" priority="273" stopIfTrue="1">
      <formula>LEN(TRIM(Y41))&gt;0</formula>
    </cfRule>
  </conditionalFormatting>
  <conditionalFormatting sqref="Z41:Z47">
    <cfRule type="containsBlanks" dxfId="3008" priority="274" stopIfTrue="1">
      <formula>LEN(TRIM(Z41))=0</formula>
    </cfRule>
  </conditionalFormatting>
  <conditionalFormatting sqref="Z41:Z47">
    <cfRule type="expression" dxfId="3007" priority="275" stopIfTrue="1">
      <formula>SUM($Z$41:$Z$47)&lt;&gt;1</formula>
    </cfRule>
  </conditionalFormatting>
  <conditionalFormatting sqref="Z41:Z47">
    <cfRule type="notContainsBlanks" dxfId="3006" priority="276" stopIfTrue="1">
      <formula>LEN(TRIM(Z41))&gt;0</formula>
    </cfRule>
  </conditionalFormatting>
  <conditionalFormatting sqref="AA41:AA47">
    <cfRule type="containsBlanks" dxfId="3005" priority="277" stopIfTrue="1">
      <formula>LEN(TRIM(AA41))=0</formula>
    </cfRule>
  </conditionalFormatting>
  <conditionalFormatting sqref="AA41:AA47">
    <cfRule type="expression" dxfId="3004" priority="278" stopIfTrue="1">
      <formula>SUM($AA$41:$AA$47)&lt;&gt;1</formula>
    </cfRule>
  </conditionalFormatting>
  <conditionalFormatting sqref="AA41:AA47">
    <cfRule type="notContainsBlanks" dxfId="3003" priority="279" stopIfTrue="1">
      <formula>LEN(TRIM(AA41))&gt;0</formula>
    </cfRule>
  </conditionalFormatting>
  <conditionalFormatting sqref="AB41:AB47">
    <cfRule type="containsBlanks" dxfId="3002" priority="280" stopIfTrue="1">
      <formula>LEN(TRIM(AB41))=0</formula>
    </cfRule>
  </conditionalFormatting>
  <conditionalFormatting sqref="AB41:AB47">
    <cfRule type="expression" dxfId="3001" priority="281" stopIfTrue="1">
      <formula>SUM($AB$41:$AB$47)&lt;&gt;1</formula>
    </cfRule>
  </conditionalFormatting>
  <conditionalFormatting sqref="AB41:AB47">
    <cfRule type="notContainsBlanks" dxfId="3000" priority="282" stopIfTrue="1">
      <formula>LEN(TRIM(AB41))&gt;0</formula>
    </cfRule>
  </conditionalFormatting>
  <conditionalFormatting sqref="AC41:AC47">
    <cfRule type="containsBlanks" dxfId="2999" priority="283" stopIfTrue="1">
      <formula>LEN(TRIM(AC41))=0</formula>
    </cfRule>
  </conditionalFormatting>
  <conditionalFormatting sqref="AC41:AC47">
    <cfRule type="expression" dxfId="2998" priority="284" stopIfTrue="1">
      <formula>SUM($AC$41:$AC$47)&lt;&gt;1</formula>
    </cfRule>
  </conditionalFormatting>
  <conditionalFormatting sqref="AC41:AC47">
    <cfRule type="notContainsBlanks" dxfId="2997" priority="285" stopIfTrue="1">
      <formula>LEN(TRIM(AC41))&gt;0</formula>
    </cfRule>
  </conditionalFormatting>
  <conditionalFormatting sqref="AD41:AD47">
    <cfRule type="containsBlanks" dxfId="2996" priority="286" stopIfTrue="1">
      <formula>LEN(TRIM(AD41))=0</formula>
    </cfRule>
  </conditionalFormatting>
  <conditionalFormatting sqref="AD41:AD47">
    <cfRule type="expression" dxfId="2995" priority="287" stopIfTrue="1">
      <formula>SUM($AD$41:$AD$47)&lt;&gt;1</formula>
    </cfRule>
  </conditionalFormatting>
  <conditionalFormatting sqref="AD41:AD47">
    <cfRule type="notContainsBlanks" dxfId="2994" priority="288" stopIfTrue="1">
      <formula>LEN(TRIM(AD41))&gt;0</formula>
    </cfRule>
  </conditionalFormatting>
  <conditionalFormatting sqref="AE41:AE47">
    <cfRule type="containsBlanks" dxfId="2993" priority="289" stopIfTrue="1">
      <formula>LEN(TRIM(AE41))=0</formula>
    </cfRule>
  </conditionalFormatting>
  <conditionalFormatting sqref="AE41:AE47">
    <cfRule type="expression" dxfId="2992" priority="290" stopIfTrue="1">
      <formula>SUM($AE$41:$AE$47)&lt;&gt;1</formula>
    </cfRule>
  </conditionalFormatting>
  <conditionalFormatting sqref="AE41:AE47">
    <cfRule type="notContainsBlanks" dxfId="2991" priority="291" stopIfTrue="1">
      <formula>LEN(TRIM(AE41))&gt;0</formula>
    </cfRule>
  </conditionalFormatting>
  <conditionalFormatting sqref="AF41:AF47">
    <cfRule type="containsBlanks" dxfId="2990" priority="292" stopIfTrue="1">
      <formula>LEN(TRIM(AF41))=0</formula>
    </cfRule>
  </conditionalFormatting>
  <conditionalFormatting sqref="AF41:AF47">
    <cfRule type="expression" dxfId="2989" priority="293" stopIfTrue="1">
      <formula>SUM($AF$41:$AF$47)&lt;&gt;1</formula>
    </cfRule>
  </conditionalFormatting>
  <conditionalFormatting sqref="AF41:AF47">
    <cfRule type="notContainsBlanks" dxfId="2988" priority="294" stopIfTrue="1">
      <formula>LEN(TRIM(AF41))&gt;0</formula>
    </cfRule>
  </conditionalFormatting>
  <conditionalFormatting sqref="AG41:AG47">
    <cfRule type="containsBlanks" dxfId="2987" priority="295" stopIfTrue="1">
      <formula>LEN(TRIM(AG41))=0</formula>
    </cfRule>
  </conditionalFormatting>
  <conditionalFormatting sqref="AG41:AG47">
    <cfRule type="expression" dxfId="2986" priority="296" stopIfTrue="1">
      <formula>SUM($AG$41:$AG$47)&lt;&gt;1</formula>
    </cfRule>
  </conditionalFormatting>
  <conditionalFormatting sqref="AG41:AG47">
    <cfRule type="notContainsBlanks" dxfId="2985" priority="297" stopIfTrue="1">
      <formula>LEN(TRIM(AG41))&gt;0</formula>
    </cfRule>
  </conditionalFormatting>
  <conditionalFormatting sqref="AH41:AH47">
    <cfRule type="containsBlanks" dxfId="2984" priority="298" stopIfTrue="1">
      <formula>LEN(TRIM(AH41))=0</formula>
    </cfRule>
  </conditionalFormatting>
  <conditionalFormatting sqref="AH41:AH47">
    <cfRule type="expression" dxfId="2983" priority="299" stopIfTrue="1">
      <formula>SUM($AH$41:$AH$47)&lt;&gt;1</formula>
    </cfRule>
  </conditionalFormatting>
  <conditionalFormatting sqref="AH41:AH47">
    <cfRule type="notContainsBlanks" dxfId="2982" priority="300" stopIfTrue="1">
      <formula>LEN(TRIM(AH41))&gt;0</formula>
    </cfRule>
  </conditionalFormatting>
  <conditionalFormatting sqref="AI41:AI47">
    <cfRule type="containsBlanks" dxfId="2981" priority="301" stopIfTrue="1">
      <formula>LEN(TRIM(AI41))=0</formula>
    </cfRule>
  </conditionalFormatting>
  <conditionalFormatting sqref="AI41:AI47">
    <cfRule type="expression" dxfId="2980" priority="302" stopIfTrue="1">
      <formula>SUM($AI$41:$AI$47)&lt;&gt;1</formula>
    </cfRule>
  </conditionalFormatting>
  <conditionalFormatting sqref="AI41:AI47">
    <cfRule type="notContainsBlanks" dxfId="2979" priority="303" stopIfTrue="1">
      <formula>LEN(TRIM(AI41))&gt;0</formula>
    </cfRule>
  </conditionalFormatting>
  <conditionalFormatting sqref="AJ41:AJ47">
    <cfRule type="containsBlanks" dxfId="2978" priority="304" stopIfTrue="1">
      <formula>LEN(TRIM(AJ41))=0</formula>
    </cfRule>
  </conditionalFormatting>
  <conditionalFormatting sqref="AJ41:AJ47">
    <cfRule type="expression" dxfId="2977" priority="305" stopIfTrue="1">
      <formula>SUM($AJ$41:$AJ$47)&lt;&gt;1</formula>
    </cfRule>
  </conditionalFormatting>
  <conditionalFormatting sqref="AJ41:AJ47">
    <cfRule type="notContainsBlanks" dxfId="2976" priority="306" stopIfTrue="1">
      <formula>LEN(TRIM(AJ41))&gt;0</formula>
    </cfRule>
  </conditionalFormatting>
  <conditionalFormatting sqref="AK41:AK47">
    <cfRule type="containsBlanks" dxfId="2975" priority="307" stopIfTrue="1">
      <formula>LEN(TRIM(AK41))=0</formula>
    </cfRule>
  </conditionalFormatting>
  <conditionalFormatting sqref="AK41:AK47">
    <cfRule type="expression" dxfId="2974" priority="308" stopIfTrue="1">
      <formula>SUM($AK$41:$AK$47)&lt;&gt;1</formula>
    </cfRule>
  </conditionalFormatting>
  <conditionalFormatting sqref="AK41:AK47">
    <cfRule type="notContainsBlanks" dxfId="2973" priority="309" stopIfTrue="1">
      <formula>LEN(TRIM(AK41))&gt;0</formula>
    </cfRule>
  </conditionalFormatting>
  <conditionalFormatting sqref="E32:E38">
    <cfRule type="containsBlanks" dxfId="2972" priority="324" stopIfTrue="1">
      <formula>LEN(TRIM(E32))=0</formula>
    </cfRule>
    <cfRule type="expression" dxfId="2971" priority="325" stopIfTrue="1">
      <formula>SUM($E$32:$E$38)&lt;&gt;1</formula>
    </cfRule>
    <cfRule type="notContainsBlanks" dxfId="2970" priority="326" stopIfTrue="1">
      <formula>LEN(TRIM(E32))&gt;0</formula>
    </cfRule>
  </conditionalFormatting>
  <conditionalFormatting sqref="F32:F38">
    <cfRule type="containsBlanks" dxfId="2969" priority="327" stopIfTrue="1">
      <formula>LEN(TRIM(F32))=0</formula>
    </cfRule>
    <cfRule type="expression" dxfId="2968" priority="328" stopIfTrue="1">
      <formula>SUM($F$32:$F$38)&lt;&gt;1</formula>
    </cfRule>
    <cfRule type="notContainsBlanks" dxfId="2967" priority="329" stopIfTrue="1">
      <formula>LEN(TRIM(F32))&gt;0</formula>
    </cfRule>
  </conditionalFormatting>
  <conditionalFormatting sqref="G32:G38">
    <cfRule type="containsBlanks" dxfId="2966" priority="330" stopIfTrue="1">
      <formula>LEN(TRIM(G32))=0</formula>
    </cfRule>
    <cfRule type="expression" dxfId="2965" priority="331" stopIfTrue="1">
      <formula>SUM($G$32:$G$38)&lt;&gt;1</formula>
    </cfRule>
    <cfRule type="notContainsBlanks" dxfId="2964" priority="332" stopIfTrue="1">
      <formula>LEN(TRIM(G32))&gt;0</formula>
    </cfRule>
  </conditionalFormatting>
  <conditionalFormatting sqref="H32:H38">
    <cfRule type="containsBlanks" dxfId="2963" priority="333" stopIfTrue="1">
      <formula>LEN(TRIM(H32))=0</formula>
    </cfRule>
    <cfRule type="expression" dxfId="2962" priority="334" stopIfTrue="1">
      <formula>SUM($H$32:$H$38)&lt;&gt;1</formula>
    </cfRule>
    <cfRule type="notContainsBlanks" dxfId="2961" priority="335" stopIfTrue="1">
      <formula>LEN(TRIM(H32))&gt;0</formula>
    </cfRule>
  </conditionalFormatting>
  <conditionalFormatting sqref="I32:I38">
    <cfRule type="containsBlanks" dxfId="2960" priority="336" stopIfTrue="1">
      <formula>LEN(TRIM(I32))=0</formula>
    </cfRule>
    <cfRule type="expression" dxfId="2959" priority="337" stopIfTrue="1">
      <formula>SUM($I$32:$I$38)&lt;&gt;1</formula>
    </cfRule>
    <cfRule type="notContainsBlanks" dxfId="2958" priority="338" stopIfTrue="1">
      <formula>LEN(TRIM(I32))&gt;0</formula>
    </cfRule>
  </conditionalFormatting>
  <conditionalFormatting sqref="J32:J38">
    <cfRule type="containsBlanks" dxfId="2957" priority="339" stopIfTrue="1">
      <formula>LEN(TRIM(J32))=0</formula>
    </cfRule>
    <cfRule type="expression" dxfId="2956" priority="340" stopIfTrue="1">
      <formula>SUM($J$32:$J$38)&lt;&gt;1</formula>
    </cfRule>
    <cfRule type="notContainsBlanks" dxfId="2955" priority="341" stopIfTrue="1">
      <formula>LEN(TRIM(J32))&gt;0</formula>
    </cfRule>
  </conditionalFormatting>
  <conditionalFormatting sqref="K32:K38">
    <cfRule type="containsBlanks" dxfId="2954" priority="342" stopIfTrue="1">
      <formula>LEN(TRIM(K32))=0</formula>
    </cfRule>
  </conditionalFormatting>
  <conditionalFormatting sqref="K32:K38">
    <cfRule type="expression" dxfId="2953" priority="343" stopIfTrue="1">
      <formula>SUM($K$32:$K$38)&lt;&gt;1</formula>
    </cfRule>
  </conditionalFormatting>
  <conditionalFormatting sqref="K32:K38">
    <cfRule type="notContainsBlanks" dxfId="2952" priority="344" stopIfTrue="1">
      <formula>LEN(TRIM(K32))&gt;0</formula>
    </cfRule>
  </conditionalFormatting>
  <conditionalFormatting sqref="L32:L38">
    <cfRule type="containsBlanks" dxfId="2951" priority="345" stopIfTrue="1">
      <formula>LEN(TRIM(L32))=0</formula>
    </cfRule>
  </conditionalFormatting>
  <conditionalFormatting sqref="L32:L38">
    <cfRule type="expression" dxfId="2950" priority="346" stopIfTrue="1">
      <formula>SUM($L$32:$L$38)&lt;&gt;1</formula>
    </cfRule>
  </conditionalFormatting>
  <conditionalFormatting sqref="L32:L38">
    <cfRule type="notContainsBlanks" dxfId="2949" priority="347" stopIfTrue="1">
      <formula>LEN(TRIM(L32))&gt;0</formula>
    </cfRule>
  </conditionalFormatting>
  <conditionalFormatting sqref="M32:M38">
    <cfRule type="containsBlanks" dxfId="2948" priority="348" stopIfTrue="1">
      <formula>LEN(TRIM(M32))=0</formula>
    </cfRule>
  </conditionalFormatting>
  <conditionalFormatting sqref="M32:M38">
    <cfRule type="expression" dxfId="2947" priority="349" stopIfTrue="1">
      <formula>SUM($M$32:$M$38)&lt;&gt;1</formula>
    </cfRule>
  </conditionalFormatting>
  <conditionalFormatting sqref="M32:M38">
    <cfRule type="notContainsBlanks" dxfId="2946" priority="350" stopIfTrue="1">
      <formula>LEN(TRIM(M32))&gt;0</formula>
    </cfRule>
  </conditionalFormatting>
  <conditionalFormatting sqref="N32:N38">
    <cfRule type="containsBlanks" dxfId="2945" priority="351" stopIfTrue="1">
      <formula>LEN(TRIM(N32))=0</formula>
    </cfRule>
  </conditionalFormatting>
  <conditionalFormatting sqref="N32:N38">
    <cfRule type="expression" dxfId="2944" priority="352" stopIfTrue="1">
      <formula>SUM($N$32:$N$38)&lt;&gt;1</formula>
    </cfRule>
  </conditionalFormatting>
  <conditionalFormatting sqref="N32:N38">
    <cfRule type="notContainsBlanks" dxfId="2943" priority="353" stopIfTrue="1">
      <formula>LEN(TRIM(N32))&gt;0</formula>
    </cfRule>
  </conditionalFormatting>
  <conditionalFormatting sqref="O32:O38">
    <cfRule type="containsBlanks" dxfId="2942" priority="354" stopIfTrue="1">
      <formula>LEN(TRIM(O32))=0</formula>
    </cfRule>
  </conditionalFormatting>
  <conditionalFormatting sqref="O32:O38">
    <cfRule type="expression" dxfId="2941" priority="355" stopIfTrue="1">
      <formula>SUM($O$32:$O$38)&lt;&gt;1</formula>
    </cfRule>
  </conditionalFormatting>
  <conditionalFormatting sqref="O32:O38">
    <cfRule type="notContainsBlanks" dxfId="2940" priority="356" stopIfTrue="1">
      <formula>LEN(TRIM(O32))&gt;0</formula>
    </cfRule>
  </conditionalFormatting>
  <conditionalFormatting sqref="P32:P38">
    <cfRule type="containsBlanks" dxfId="2939" priority="357" stopIfTrue="1">
      <formula>LEN(TRIM(P32))=0</formula>
    </cfRule>
  </conditionalFormatting>
  <conditionalFormatting sqref="P32:P38">
    <cfRule type="expression" dxfId="2938" priority="358" stopIfTrue="1">
      <formula>SUM($P$32:$P$38)&lt;&gt;1</formula>
    </cfRule>
  </conditionalFormatting>
  <conditionalFormatting sqref="P32:P38">
    <cfRule type="notContainsBlanks" dxfId="2937" priority="359" stopIfTrue="1">
      <formula>LEN(TRIM(P32))&gt;0</formula>
    </cfRule>
  </conditionalFormatting>
  <conditionalFormatting sqref="Q32:Q38">
    <cfRule type="containsBlanks" dxfId="2936" priority="360" stopIfTrue="1">
      <formula>LEN(TRIM(Q32))=0</formula>
    </cfRule>
  </conditionalFormatting>
  <conditionalFormatting sqref="Q32:Q38">
    <cfRule type="expression" dxfId="2935" priority="361" stopIfTrue="1">
      <formula>SUM($Q$32:$Q$38)&lt;&gt;1</formula>
    </cfRule>
  </conditionalFormatting>
  <conditionalFormatting sqref="Q32:Q38">
    <cfRule type="notContainsBlanks" dxfId="2934" priority="362" stopIfTrue="1">
      <formula>LEN(TRIM(Q32))&gt;0</formula>
    </cfRule>
  </conditionalFormatting>
  <conditionalFormatting sqref="R32:R38">
    <cfRule type="containsBlanks" dxfId="2933" priority="363" stopIfTrue="1">
      <formula>LEN(TRIM(R32))=0</formula>
    </cfRule>
  </conditionalFormatting>
  <conditionalFormatting sqref="R32:R38">
    <cfRule type="expression" dxfId="2932" priority="364" stopIfTrue="1">
      <formula>SUM($R$32:$R$38)&lt;&gt;1</formula>
    </cfRule>
  </conditionalFormatting>
  <conditionalFormatting sqref="R32:R38">
    <cfRule type="notContainsBlanks" dxfId="2931" priority="365" stopIfTrue="1">
      <formula>LEN(TRIM(R32))&gt;0</formula>
    </cfRule>
  </conditionalFormatting>
  <conditionalFormatting sqref="S32:S38">
    <cfRule type="containsBlanks" dxfId="2930" priority="366" stopIfTrue="1">
      <formula>LEN(TRIM(S32))=0</formula>
    </cfRule>
  </conditionalFormatting>
  <conditionalFormatting sqref="S32:S38">
    <cfRule type="expression" dxfId="2929" priority="367" stopIfTrue="1">
      <formula>SUM($S$32:$S$38)&lt;&gt;1</formula>
    </cfRule>
  </conditionalFormatting>
  <conditionalFormatting sqref="S32:S38">
    <cfRule type="notContainsBlanks" dxfId="2928" priority="368" stopIfTrue="1">
      <formula>LEN(TRIM(S32))&gt;0</formula>
    </cfRule>
  </conditionalFormatting>
  <conditionalFormatting sqref="T32:T38">
    <cfRule type="containsBlanks" dxfId="2927" priority="369" stopIfTrue="1">
      <formula>LEN(TRIM(T32))=0</formula>
    </cfRule>
  </conditionalFormatting>
  <conditionalFormatting sqref="T32:T38">
    <cfRule type="expression" dxfId="2926" priority="370" stopIfTrue="1">
      <formula>SUM($T$32:$T$38)&lt;&gt;1</formula>
    </cfRule>
  </conditionalFormatting>
  <conditionalFormatting sqref="T32:T38">
    <cfRule type="notContainsBlanks" dxfId="2925" priority="371" stopIfTrue="1">
      <formula>LEN(TRIM(T32))&gt;0</formula>
    </cfRule>
  </conditionalFormatting>
  <conditionalFormatting sqref="U32:U38">
    <cfRule type="containsBlanks" dxfId="2924" priority="372" stopIfTrue="1">
      <formula>LEN(TRIM(U32))=0</formula>
    </cfRule>
  </conditionalFormatting>
  <conditionalFormatting sqref="U32:U38">
    <cfRule type="expression" dxfId="2923" priority="373" stopIfTrue="1">
      <formula>SUM($U$32:$U$38)&lt;&gt;1</formula>
    </cfRule>
  </conditionalFormatting>
  <conditionalFormatting sqref="U32:U38">
    <cfRule type="notContainsBlanks" dxfId="2922" priority="374" stopIfTrue="1">
      <formula>LEN(TRIM(U32))&gt;0</formula>
    </cfRule>
  </conditionalFormatting>
  <conditionalFormatting sqref="V32:V38">
    <cfRule type="containsBlanks" dxfId="2921" priority="375" stopIfTrue="1">
      <formula>LEN(TRIM(V32))=0</formula>
    </cfRule>
  </conditionalFormatting>
  <conditionalFormatting sqref="V32:V38">
    <cfRule type="expression" dxfId="2920" priority="376" stopIfTrue="1">
      <formula>SUM($V$32:$V$38)&lt;&gt;1</formula>
    </cfRule>
  </conditionalFormatting>
  <conditionalFormatting sqref="V32:V38">
    <cfRule type="notContainsBlanks" dxfId="2919" priority="377" stopIfTrue="1">
      <formula>LEN(TRIM(V32))&gt;0</formula>
    </cfRule>
  </conditionalFormatting>
  <conditionalFormatting sqref="W32:W38">
    <cfRule type="containsBlanks" dxfId="2918" priority="378" stopIfTrue="1">
      <formula>LEN(TRIM(W32))=0</formula>
    </cfRule>
  </conditionalFormatting>
  <conditionalFormatting sqref="W32:W38">
    <cfRule type="expression" dxfId="2917" priority="379" stopIfTrue="1">
      <formula>SUM($W$32:$W$38)&lt;&gt;1</formula>
    </cfRule>
  </conditionalFormatting>
  <conditionalFormatting sqref="W32:W38">
    <cfRule type="notContainsBlanks" dxfId="2916" priority="380" stopIfTrue="1">
      <formula>LEN(TRIM(W32))&gt;0</formula>
    </cfRule>
  </conditionalFormatting>
  <conditionalFormatting sqref="X32:X38">
    <cfRule type="containsBlanks" dxfId="2915" priority="381" stopIfTrue="1">
      <formula>LEN(TRIM(X32))=0</formula>
    </cfRule>
  </conditionalFormatting>
  <conditionalFormatting sqref="X32:X38">
    <cfRule type="expression" dxfId="2914" priority="382" stopIfTrue="1">
      <formula>SUM($X$32:$X$38)&lt;&gt;1</formula>
    </cfRule>
  </conditionalFormatting>
  <conditionalFormatting sqref="X32:X38">
    <cfRule type="notContainsBlanks" dxfId="2913" priority="383" stopIfTrue="1">
      <formula>LEN(TRIM(X32))&gt;0</formula>
    </cfRule>
  </conditionalFormatting>
  <conditionalFormatting sqref="Y32:Y38">
    <cfRule type="containsBlanks" dxfId="2912" priority="384" stopIfTrue="1">
      <formula>LEN(TRIM(Y32))=0</formula>
    </cfRule>
  </conditionalFormatting>
  <conditionalFormatting sqref="Y32:Y38">
    <cfRule type="expression" dxfId="2911" priority="385" stopIfTrue="1">
      <formula>SUM($Y$32:$Y$38)&lt;&gt;1</formula>
    </cfRule>
  </conditionalFormatting>
  <conditionalFormatting sqref="Y32:Y38">
    <cfRule type="notContainsBlanks" dxfId="2910" priority="386" stopIfTrue="1">
      <formula>LEN(TRIM(Y32))&gt;0</formula>
    </cfRule>
  </conditionalFormatting>
  <conditionalFormatting sqref="Z32:Z38">
    <cfRule type="containsBlanks" dxfId="2909" priority="387" stopIfTrue="1">
      <formula>LEN(TRIM(Z32))=0</formula>
    </cfRule>
  </conditionalFormatting>
  <conditionalFormatting sqref="Z32:Z38">
    <cfRule type="expression" dxfId="2908" priority="388" stopIfTrue="1">
      <formula>SUM($Z$32:$Z$38)&lt;&gt;1</formula>
    </cfRule>
  </conditionalFormatting>
  <conditionalFormatting sqref="Z32:Z38">
    <cfRule type="notContainsBlanks" dxfId="2907" priority="389" stopIfTrue="1">
      <formula>LEN(TRIM(Z32))&gt;0</formula>
    </cfRule>
  </conditionalFormatting>
  <conditionalFormatting sqref="AA32:AA38">
    <cfRule type="containsBlanks" dxfId="2906" priority="390" stopIfTrue="1">
      <formula>LEN(TRIM(AA32))=0</formula>
    </cfRule>
  </conditionalFormatting>
  <conditionalFormatting sqref="AA32:AA38">
    <cfRule type="expression" dxfId="2905" priority="391" stopIfTrue="1">
      <formula>SUM($AA$32:$AA$38)&lt;&gt;1</formula>
    </cfRule>
  </conditionalFormatting>
  <conditionalFormatting sqref="AA32:AA38">
    <cfRule type="notContainsBlanks" dxfId="2904" priority="392" stopIfTrue="1">
      <formula>LEN(TRIM(AA32))&gt;0</formula>
    </cfRule>
  </conditionalFormatting>
  <conditionalFormatting sqref="AB32:AB38">
    <cfRule type="containsBlanks" dxfId="2903" priority="393" stopIfTrue="1">
      <formula>LEN(TRIM(AB32))=0</formula>
    </cfRule>
  </conditionalFormatting>
  <conditionalFormatting sqref="AB32:AB38">
    <cfRule type="expression" dxfId="2902" priority="394" stopIfTrue="1">
      <formula>SUM($AB$32:$AB$38)&lt;&gt;1</formula>
    </cfRule>
  </conditionalFormatting>
  <conditionalFormatting sqref="AB32:AB38">
    <cfRule type="notContainsBlanks" dxfId="2901" priority="395" stopIfTrue="1">
      <formula>LEN(TRIM(AB32))&gt;0</formula>
    </cfRule>
  </conditionalFormatting>
  <conditionalFormatting sqref="AC32:AC38">
    <cfRule type="containsBlanks" dxfId="2900" priority="396" stopIfTrue="1">
      <formula>LEN(TRIM(AC32))=0</formula>
    </cfRule>
  </conditionalFormatting>
  <conditionalFormatting sqref="AC32:AC38">
    <cfRule type="expression" dxfId="2899" priority="397" stopIfTrue="1">
      <formula>SUM($AC$32:$AC$38)&lt;&gt;1</formula>
    </cfRule>
  </conditionalFormatting>
  <conditionalFormatting sqref="AC32:AC38">
    <cfRule type="notContainsBlanks" dxfId="2898" priority="398" stopIfTrue="1">
      <formula>LEN(TRIM(AC32))&gt;0</formula>
    </cfRule>
  </conditionalFormatting>
  <conditionalFormatting sqref="AD32:AD38">
    <cfRule type="containsBlanks" dxfId="2897" priority="399" stopIfTrue="1">
      <formula>LEN(TRIM(AD32))=0</formula>
    </cfRule>
  </conditionalFormatting>
  <conditionalFormatting sqref="AD32:AD38">
    <cfRule type="expression" dxfId="2896" priority="400" stopIfTrue="1">
      <formula>SUM($AD$32:$AD$38)&lt;&gt;1</formula>
    </cfRule>
  </conditionalFormatting>
  <conditionalFormatting sqref="AD32:AD38">
    <cfRule type="notContainsBlanks" dxfId="2895" priority="401" stopIfTrue="1">
      <formula>LEN(TRIM(AD32))&gt;0</formula>
    </cfRule>
  </conditionalFormatting>
  <conditionalFormatting sqref="AE32:AE38">
    <cfRule type="containsBlanks" dxfId="2894" priority="402" stopIfTrue="1">
      <formula>LEN(TRIM(AE32))=0</formula>
    </cfRule>
  </conditionalFormatting>
  <conditionalFormatting sqref="AE32:AE38">
    <cfRule type="expression" dxfId="2893" priority="403" stopIfTrue="1">
      <formula>SUM($AE$32:$AE$38)&lt;&gt;1</formula>
    </cfRule>
  </conditionalFormatting>
  <conditionalFormatting sqref="AE32:AE38">
    <cfRule type="notContainsBlanks" dxfId="2892" priority="404" stopIfTrue="1">
      <formula>LEN(TRIM(AE32))&gt;0</formula>
    </cfRule>
  </conditionalFormatting>
  <conditionalFormatting sqref="AF32:AF38">
    <cfRule type="containsBlanks" dxfId="2891" priority="405" stopIfTrue="1">
      <formula>LEN(TRIM(AF32))=0</formula>
    </cfRule>
  </conditionalFormatting>
  <conditionalFormatting sqref="AF32:AF38">
    <cfRule type="expression" dxfId="2890" priority="406" stopIfTrue="1">
      <formula>SUM($AF$32:$AF$38)&lt;&gt;1</formula>
    </cfRule>
  </conditionalFormatting>
  <conditionalFormatting sqref="AF32:AF38">
    <cfRule type="notContainsBlanks" dxfId="2889" priority="407" stopIfTrue="1">
      <formula>LEN(TRIM(AF32))&gt;0</formula>
    </cfRule>
  </conditionalFormatting>
  <conditionalFormatting sqref="AG32:AG38">
    <cfRule type="containsBlanks" dxfId="2888" priority="408" stopIfTrue="1">
      <formula>LEN(TRIM(AG32))=0</formula>
    </cfRule>
  </conditionalFormatting>
  <conditionalFormatting sqref="AG32:AG38">
    <cfRule type="expression" dxfId="2887" priority="409" stopIfTrue="1">
      <formula>SUM($AG$32:$AG$38)&lt;&gt;1</formula>
    </cfRule>
  </conditionalFormatting>
  <conditionalFormatting sqref="AG32:AG38">
    <cfRule type="notContainsBlanks" dxfId="2886" priority="410" stopIfTrue="1">
      <formula>LEN(TRIM(AG32))&gt;0</formula>
    </cfRule>
  </conditionalFormatting>
  <conditionalFormatting sqref="AH32:AH38">
    <cfRule type="containsBlanks" dxfId="2885" priority="411" stopIfTrue="1">
      <formula>LEN(TRIM(AH32))=0</formula>
    </cfRule>
  </conditionalFormatting>
  <conditionalFormatting sqref="AH32:AH38">
    <cfRule type="expression" dxfId="2884" priority="412" stopIfTrue="1">
      <formula>SUM($AH$32:$AH$38)&lt;&gt;1</formula>
    </cfRule>
  </conditionalFormatting>
  <conditionalFormatting sqref="AH32:AH38">
    <cfRule type="notContainsBlanks" dxfId="2883" priority="413" stopIfTrue="1">
      <formula>LEN(TRIM(AH32))&gt;0</formula>
    </cfRule>
  </conditionalFormatting>
  <conditionalFormatting sqref="AI32:AI38">
    <cfRule type="containsBlanks" dxfId="2882" priority="414" stopIfTrue="1">
      <formula>LEN(TRIM(AI32))=0</formula>
    </cfRule>
  </conditionalFormatting>
  <conditionalFormatting sqref="AI32:AI38">
    <cfRule type="expression" dxfId="2881" priority="415" stopIfTrue="1">
      <formula>SUM($AI$32:$AI$38)&lt;&gt;1</formula>
    </cfRule>
  </conditionalFormatting>
  <conditionalFormatting sqref="AI32:AI38">
    <cfRule type="notContainsBlanks" dxfId="2880" priority="416" stopIfTrue="1">
      <formula>LEN(TRIM(AI32))&gt;0</formula>
    </cfRule>
  </conditionalFormatting>
  <conditionalFormatting sqref="AJ32:AJ38">
    <cfRule type="containsBlanks" dxfId="2879" priority="417" stopIfTrue="1">
      <formula>LEN(TRIM(AJ32))=0</formula>
    </cfRule>
  </conditionalFormatting>
  <conditionalFormatting sqref="AJ32:AJ38">
    <cfRule type="expression" dxfId="2878" priority="418" stopIfTrue="1">
      <formula>SUM($AJ$32:$AJ$38)&lt;&gt;1</formula>
    </cfRule>
  </conditionalFormatting>
  <conditionalFormatting sqref="AJ32:AJ38">
    <cfRule type="notContainsBlanks" dxfId="2877" priority="419" stopIfTrue="1">
      <formula>LEN(TRIM(AJ32))&gt;0</formula>
    </cfRule>
  </conditionalFormatting>
  <conditionalFormatting sqref="AK32:AK38">
    <cfRule type="containsBlanks" dxfId="2876" priority="420" stopIfTrue="1">
      <formula>LEN(TRIM(AK32))=0</formula>
    </cfRule>
  </conditionalFormatting>
  <conditionalFormatting sqref="AK32:AK38">
    <cfRule type="expression" dxfId="2875" priority="421" stopIfTrue="1">
      <formula>SUM($AK$32:$AK$38)&lt;&gt;1</formula>
    </cfRule>
  </conditionalFormatting>
  <conditionalFormatting sqref="AK32:AK38">
    <cfRule type="notContainsBlanks" dxfId="2874" priority="422" stopIfTrue="1">
      <formula>LEN(TRIM(AK32))&gt;0</formula>
    </cfRule>
  </conditionalFormatting>
  <conditionalFormatting sqref="E21:AK21">
    <cfRule type="containsBlanks" dxfId="2873" priority="423" stopIfTrue="1">
      <formula>LEN(TRIM(E21))=0</formula>
    </cfRule>
  </conditionalFormatting>
  <conditionalFormatting sqref="E21:AK21">
    <cfRule type="notContainsBlanks" dxfId="2872" priority="424" stopIfTrue="1">
      <formula>LEN(TRIM(E21))&gt;0</formula>
    </cfRule>
  </conditionalFormatting>
  <conditionalFormatting sqref="E22:AK22">
    <cfRule type="containsBlanks" dxfId="2871" priority="425" stopIfTrue="1">
      <formula>LEN(TRIM(E22))=0</formula>
    </cfRule>
  </conditionalFormatting>
  <conditionalFormatting sqref="E22:AK22">
    <cfRule type="notContainsBlanks" dxfId="2870" priority="426" stopIfTrue="1">
      <formula>LEN(TRIM(E22))&gt;0</formula>
    </cfRule>
  </conditionalFormatting>
  <conditionalFormatting sqref="E24:AK24">
    <cfRule type="containsBlanks" dxfId="2869" priority="427" stopIfTrue="1">
      <formula>LEN(TRIM(E24))=0</formula>
    </cfRule>
  </conditionalFormatting>
  <conditionalFormatting sqref="E24:AK24">
    <cfRule type="notContainsBlanks" dxfId="2868" priority="428" stopIfTrue="1">
      <formula>LEN(TRIM(E24))&gt;0</formula>
    </cfRule>
  </conditionalFormatting>
  <conditionalFormatting sqref="E26:AK26">
    <cfRule type="containsBlanks" dxfId="2867" priority="429" stopIfTrue="1">
      <formula>LEN(TRIM(E26))=0</formula>
    </cfRule>
  </conditionalFormatting>
  <conditionalFormatting sqref="E26:AK26">
    <cfRule type="notContainsBlanks" dxfId="2866" priority="430" stopIfTrue="1">
      <formula>LEN(TRIM(E26))&gt;0</formula>
    </cfRule>
  </conditionalFormatting>
  <conditionalFormatting sqref="E27:AK27">
    <cfRule type="containsBlanks" dxfId="2865" priority="431" stopIfTrue="1">
      <formula>LEN(TRIM(E27))=0</formula>
    </cfRule>
  </conditionalFormatting>
  <conditionalFormatting sqref="E27:AK27">
    <cfRule type="notContainsBlanks" dxfId="2864" priority="432" stopIfTrue="1">
      <formula>LEN(TRIM(E27))&gt;0</formula>
    </cfRule>
  </conditionalFormatting>
  <conditionalFormatting sqref="E29:AK29">
    <cfRule type="containsBlanks" dxfId="2863" priority="433" stopIfTrue="1">
      <formula>LEN(TRIM(E29))=0</formula>
    </cfRule>
  </conditionalFormatting>
  <conditionalFormatting sqref="E29:AK29">
    <cfRule type="notContainsBlanks" dxfId="2862" priority="434" stopIfTrue="1">
      <formula>LEN(TRIM(E29))&gt;0</formula>
    </cfRule>
  </conditionalFormatting>
  <conditionalFormatting sqref="E13:AK13">
    <cfRule type="containsBlanks" dxfId="2861" priority="435" stopIfTrue="1">
      <formula>LEN(TRIM(E13))=0</formula>
    </cfRule>
  </conditionalFormatting>
  <conditionalFormatting sqref="E13:AK13">
    <cfRule type="notContainsBlanks" dxfId="2860" priority="436" stopIfTrue="1">
      <formula>LEN(TRIM(E13))&gt;0</formula>
    </cfRule>
  </conditionalFormatting>
  <conditionalFormatting sqref="E14:AK14">
    <cfRule type="containsBlanks" dxfId="2859" priority="437" stopIfTrue="1">
      <formula>LEN(TRIM(E14))=0</formula>
    </cfRule>
  </conditionalFormatting>
  <conditionalFormatting sqref="E14:AK14">
    <cfRule type="notContainsBlanks" dxfId="2858" priority="438" stopIfTrue="1">
      <formula>LEN(TRIM(E14))&gt;0</formula>
    </cfRule>
  </conditionalFormatting>
  <conditionalFormatting sqref="E15:AK15">
    <cfRule type="containsBlanks" dxfId="2857" priority="439" stopIfTrue="1">
      <formula>LEN(TRIM(E15))=0</formula>
    </cfRule>
  </conditionalFormatting>
  <conditionalFormatting sqref="E15:AK15">
    <cfRule type="notContainsBlanks" dxfId="2856" priority="440" stopIfTrue="1">
      <formula>LEN(TRIM(E15))&gt;0</formula>
    </cfRule>
  </conditionalFormatting>
  <conditionalFormatting sqref="E17:AK17">
    <cfRule type="containsBlanks" dxfId="2855" priority="441" stopIfTrue="1">
      <formula>LEN(TRIM(E17))=0</formula>
    </cfRule>
  </conditionalFormatting>
  <conditionalFormatting sqref="E17:AK17">
    <cfRule type="notContainsBlanks" dxfId="2854" priority="442" stopIfTrue="1">
      <formula>LEN(TRIM(E17))&gt;0</formula>
    </cfRule>
  </conditionalFormatting>
  <conditionalFormatting sqref="E5:AK5">
    <cfRule type="containsBlanks" dxfId="2853" priority="443" stopIfTrue="1">
      <formula>LEN(TRIM(E5))=0</formula>
    </cfRule>
  </conditionalFormatting>
  <conditionalFormatting sqref="E5:AK5">
    <cfRule type="notContainsBlanks" dxfId="2852" priority="444" stopIfTrue="1">
      <formula>LEN(TRIM(E5))&gt;0</formula>
    </cfRule>
  </conditionalFormatting>
  <conditionalFormatting sqref="E6:AK6">
    <cfRule type="containsBlanks" dxfId="2851" priority="445" stopIfTrue="1">
      <formula>LEN(TRIM(E6))=0</formula>
    </cfRule>
  </conditionalFormatting>
  <conditionalFormatting sqref="E6:AK6">
    <cfRule type="notContainsBlanks" dxfId="2850" priority="446" stopIfTrue="1">
      <formula>LEN(TRIM(E6))&gt;0</formula>
    </cfRule>
  </conditionalFormatting>
  <conditionalFormatting sqref="E7:AK7">
    <cfRule type="containsBlanks" dxfId="2849" priority="447" stopIfTrue="1">
      <formula>LEN(TRIM(E7))=0</formula>
    </cfRule>
  </conditionalFormatting>
  <conditionalFormatting sqref="E7:AK7">
    <cfRule type="notContainsBlanks" dxfId="2848" priority="448" stopIfTrue="1">
      <formula>LEN(TRIM(E7))&gt;0</formula>
    </cfRule>
  </conditionalFormatting>
  <conditionalFormatting sqref="E9:AK9">
    <cfRule type="containsBlanks" dxfId="2847" priority="449" stopIfTrue="1">
      <formula>LEN(TRIM(E9))=0</formula>
    </cfRule>
  </conditionalFormatting>
  <conditionalFormatting sqref="E9:AK9">
    <cfRule type="notContainsBlanks" dxfId="2846" priority="450" stopIfTrue="1">
      <formula>LEN(TRIM(E9))&gt;0</formula>
    </cfRule>
  </conditionalFormatting>
  <pageMargins left="0.7" right="0.7" top="0.75" bottom="0.75" header="0.3" footer="0.3"/>
  <customProperties>
    <customPr name="IsPC"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2:AL190"/>
  <sheetViews>
    <sheetView zoomScale="85" zoomScaleNormal="85" workbookViewId="0"/>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9.6640625" style="148" bestFit="1" customWidth="1"/>
    <col min="6" max="37" width="9.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INDEX(_doName,3,stdCSL+1)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563.52038445439757</v>
      </c>
      <c r="F5" s="28">
        <f ca="1"/>
        <v>595.54848607688427</v>
      </c>
      <c r="G5" s="28">
        <f ca="1"/>
        <v>610.59003790872293</v>
      </c>
      <c r="H5" s="28">
        <f ca="1"/>
        <v>629.50624675369545</v>
      </c>
      <c r="I5" s="28">
        <f ca="1"/>
        <v>645.79379927122227</v>
      </c>
      <c r="J5" s="28">
        <f ca="1"/>
        <v>662.45255052400489</v>
      </c>
      <c r="K5" s="28">
        <f ca="1"/>
        <v>677.36080970109242</v>
      </c>
      <c r="L5" s="28">
        <f ca="1"/>
        <v>698.13284958435952</v>
      </c>
      <c r="M5" s="28">
        <f ca="1"/>
        <v>718.06753598223986</v>
      </c>
      <c r="N5" s="28">
        <f ca="1"/>
        <v>735.82758741113412</v>
      </c>
      <c r="O5" s="28">
        <f ca="1"/>
        <v>756.69021079908953</v>
      </c>
      <c r="P5" s="28">
        <f ca="1"/>
        <v>781.96887297080684</v>
      </c>
      <c r="Q5" s="28">
        <f ca="1"/>
        <v>807.74022392712141</v>
      </c>
      <c r="R5" s="28">
        <f ca="1"/>
        <v>841.51367028419008</v>
      </c>
      <c r="S5" s="28">
        <f ca="1"/>
        <v>883.46061086270765</v>
      </c>
      <c r="T5" s="28">
        <f ca="1"/>
        <v>925.32897527505975</v>
      </c>
      <c r="U5" s="28">
        <f ca="1"/>
        <v>968.43684766259958</v>
      </c>
      <c r="V5" s="28">
        <f ca="1"/>
        <v>1014.2802142192249</v>
      </c>
      <c r="W5" s="28">
        <f ca="1"/>
        <v>1066.710817370843</v>
      </c>
      <c r="X5" s="28">
        <f ca="1"/>
        <v>1101.2783194283274</v>
      </c>
      <c r="Y5" s="28">
        <f ca="1"/>
        <v>1132.7543166778678</v>
      </c>
      <c r="Z5" s="28">
        <f ca="1"/>
        <v>1159.9915602461488</v>
      </c>
      <c r="AA5" s="28">
        <f ca="1"/>
        <v>1181.2372422154649</v>
      </c>
      <c r="AB5" s="28">
        <f ca="1"/>
        <v>1218.3206419526769</v>
      </c>
      <c r="AC5" s="28">
        <f ca="1"/>
        <v>1254.5932023954647</v>
      </c>
      <c r="AD5" s="28">
        <f ca="1"/>
        <v>1295.6614604144206</v>
      </c>
      <c r="AE5" s="28">
        <f ca="1"/>
        <v>1340.0503170905276</v>
      </c>
      <c r="AF5" s="28">
        <f ca="1"/>
        <v>1382.5312138339496</v>
      </c>
      <c r="AG5" s="28">
        <f ca="1"/>
        <v>1428.1472918560703</v>
      </c>
      <c r="AH5" s="28">
        <f ca="1"/>
        <v>1471.7599813481356</v>
      </c>
      <c r="AI5" s="28">
        <f ca="1"/>
        <v>1518.5424169652824</v>
      </c>
      <c r="AJ5" s="28">
        <f ca="1"/>
        <v>1563.23192129987</v>
      </c>
      <c r="AK5" s="29">
        <f ca="1"/>
        <v>1611.1157629451518</v>
      </c>
      <c r="AL5" s="3"/>
    </row>
    <row r="6" spans="2:38">
      <c r="B6" s="3"/>
      <c r="C6" s="23" t="s">
        <v>58</v>
      </c>
      <c r="D6" s="16" t="str">
        <f>"th " &amp; _yearDol &amp; "$"</f>
        <v>th 2013$</v>
      </c>
      <c r="E6" s="141">
        <f t="array" aca="1" ref="E6:AK6" ca="1">tiecU*tShpCnH</f>
        <v>3950.3592188742386</v>
      </c>
      <c r="F6" s="28">
        <f ca="1"/>
        <v>4032.6159343527838</v>
      </c>
      <c r="G6" s="28">
        <f ca="1"/>
        <v>4013.4121781349763</v>
      </c>
      <c r="H6" s="28">
        <f ca="1"/>
        <v>4009.7668467198546</v>
      </c>
      <c r="I6" s="28">
        <f ca="1"/>
        <v>4004.7535765056564</v>
      </c>
      <c r="J6" s="28">
        <f ca="1"/>
        <v>3992.7878700873584</v>
      </c>
      <c r="K6" s="28">
        <f ca="1"/>
        <v>3985.391981195648</v>
      </c>
      <c r="L6" s="28">
        <f ca="1"/>
        <v>4003.3255085285978</v>
      </c>
      <c r="M6" s="28">
        <f ca="1"/>
        <v>4006.6927424955556</v>
      </c>
      <c r="N6" s="28">
        <f ca="1"/>
        <v>4010.9844625739779</v>
      </c>
      <c r="O6" s="28">
        <f ca="1"/>
        <v>4023.2282664404388</v>
      </c>
      <c r="P6" s="28">
        <f ca="1"/>
        <v>4048.9936192054656</v>
      </c>
      <c r="Q6" s="28">
        <f ca="1"/>
        <v>4087.7769390034628</v>
      </c>
      <c r="R6" s="28">
        <f ca="1"/>
        <v>4156.0836851903241</v>
      </c>
      <c r="S6" s="28">
        <f ca="1"/>
        <v>4272.6891935907388</v>
      </c>
      <c r="T6" s="28">
        <f ca="1"/>
        <v>4375.9610567737791</v>
      </c>
      <c r="U6" s="28">
        <f ca="1"/>
        <v>4471.664159678412</v>
      </c>
      <c r="V6" s="28">
        <f ca="1"/>
        <v>4587.067084519198</v>
      </c>
      <c r="W6" s="28">
        <f ca="1"/>
        <v>4718.3140477580819</v>
      </c>
      <c r="X6" s="28">
        <f ca="1"/>
        <v>4778.5559679481894</v>
      </c>
      <c r="Y6" s="28">
        <f ca="1"/>
        <v>4815.0919597191323</v>
      </c>
      <c r="Z6" s="28">
        <f ca="1"/>
        <v>4823.7505613484518</v>
      </c>
      <c r="AA6" s="28">
        <f ca="1"/>
        <v>4818.654613514529</v>
      </c>
      <c r="AB6" s="28">
        <f ca="1"/>
        <v>4868.8399286872491</v>
      </c>
      <c r="AC6" s="28">
        <f ca="1"/>
        <v>4924.8051610934299</v>
      </c>
      <c r="AD6" s="28">
        <f ca="1"/>
        <v>4989.3237690674623</v>
      </c>
      <c r="AE6" s="28">
        <f ca="1"/>
        <v>5055.4207679635074</v>
      </c>
      <c r="AF6" s="28">
        <f ca="1"/>
        <v>5122.1942201118436</v>
      </c>
      <c r="AG6" s="28">
        <f ca="1"/>
        <v>5189.6591578069647</v>
      </c>
      <c r="AH6" s="28">
        <f ca="1"/>
        <v>5257.8306133433689</v>
      </c>
      <c r="AI6" s="28">
        <f ca="1"/>
        <v>5326.7461674572914</v>
      </c>
      <c r="AJ6" s="28">
        <f ca="1"/>
        <v>5396.413336295981</v>
      </c>
      <c r="AK6" s="29">
        <f ca="1"/>
        <v>5466.8546683011828</v>
      </c>
      <c r="AL6" s="3"/>
    </row>
    <row r="7" spans="2:38">
      <c r="B7" s="3"/>
      <c r="C7" s="23" t="s">
        <v>59</v>
      </c>
      <c r="D7" s="16" t="str">
        <f>"th " &amp; _yearDol &amp; "$"</f>
        <v>th 2013$</v>
      </c>
      <c r="E7" s="141">
        <f t="array" aca="1" ref="E7:AK7" ca="1">tecsU*tShpCnH</f>
        <v>4513.8796033286362</v>
      </c>
      <c r="F7" s="28">
        <f ca="1"/>
        <v>4628.1644204296681</v>
      </c>
      <c r="G7" s="28">
        <f ca="1"/>
        <v>4624.0022160436993</v>
      </c>
      <c r="H7" s="28">
        <f ca="1"/>
        <v>4639.27309347355</v>
      </c>
      <c r="I7" s="28">
        <f ca="1"/>
        <v>4650.5473757768787</v>
      </c>
      <c r="J7" s="28">
        <f ca="1"/>
        <v>4655.2404206113633</v>
      </c>
      <c r="K7" s="28">
        <f ca="1"/>
        <v>4662.7527908967404</v>
      </c>
      <c r="L7" s="28">
        <f ca="1"/>
        <v>4701.4583581129573</v>
      </c>
      <c r="M7" s="28">
        <f ca="1"/>
        <v>4724.7602784777955</v>
      </c>
      <c r="N7" s="28">
        <f ca="1"/>
        <v>4746.812049985112</v>
      </c>
      <c r="O7" s="28">
        <f ca="1"/>
        <v>4779.9184772395283</v>
      </c>
      <c r="P7" s="28">
        <f ca="1"/>
        <v>4830.9624921762725</v>
      </c>
      <c r="Q7" s="28">
        <f ca="1"/>
        <v>4895.5171629305842</v>
      </c>
      <c r="R7" s="28">
        <f ca="1"/>
        <v>4997.5973554745142</v>
      </c>
      <c r="S7" s="28">
        <f ca="1"/>
        <v>5156.1498044534464</v>
      </c>
      <c r="T7" s="28">
        <f ca="1"/>
        <v>5301.2900320488388</v>
      </c>
      <c r="U7" s="28">
        <f ca="1"/>
        <v>5440.1010073410116</v>
      </c>
      <c r="V7" s="28">
        <f ca="1"/>
        <v>5601.347298738423</v>
      </c>
      <c r="W7" s="28">
        <f ca="1"/>
        <v>5785.0248651289248</v>
      </c>
      <c r="X7" s="28">
        <f ca="1"/>
        <v>5879.8342873765168</v>
      </c>
      <c r="Y7" s="28">
        <f ca="1"/>
        <v>5947.8462763970001</v>
      </c>
      <c r="Z7" s="28">
        <f ca="1"/>
        <v>5983.7421215946006</v>
      </c>
      <c r="AA7" s="28">
        <f ca="1"/>
        <v>5999.8918557299939</v>
      </c>
      <c r="AB7" s="28">
        <f ca="1"/>
        <v>6087.1605706399259</v>
      </c>
      <c r="AC7" s="28">
        <f ca="1"/>
        <v>6179.3983634888946</v>
      </c>
      <c r="AD7" s="28">
        <f ca="1"/>
        <v>6284.9852294818829</v>
      </c>
      <c r="AE7" s="28">
        <f ca="1"/>
        <v>6395.471085054035</v>
      </c>
      <c r="AF7" s="28">
        <f ca="1"/>
        <v>6504.7254339457932</v>
      </c>
      <c r="AG7" s="28">
        <f ca="1"/>
        <v>6617.806449663035</v>
      </c>
      <c r="AH7" s="28">
        <f ca="1"/>
        <v>6729.5905946915045</v>
      </c>
      <c r="AI7" s="28">
        <f ca="1"/>
        <v>6845.2885844225739</v>
      </c>
      <c r="AJ7" s="28">
        <f ca="1"/>
        <v>6959.645257595851</v>
      </c>
      <c r="AK7" s="29">
        <f ca="1"/>
        <v>7077.9704312463346</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tsavUElec*tShpCnH</f>
        <v>960.90902293848694</v>
      </c>
      <c r="F9" s="24">
        <f ca="1"/>
        <v>973.58544970051162</v>
      </c>
      <c r="G9" s="24">
        <f ca="1"/>
        <v>961.59685360512799</v>
      </c>
      <c r="H9" s="24">
        <f ca="1"/>
        <v>954.27198921327056</v>
      </c>
      <c r="I9" s="24">
        <f ca="1"/>
        <v>946.9691432470828</v>
      </c>
      <c r="J9" s="24">
        <f ca="1"/>
        <v>938.83474566189773</v>
      </c>
      <c r="K9" s="24">
        <f ca="1"/>
        <v>932.98930507652187</v>
      </c>
      <c r="L9" s="24">
        <f ca="1"/>
        <v>933.76823721075664</v>
      </c>
      <c r="M9" s="24">
        <f ca="1"/>
        <v>931.11663027683824</v>
      </c>
      <c r="N9" s="24">
        <f ca="1"/>
        <v>929.36228886033189</v>
      </c>
      <c r="O9" s="24">
        <f ca="1"/>
        <v>930.29839961621667</v>
      </c>
      <c r="P9" s="24">
        <f ca="1"/>
        <v>934.85651992571491</v>
      </c>
      <c r="Q9" s="24">
        <f ca="1"/>
        <v>942.62217182416873</v>
      </c>
      <c r="R9" s="24">
        <f ca="1"/>
        <v>957.48181388178068</v>
      </c>
      <c r="S9" s="24">
        <f ca="1"/>
        <v>983.64681390389535</v>
      </c>
      <c r="T9" s="24">
        <f ca="1"/>
        <v>1007.3321489063728</v>
      </c>
      <c r="U9" s="24">
        <f ca="1"/>
        <v>1029.5504382528063</v>
      </c>
      <c r="V9" s="24">
        <f ca="1"/>
        <v>1056.4036081308036</v>
      </c>
      <c r="W9" s="24">
        <f ca="1"/>
        <v>1087.0460680966657</v>
      </c>
      <c r="X9" s="24">
        <f ca="1"/>
        <v>1101.3234740389082</v>
      </c>
      <c r="Y9" s="24">
        <f ca="1"/>
        <v>1110.076576264619</v>
      </c>
      <c r="Z9" s="24">
        <f ca="1"/>
        <v>1112.2960149580495</v>
      </c>
      <c r="AA9" s="24">
        <f ca="1"/>
        <v>1111.2679514404276</v>
      </c>
      <c r="AB9" s="24">
        <f ca="1"/>
        <v>1122.8415828494869</v>
      </c>
      <c r="AC9" s="24">
        <f ca="1"/>
        <v>1135.7481665655055</v>
      </c>
      <c r="AD9" s="24">
        <f ca="1"/>
        <v>1150.6273116928626</v>
      </c>
      <c r="AE9" s="24">
        <f ca="1"/>
        <v>1165.870462001574</v>
      </c>
      <c r="AF9" s="24">
        <f ca="1"/>
        <v>1181.269614530866</v>
      </c>
      <c r="AG9" s="24">
        <f ca="1"/>
        <v>1196.8282359967513</v>
      </c>
      <c r="AH9" s="24">
        <f ca="1"/>
        <v>1212.5497931152429</v>
      </c>
      <c r="AI9" s="24">
        <f ca="1"/>
        <v>1228.4429526763727</v>
      </c>
      <c r="AJ9" s="24">
        <f ca="1"/>
        <v>1244.5094480381474</v>
      </c>
      <c r="AK9" s="26">
        <f ca="1"/>
        <v>1260.7544792745864</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INDEX(_doName,3,stdCSL+1)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5.795575831383303</v>
      </c>
      <c r="F13" s="28">
        <f ca="1"/>
        <v>6.0000354237922693</v>
      </c>
      <c r="G13" s="28">
        <f ca="1"/>
        <v>6.1810107859560048</v>
      </c>
      <c r="H13" s="28">
        <f ca="1"/>
        <v>6.378293133551324</v>
      </c>
      <c r="I13" s="28">
        <f ca="1"/>
        <v>6.5515132565556087</v>
      </c>
      <c r="J13" s="28">
        <f ca="1"/>
        <v>6.7406548552166896</v>
      </c>
      <c r="K13" s="28">
        <f ca="1"/>
        <v>6.9051413729680462</v>
      </c>
      <c r="L13" s="28">
        <f ca="1"/>
        <v>7.085014135205256</v>
      </c>
      <c r="M13" s="28">
        <f ca="1"/>
        <v>7.2811973865823347</v>
      </c>
      <c r="N13" s="28">
        <f ca="1"/>
        <v>7.4533006122724146</v>
      </c>
      <c r="O13" s="28">
        <f ca="1"/>
        <v>7.6412954682814416</v>
      </c>
      <c r="P13" s="28">
        <f ca="1"/>
        <v>7.8463183495546218</v>
      </c>
      <c r="Q13" s="28">
        <f ca="1"/>
        <v>8.0280130998794448</v>
      </c>
      <c r="R13" s="28">
        <f ca="1"/>
        <v>8.2262223296634147</v>
      </c>
      <c r="S13" s="28">
        <f ca="1"/>
        <v>8.4005832543257384</v>
      </c>
      <c r="T13" s="28">
        <f ca="1"/>
        <v>8.5910503543923369</v>
      </c>
      <c r="U13" s="28">
        <f ca="1"/>
        <v>8.7988452151544152</v>
      </c>
      <c r="V13" s="28">
        <f ca="1"/>
        <v>8.9835174014801851</v>
      </c>
      <c r="W13" s="28">
        <f ca="1"/>
        <v>9.1850898010229685</v>
      </c>
      <c r="X13" s="28">
        <f ca="1"/>
        <v>9.363192749434802</v>
      </c>
      <c r="Y13" s="28">
        <f ca="1"/>
        <v>9.5577285378162742</v>
      </c>
      <c r="Z13" s="28">
        <f ca="1"/>
        <v>9.7699769392852431</v>
      </c>
      <c r="AA13" s="28">
        <f ca="1"/>
        <v>9.959439179634046</v>
      </c>
      <c r="AB13" s="28">
        <f ca="1"/>
        <v>10.166223592320875</v>
      </c>
      <c r="AC13" s="28">
        <f ca="1"/>
        <v>10.34993037225604</v>
      </c>
      <c r="AD13" s="28">
        <f ca="1"/>
        <v>10.550508819789229</v>
      </c>
      <c r="AE13" s="28">
        <f ca="1"/>
        <v>10.769296867590583</v>
      </c>
      <c r="AF13" s="28">
        <f ca="1"/>
        <v>10.965853885885281</v>
      </c>
      <c r="AG13" s="28">
        <f ca="1"/>
        <v>11.180409651300124</v>
      </c>
      <c r="AH13" s="28">
        <f ca="1"/>
        <v>11.372447756431484</v>
      </c>
      <c r="AI13" s="28">
        <f ca="1"/>
        <v>11.58213110495808</v>
      </c>
      <c r="AJ13" s="28">
        <f ca="1"/>
        <v>11.769059519115672</v>
      </c>
      <c r="AK13" s="29">
        <f ca="1"/>
        <v>11.973269815490767</v>
      </c>
      <c r="AL13" s="3"/>
    </row>
    <row r="14" spans="2:38">
      <c r="B14" s="3"/>
      <c r="C14" s="23" t="s">
        <v>58</v>
      </c>
      <c r="D14" s="16" t="str">
        <f>_yearDol &amp; "$"</f>
        <v>2013$</v>
      </c>
      <c r="E14" s="141">
        <f t="array" aca="1" ref="E14:AK14" ca="1">tlccQmpol-tlccQmbc</f>
        <v>40.627822960399953</v>
      </c>
      <c r="F14" s="28">
        <f ca="1"/>
        <v>40.627822960399953</v>
      </c>
      <c r="G14" s="28">
        <f ca="1"/>
        <v>40.627822960399953</v>
      </c>
      <c r="H14" s="28">
        <f ca="1"/>
        <v>40.627822960399953</v>
      </c>
      <c r="I14" s="28">
        <f ca="1"/>
        <v>40.627822960399953</v>
      </c>
      <c r="J14" s="28">
        <f ca="1"/>
        <v>40.627822960399953</v>
      </c>
      <c r="K14" s="28">
        <f ca="1"/>
        <v>40.627822960399953</v>
      </c>
      <c r="L14" s="28">
        <f ca="1"/>
        <v>40.627822960399953</v>
      </c>
      <c r="M14" s="28">
        <f ca="1"/>
        <v>40.627822960399953</v>
      </c>
      <c r="N14" s="28">
        <f ca="1"/>
        <v>40.627822960399953</v>
      </c>
      <c r="O14" s="28">
        <f ca="1"/>
        <v>40.627822960399953</v>
      </c>
      <c r="P14" s="28">
        <f ca="1"/>
        <v>40.627822960399953</v>
      </c>
      <c r="Q14" s="28">
        <f ca="1"/>
        <v>40.627822960399953</v>
      </c>
      <c r="R14" s="28">
        <f ca="1"/>
        <v>40.627822960399953</v>
      </c>
      <c r="S14" s="28">
        <f ca="1"/>
        <v>40.627822960399953</v>
      </c>
      <c r="T14" s="28">
        <f ca="1"/>
        <v>40.627822960399953</v>
      </c>
      <c r="U14" s="28">
        <f ca="1"/>
        <v>40.627822960399953</v>
      </c>
      <c r="V14" s="28">
        <f ca="1"/>
        <v>40.627822960399953</v>
      </c>
      <c r="W14" s="28">
        <f ca="1"/>
        <v>40.627822960399953</v>
      </c>
      <c r="X14" s="28">
        <f ca="1"/>
        <v>40.627822960399953</v>
      </c>
      <c r="Y14" s="28">
        <f ca="1"/>
        <v>40.627822960399953</v>
      </c>
      <c r="Z14" s="28">
        <f ca="1"/>
        <v>40.627822960399953</v>
      </c>
      <c r="AA14" s="28">
        <f ca="1"/>
        <v>40.627822960399953</v>
      </c>
      <c r="AB14" s="28">
        <f ca="1"/>
        <v>40.627822960399953</v>
      </c>
      <c r="AC14" s="28">
        <f ca="1"/>
        <v>40.627822960399953</v>
      </c>
      <c r="AD14" s="28">
        <f ca="1"/>
        <v>40.627822960399953</v>
      </c>
      <c r="AE14" s="28">
        <f ca="1"/>
        <v>40.627822960399953</v>
      </c>
      <c r="AF14" s="28">
        <f ca="1"/>
        <v>40.627822960399953</v>
      </c>
      <c r="AG14" s="28">
        <f ca="1"/>
        <v>40.627822960399953</v>
      </c>
      <c r="AH14" s="28">
        <f ca="1"/>
        <v>40.627822960399953</v>
      </c>
      <c r="AI14" s="28">
        <f ca="1"/>
        <v>40.627822960399953</v>
      </c>
      <c r="AJ14" s="28">
        <f ca="1"/>
        <v>40.627822960399953</v>
      </c>
      <c r="AK14" s="29">
        <f ca="1"/>
        <v>40.627822960399953</v>
      </c>
      <c r="AL14" s="3"/>
    </row>
    <row r="15" spans="2:38">
      <c r="B15" s="3"/>
      <c r="C15" s="23" t="s">
        <v>59</v>
      </c>
      <c r="D15" s="16" t="str">
        <f>_yearDol &amp; "$"</f>
        <v>2013$</v>
      </c>
      <c r="E15" s="141">
        <f t="array" aca="1" ref="E15:AK15" ca="1">tlccEmbc-tlccEmpol</f>
        <v>46.423398791783256</v>
      </c>
      <c r="F15" s="28">
        <f ca="1"/>
        <v>46.627858384192223</v>
      </c>
      <c r="G15" s="28">
        <f ca="1"/>
        <v>46.808833746355958</v>
      </c>
      <c r="H15" s="28">
        <f ca="1"/>
        <v>47.006116093951277</v>
      </c>
      <c r="I15" s="28">
        <f ca="1"/>
        <v>47.179336216955562</v>
      </c>
      <c r="J15" s="28">
        <f ca="1"/>
        <v>47.368477815616643</v>
      </c>
      <c r="K15" s="28">
        <f ca="1"/>
        <v>47.532964333368</v>
      </c>
      <c r="L15" s="28">
        <f ca="1"/>
        <v>47.712837095605209</v>
      </c>
      <c r="M15" s="28">
        <f ca="1"/>
        <v>47.909020346982288</v>
      </c>
      <c r="N15" s="28">
        <f ca="1"/>
        <v>48.081123572672368</v>
      </c>
      <c r="O15" s="28">
        <f ca="1"/>
        <v>48.269118428681395</v>
      </c>
      <c r="P15" s="28">
        <f ca="1"/>
        <v>48.474141309954575</v>
      </c>
      <c r="Q15" s="28">
        <f ca="1"/>
        <v>48.655836060279398</v>
      </c>
      <c r="R15" s="28">
        <f ca="1"/>
        <v>48.854045290063368</v>
      </c>
      <c r="S15" s="28">
        <f ca="1"/>
        <v>49.028406214725692</v>
      </c>
      <c r="T15" s="28">
        <f ca="1"/>
        <v>49.21887331479229</v>
      </c>
      <c r="U15" s="28">
        <f ca="1"/>
        <v>49.426668175554369</v>
      </c>
      <c r="V15" s="28">
        <f ca="1"/>
        <v>49.611340361880139</v>
      </c>
      <c r="W15" s="28">
        <f ca="1"/>
        <v>49.812912761422922</v>
      </c>
      <c r="X15" s="28">
        <f ca="1"/>
        <v>49.991015709834755</v>
      </c>
      <c r="Y15" s="28">
        <f ca="1"/>
        <v>50.185551498216228</v>
      </c>
      <c r="Z15" s="28">
        <f ca="1"/>
        <v>50.397799899685197</v>
      </c>
      <c r="AA15" s="28">
        <f ca="1"/>
        <v>50.587262140033999</v>
      </c>
      <c r="AB15" s="28">
        <f ca="1"/>
        <v>50.794046552720829</v>
      </c>
      <c r="AC15" s="28">
        <f ca="1"/>
        <v>50.977753332655993</v>
      </c>
      <c r="AD15" s="28">
        <f ca="1"/>
        <v>51.178331780189183</v>
      </c>
      <c r="AE15" s="28">
        <f ca="1"/>
        <v>51.397119827990537</v>
      </c>
      <c r="AF15" s="28">
        <f ca="1"/>
        <v>51.593676846285234</v>
      </c>
      <c r="AG15" s="28">
        <f ca="1"/>
        <v>51.808232611700078</v>
      </c>
      <c r="AH15" s="28">
        <f ca="1"/>
        <v>52.000270716831437</v>
      </c>
      <c r="AI15" s="28">
        <f ca="1"/>
        <v>52.209954065358033</v>
      </c>
      <c r="AJ15" s="28">
        <f ca="1"/>
        <v>52.396882479515625</v>
      </c>
      <c r="AK15" s="29">
        <f ca="1"/>
        <v>52.60109277589072</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9.8825548518398136</v>
      </c>
      <c r="F17" s="24">
        <f ca="1"/>
        <v>9.8086844696263142</v>
      </c>
      <c r="G17" s="24">
        <f ca="1"/>
        <v>9.7342572837114858</v>
      </c>
      <c r="H17" s="24">
        <f ca="1"/>
        <v>9.6688897175008606</v>
      </c>
      <c r="I17" s="24">
        <f ca="1"/>
        <v>9.6069068834876816</v>
      </c>
      <c r="J17" s="24">
        <f ca="1"/>
        <v>9.552927196953533</v>
      </c>
      <c r="K17" s="24">
        <f ca="1"/>
        <v>9.511065533690271</v>
      </c>
      <c r="L17" s="24">
        <f ca="1"/>
        <v>9.4763642243487993</v>
      </c>
      <c r="M17" s="24">
        <f ca="1"/>
        <v>9.441512998775579</v>
      </c>
      <c r="N17" s="24">
        <f ca="1"/>
        <v>9.4136406885154429</v>
      </c>
      <c r="O17" s="24">
        <f ca="1"/>
        <v>9.394445499208814</v>
      </c>
      <c r="P17" s="24">
        <f ca="1"/>
        <v>9.3804013433764339</v>
      </c>
      <c r="Q17" s="24">
        <f ca="1"/>
        <v>9.3685852449561935</v>
      </c>
      <c r="R17" s="24">
        <f ca="1"/>
        <v>9.3598696678818669</v>
      </c>
      <c r="S17" s="24">
        <f ca="1"/>
        <v>9.3532262236149109</v>
      </c>
      <c r="T17" s="24">
        <f ca="1"/>
        <v>9.3523940631821461</v>
      </c>
      <c r="U17" s="24">
        <f ca="1"/>
        <v>9.3540998251410201</v>
      </c>
      <c r="V17" s="24">
        <f ca="1"/>
        <v>9.3566058605756552</v>
      </c>
      <c r="W17" s="24">
        <f ca="1"/>
        <v>9.3601898384476954</v>
      </c>
      <c r="X17" s="24">
        <f ca="1"/>
        <v>9.3635766590377898</v>
      </c>
      <c r="Y17" s="24">
        <f ca="1"/>
        <v>9.3663828209828353</v>
      </c>
      <c r="Z17" s="24">
        <f ca="1"/>
        <v>9.3682633462376543</v>
      </c>
      <c r="AA17" s="24">
        <f ca="1"/>
        <v>9.3695027375615609</v>
      </c>
      <c r="AB17" s="24">
        <f ca="1"/>
        <v>9.3695027375615609</v>
      </c>
      <c r="AC17" s="24">
        <f ca="1"/>
        <v>9.3695027375615609</v>
      </c>
      <c r="AD17" s="24">
        <f ca="1"/>
        <v>9.3695027375615609</v>
      </c>
      <c r="AE17" s="24">
        <f ca="1"/>
        <v>9.3695027375615609</v>
      </c>
      <c r="AF17" s="24">
        <f ca="1"/>
        <v>9.3695027375615609</v>
      </c>
      <c r="AG17" s="24">
        <f ca="1"/>
        <v>9.3695027375615609</v>
      </c>
      <c r="AH17" s="24">
        <f ca="1"/>
        <v>9.3695027375615609</v>
      </c>
      <c r="AI17" s="24">
        <f ca="1"/>
        <v>9.3695027375615609</v>
      </c>
      <c r="AJ17" s="24">
        <f ca="1"/>
        <v>9.3695027375615609</v>
      </c>
      <c r="AK17" s="26">
        <f ca="1"/>
        <v>9.3695027375615609</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INDEX(_doName,3,1)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2131.2855640170001</v>
      </c>
      <c r="F21" s="28">
        <f ca="1">SUMPRODUCT(INDEX(bcEff,,2),INDEX(tlccQubc,,2))</f>
        <v>2131.2855640170001</v>
      </c>
      <c r="G21" s="28">
        <f ca="1">SUMPRODUCT(INDEX(bcEff,,3),INDEX(tlccQubc,,3))</f>
        <v>2131.2855640170001</v>
      </c>
      <c r="H21" s="28">
        <f ca="1">SUMPRODUCT(INDEX(bcEff,,4),INDEX(tlccQubc,,4))</f>
        <v>2131.2855640170001</v>
      </c>
      <c r="I21" s="28">
        <f ca="1">SUMPRODUCT(INDEX(bcEff,,5),INDEX(tlccQubc,,5))</f>
        <v>2131.2855640170001</v>
      </c>
      <c r="J21" s="28">
        <f ca="1">SUMPRODUCT(INDEX(bcEff,,6),INDEX(tlccQubc,,6))</f>
        <v>2131.2855640170001</v>
      </c>
      <c r="K21" s="28">
        <f ca="1">SUMPRODUCT(INDEX(bcEff,,7),INDEX(tlccQubc,,7))</f>
        <v>2131.2855640170001</v>
      </c>
      <c r="L21" s="28">
        <f ca="1">SUMPRODUCT(INDEX(bcEff,,8),INDEX(tlccQubc,,8))</f>
        <v>2131.2855640170001</v>
      </c>
      <c r="M21" s="28">
        <f ca="1">SUMPRODUCT(INDEX(bcEff,,9),INDEX(tlccQubc,,9))</f>
        <v>2131.2855640170001</v>
      </c>
      <c r="N21" s="28">
        <f ca="1">SUMPRODUCT(INDEX(bcEff,,10),INDEX(tlccQubc,,10))</f>
        <v>2131.2855640170001</v>
      </c>
      <c r="O21" s="28">
        <f ca="1">SUMPRODUCT(INDEX(bcEff,,11),INDEX(tlccQubc,,11))</f>
        <v>2131.2855640170001</v>
      </c>
      <c r="P21" s="28">
        <f ca="1">SUMPRODUCT(INDEX(bcEff,,12),INDEX(tlccQubc,,12))</f>
        <v>2131.2855640170001</v>
      </c>
      <c r="Q21" s="28">
        <f ca="1">SUMPRODUCT(INDEX(bcEff,,13),INDEX(tlccQubc,,13))</f>
        <v>2131.2855640170001</v>
      </c>
      <c r="R21" s="28">
        <f ca="1">SUMPRODUCT(INDEX(bcEff,,14),INDEX(tlccQubc,,14))</f>
        <v>2131.2855640170001</v>
      </c>
      <c r="S21" s="28">
        <f ca="1">SUMPRODUCT(INDEX(bcEff,,15),INDEX(tlccQubc,,15))</f>
        <v>2131.2855640170001</v>
      </c>
      <c r="T21" s="28">
        <f ca="1">SUMPRODUCT(INDEX(bcEff,,16),INDEX(tlccQubc,,16))</f>
        <v>2131.2855640170001</v>
      </c>
      <c r="U21" s="28">
        <f ca="1">SUMPRODUCT(INDEX(bcEff,,17),INDEX(tlccQubc,,17))</f>
        <v>2131.2855640170001</v>
      </c>
      <c r="V21" s="28">
        <f ca="1">SUMPRODUCT(INDEX(bcEff,,18),INDEX(tlccQubc,,18))</f>
        <v>2131.2855640170001</v>
      </c>
      <c r="W21" s="28">
        <f ca="1">SUMPRODUCT(INDEX(bcEff,,19),INDEX(tlccQubc,,19))</f>
        <v>2131.2855640170001</v>
      </c>
      <c r="X21" s="28">
        <f ca="1">SUMPRODUCT(INDEX(bcEff,,20),INDEX(tlccQubc,,20))</f>
        <v>2131.2855640170001</v>
      </c>
      <c r="Y21" s="28">
        <f ca="1">SUMPRODUCT(INDEX(bcEff,,21),INDEX(tlccQubc,,21))</f>
        <v>2131.2855640170001</v>
      </c>
      <c r="Z21" s="28">
        <f ca="1">SUMPRODUCT(INDEX(bcEff,,22),INDEX(tlccQubc,,22))</f>
        <v>2131.2855640170001</v>
      </c>
      <c r="AA21" s="28">
        <f ca="1">SUMPRODUCT(INDEX(bcEff,,23),INDEX(tlccQubc,,23))</f>
        <v>2131.2855640170001</v>
      </c>
      <c r="AB21" s="28">
        <f ca="1">SUMPRODUCT(INDEX(bcEff,,24),INDEX(tlccQubc,,24))</f>
        <v>2131.2855640170001</v>
      </c>
      <c r="AC21" s="28">
        <f ca="1">SUMPRODUCT(INDEX(bcEff,,25),INDEX(tlccQubc,,25))</f>
        <v>2131.2855640170001</v>
      </c>
      <c r="AD21" s="28">
        <f ca="1">SUMPRODUCT(INDEX(bcEff,,26),INDEX(tlccQubc,,26))</f>
        <v>2131.2855640170001</v>
      </c>
      <c r="AE21" s="28">
        <f ca="1">SUMPRODUCT(INDEX(bcEff,,27),INDEX(tlccQubc,,27))</f>
        <v>2131.2855640170001</v>
      </c>
      <c r="AF21" s="28">
        <f ca="1">SUMPRODUCT(INDEX(bcEff,,28),INDEX(tlccQubc,,28))</f>
        <v>2131.2855640170001</v>
      </c>
      <c r="AG21" s="28">
        <f ca="1">SUMPRODUCT(INDEX(bcEff,,29),INDEX(tlccQubc,,29))</f>
        <v>2131.2855640170001</v>
      </c>
      <c r="AH21" s="28">
        <f ca="1">SUMPRODUCT(INDEX(bcEff,,30),INDEX(tlccQubc,,30))</f>
        <v>2131.2855640170001</v>
      </c>
      <c r="AI21" s="28">
        <f ca="1">SUMPRODUCT(INDEX(bcEff,,31),INDEX(tlccQubc,,31))</f>
        <v>2131.2855640170001</v>
      </c>
      <c r="AJ21" s="28">
        <f ca="1">SUMPRODUCT(INDEX(bcEff,,32),INDEX(tlccQubc,,32))</f>
        <v>2131.2855640170001</v>
      </c>
      <c r="AK21" s="29">
        <f ca="1">SUMPRODUCT(INDEX(bcEff,,33),INDEX(tlccQubc,,33))</f>
        <v>2131.2855640170001</v>
      </c>
      <c r="AL21" s="3"/>
    </row>
    <row r="22" spans="2:38">
      <c r="B22" s="3"/>
      <c r="C22" s="23" t="s">
        <v>47</v>
      </c>
      <c r="D22" s="16" t="str">
        <f>_yearDol &amp; "$"</f>
        <v>2013$</v>
      </c>
      <c r="E22" s="141">
        <f ca="1">SUMPRODUCT(INDEX(bcEff,,1),INDEX(tlccEubc,,1))</f>
        <v>82370.466754291556</v>
      </c>
      <c r="F22" s="28">
        <f ca="1">SUMPRODUCT(INDEX(bcEff,,2),INDEX(tlccEubc,,2))</f>
        <v>82733.245708375907</v>
      </c>
      <c r="G22" s="28">
        <f ca="1">SUMPRODUCT(INDEX(bcEff,,3),INDEX(tlccEubc,,3))</f>
        <v>83054.355869214676</v>
      </c>
      <c r="H22" s="28">
        <f ca="1">SUMPRODUCT(INDEX(bcEff,,4),INDEX(tlccEubc,,4))</f>
        <v>83404.400016697356</v>
      </c>
      <c r="I22" s="28">
        <f ca="1">SUMPRODUCT(INDEX(bcEff,,5),INDEX(tlccEubc,,5))</f>
        <v>83711.749817753895</v>
      </c>
      <c r="J22" s="28">
        <f ca="1">SUMPRODUCT(INDEX(bcEff,,6),INDEX(tlccEubc,,6))</f>
        <v>84047.349583586154</v>
      </c>
      <c r="K22" s="28">
        <f ca="1">SUMPRODUCT(INDEX(bcEff,,7),INDEX(tlccEubc,,7))</f>
        <v>84339.20307977288</v>
      </c>
      <c r="L22" s="28">
        <f ca="1">SUMPRODUCT(INDEX(bcEff,,8),INDEX(tlccEubc,,8))</f>
        <v>84658.356863627472</v>
      </c>
      <c r="M22" s="28">
        <f ca="1">SUMPRODUCT(INDEX(bcEff,,9),INDEX(tlccEubc,,9))</f>
        <v>85006.450850809502</v>
      </c>
      <c r="N22" s="28">
        <f ca="1">SUMPRODUCT(INDEX(bcEff,,10),INDEX(tlccEubc,,10))</f>
        <v>85311.818906567481</v>
      </c>
      <c r="O22" s="28">
        <f ca="1">SUMPRODUCT(INDEX(bcEff,,11),INDEX(tlccEubc,,11))</f>
        <v>85645.383971586023</v>
      </c>
      <c r="P22" s="28">
        <f ca="1">SUMPRODUCT(INDEX(bcEff,,12),INDEX(tlccEubc,,12))</f>
        <v>86009.16238646784</v>
      </c>
      <c r="Q22" s="28">
        <f ca="1">SUMPRODUCT(INDEX(bcEff,,13),INDEX(tlccEubc,,13))</f>
        <v>86331.548979873478</v>
      </c>
      <c r="R22" s="28">
        <f ca="1">SUMPRODUCT(INDEX(bcEff,,14),INDEX(tlccEubc,,14))</f>
        <v>86683.237722999897</v>
      </c>
      <c r="S22" s="28">
        <f ca="1">SUMPRODUCT(INDEX(bcEff,,15),INDEX(tlccEubc,,15))</f>
        <v>86992.611683569645</v>
      </c>
      <c r="T22" s="28">
        <f ca="1">SUMPRODUCT(INDEX(bcEff,,16),INDEX(tlccEubc,,16))</f>
        <v>87330.563327401367</v>
      </c>
      <c r="U22" s="28">
        <f ca="1">SUMPRODUCT(INDEX(bcEff,,17),INDEX(tlccEubc,,17))</f>
        <v>87699.260150912101</v>
      </c>
      <c r="V22" s="28">
        <f ca="1">SUMPRODUCT(INDEX(bcEff,,18),INDEX(tlccEubc,,18))</f>
        <v>88026.929700724679</v>
      </c>
      <c r="W22" s="28">
        <f ca="1">SUMPRODUCT(INDEX(bcEff,,19),INDEX(tlccEubc,,19))</f>
        <v>88384.585819565822</v>
      </c>
      <c r="X22" s="28">
        <f ca="1">SUMPRODUCT(INDEX(bcEff,,20),INDEX(tlccEubc,,20))</f>
        <v>88700.599368207142</v>
      </c>
      <c r="Y22" s="28">
        <f ca="1">SUMPRODUCT(INDEX(bcEff,,21),INDEX(tlccEubc,,21))</f>
        <v>89045.77021102907</v>
      </c>
      <c r="Z22" s="28">
        <f ca="1">SUMPRODUCT(INDEX(bcEff,,22),INDEX(tlccEubc,,22))</f>
        <v>89422.369089023909</v>
      </c>
      <c r="AA22" s="28">
        <f ca="1">SUMPRODUCT(INDEX(bcEff,,23),INDEX(tlccEubc,,23))</f>
        <v>89758.537779337377</v>
      </c>
      <c r="AB22" s="28">
        <f ca="1">SUMPRODUCT(INDEX(bcEff,,24),INDEX(tlccEubc,,24))</f>
        <v>90125.441733639571</v>
      </c>
      <c r="AC22" s="28">
        <f ca="1">SUMPRODUCT(INDEX(bcEff,,25),INDEX(tlccEubc,,25))</f>
        <v>90451.398333203528</v>
      </c>
      <c r="AD22" s="28">
        <f ca="1">SUMPRODUCT(INDEX(bcEff,,26),INDEX(tlccEubc,,26))</f>
        <v>90807.290852334016</v>
      </c>
      <c r="AE22" s="28">
        <f ca="1">SUMPRODUCT(INDEX(bcEff,,27),INDEX(tlccEubc,,27))</f>
        <v>91195.493226309118</v>
      </c>
      <c r="AF22" s="28">
        <f ca="1">SUMPRODUCT(INDEX(bcEff,,28),INDEX(tlccEubc,,28))</f>
        <v>91544.250399661934</v>
      </c>
      <c r="AG22" s="28">
        <f ca="1">SUMPRODUCT(INDEX(bcEff,,29),INDEX(tlccEubc,,29))</f>
        <v>91924.943304554254</v>
      </c>
      <c r="AH22" s="28">
        <f ca="1">SUMPRODUCT(INDEX(bcEff,,30),INDEX(tlccEubc,,30))</f>
        <v>92265.682431109177</v>
      </c>
      <c r="AI22" s="28">
        <f ca="1">SUMPRODUCT(INDEX(bcEff,,31),INDEX(tlccEubc,,31))</f>
        <v>92637.730056608649</v>
      </c>
      <c r="AJ22" s="28">
        <f ca="1">SUMPRODUCT(INDEX(bcEff,,32),INDEX(tlccEubc,,32))</f>
        <v>92969.40290100289</v>
      </c>
      <c r="AK22" s="29">
        <f ca="1">SUMPRODUCT(INDEX(bcEff,,33),INDEX(tlccEubc,,33))</f>
        <v>93331.739521443902</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17534.921549407602</v>
      </c>
      <c r="F24" s="22">
        <f ca="1">SUMPRODUCT(INDEX(bcEff,,2),INDEX(tlccFubcElec,,2))</f>
        <v>17403.851054339717</v>
      </c>
      <c r="G24" s="22">
        <f ca="1">SUMPRODUCT(INDEX(bcEff,,3),INDEX(tlccFubcElec,,3))</f>
        <v>17271.792605312232</v>
      </c>
      <c r="H24" s="22">
        <f ca="1">SUMPRODUCT(INDEX(bcEff,,4),INDEX(tlccFubcElec,,4))</f>
        <v>17155.808918649807</v>
      </c>
      <c r="I24" s="22">
        <f ca="1">SUMPRODUCT(INDEX(bcEff,,5),INDEX(tlccFubcElec,,5))</f>
        <v>17045.830866605786</v>
      </c>
      <c r="J24" s="22">
        <f ca="1">SUMPRODUCT(INDEX(bcEff,,6),INDEX(tlccFubcElec,,6))</f>
        <v>16950.053045700584</v>
      </c>
      <c r="K24" s="22">
        <f ca="1">SUMPRODUCT(INDEX(bcEff,,7),INDEX(tlccFubcElec,,7))</f>
        <v>16875.776606837346</v>
      </c>
      <c r="L24" s="22">
        <f ca="1">SUMPRODUCT(INDEX(bcEff,,8),INDEX(tlccFubcElec,,8))</f>
        <v>16814.205004548599</v>
      </c>
      <c r="M24" s="22">
        <f ca="1">SUMPRODUCT(INDEX(bcEff,,9),INDEX(tlccFubcElec,,9))</f>
        <v>16752.367401272819</v>
      </c>
      <c r="N24" s="22">
        <f ca="1">SUMPRODUCT(INDEX(bcEff,,10),INDEX(tlccFubcElec,,10))</f>
        <v>16702.912702448273</v>
      </c>
      <c r="O24" s="22">
        <f ca="1">SUMPRODUCT(INDEX(bcEff,,11),INDEX(tlccFubcElec,,11))</f>
        <v>16668.854086670155</v>
      </c>
      <c r="P24" s="22">
        <f ca="1">SUMPRODUCT(INDEX(bcEff,,12),INDEX(tlccFubcElec,,12))</f>
        <v>16643.935108284255</v>
      </c>
      <c r="Q24" s="22">
        <f ca="1">SUMPRODUCT(INDEX(bcEff,,13),INDEX(tlccFubcElec,,13))</f>
        <v>16622.969440803237</v>
      </c>
      <c r="R24" s="22">
        <f ca="1">SUMPRODUCT(INDEX(bcEff,,14),INDEX(tlccFubcElec,,14))</f>
        <v>16607.505123884228</v>
      </c>
      <c r="S24" s="22">
        <f ca="1">SUMPRODUCT(INDEX(bcEff,,15),INDEX(tlccFubcElec,,15))</f>
        <v>16595.717456036487</v>
      </c>
      <c r="T24" s="22">
        <f ca="1">SUMPRODUCT(INDEX(bcEff,,16),INDEX(tlccFubcElec,,16))</f>
        <v>16594.240928148349</v>
      </c>
      <c r="U24" s="22">
        <f ca="1">SUMPRODUCT(INDEX(bcEff,,17),INDEX(tlccFubcElec,,17))</f>
        <v>16597.267514141808</v>
      </c>
      <c r="V24" s="22">
        <f ca="1">SUMPRODUCT(INDEX(bcEff,,18),INDEX(tlccFubcElec,,18))</f>
        <v>16601.714050018385</v>
      </c>
      <c r="W24" s="22">
        <f ca="1">SUMPRODUCT(INDEX(bcEff,,19),INDEX(tlccFubcElec,,19))</f>
        <v>16608.073212382045</v>
      </c>
      <c r="X24" s="22">
        <f ca="1">SUMPRODUCT(INDEX(bcEff,,20),INDEX(tlccFubcElec,,20))</f>
        <v>16614.082552505435</v>
      </c>
      <c r="Y24" s="22">
        <f ca="1">SUMPRODUCT(INDEX(bcEff,,21),INDEX(tlccFubcElec,,21))</f>
        <v>16619.061612095567</v>
      </c>
      <c r="Z24" s="22">
        <f ca="1">SUMPRODUCT(INDEX(bcEff,,22),INDEX(tlccFubcElec,,22))</f>
        <v>16622.398285997442</v>
      </c>
      <c r="AA24" s="22">
        <f ca="1">SUMPRODUCT(INDEX(bcEff,,23),INDEX(tlccFubcElec,,23))</f>
        <v>16624.597376209833</v>
      </c>
      <c r="AB24" s="22">
        <f ca="1">SUMPRODUCT(INDEX(bcEff,,24),INDEX(tlccFubcElec,,24))</f>
        <v>16624.597376209833</v>
      </c>
      <c r="AC24" s="22">
        <f ca="1">SUMPRODUCT(INDEX(bcEff,,25),INDEX(tlccFubcElec,,25))</f>
        <v>16624.597376209833</v>
      </c>
      <c r="AD24" s="22">
        <f ca="1">SUMPRODUCT(INDEX(bcEff,,26),INDEX(tlccFubcElec,,26))</f>
        <v>16624.597376209833</v>
      </c>
      <c r="AE24" s="22">
        <f ca="1">SUMPRODUCT(INDEX(bcEff,,27),INDEX(tlccFubcElec,,27))</f>
        <v>16624.597376209833</v>
      </c>
      <c r="AF24" s="22">
        <f ca="1">SUMPRODUCT(INDEX(bcEff,,28),INDEX(tlccFubcElec,,28))</f>
        <v>16624.597376209833</v>
      </c>
      <c r="AG24" s="22">
        <f ca="1">SUMPRODUCT(INDEX(bcEff,,29),INDEX(tlccFubcElec,,29))</f>
        <v>16624.597376209833</v>
      </c>
      <c r="AH24" s="22">
        <f ca="1">SUMPRODUCT(INDEX(bcEff,,30),INDEX(tlccFubcElec,,30))</f>
        <v>16624.597376209833</v>
      </c>
      <c r="AI24" s="22">
        <f ca="1">SUMPRODUCT(INDEX(bcEff,,31),INDEX(tlccFubcElec,,31))</f>
        <v>16624.597376209833</v>
      </c>
      <c r="AJ24" s="22">
        <f ca="1">SUMPRODUCT(INDEX(bcEff,,32),INDEX(tlccFubcElec,,32))</f>
        <v>16624.597376209833</v>
      </c>
      <c r="AK24" s="25">
        <f ca="1">SUMPRODUCT(INDEX(bcEff,,33),INDEX(tlccFubcElec,,33))</f>
        <v>16624.597376209833</v>
      </c>
      <c r="AL24" s="3"/>
    </row>
    <row r="25" spans="2:38">
      <c r="B25" s="3"/>
      <c r="C25" s="30" t="str">
        <f>"Std (CSL " &amp; stdCSL &amp; "): " &amp; INDEX(_doName,3,stdCSL+1)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2171.9133869774</v>
      </c>
      <c r="F26" s="28">
        <f ca="1">SUMPRODUCT(INDEX(polEff,,2),INDEX(tlccQupol,,2))</f>
        <v>2171.9133869774</v>
      </c>
      <c r="G26" s="28">
        <f ca="1">SUMPRODUCT(INDEX(polEff,,3),INDEX(tlccQupol,,3))</f>
        <v>2171.9133869774</v>
      </c>
      <c r="H26" s="28">
        <f ca="1">SUMPRODUCT(INDEX(polEff,,4),INDEX(tlccQupol,,4))</f>
        <v>2171.9133869774</v>
      </c>
      <c r="I26" s="28">
        <f ca="1">SUMPRODUCT(INDEX(polEff,,5),INDEX(tlccQupol,,5))</f>
        <v>2171.9133869774</v>
      </c>
      <c r="J26" s="28">
        <f ca="1">SUMPRODUCT(INDEX(polEff,,6),INDEX(tlccQupol,,6))</f>
        <v>2171.9133869774</v>
      </c>
      <c r="K26" s="28">
        <f ca="1">SUMPRODUCT(INDEX(polEff,,7),INDEX(tlccQupol,,7))</f>
        <v>2171.9133869774</v>
      </c>
      <c r="L26" s="28">
        <f ca="1">SUMPRODUCT(INDEX(polEff,,8),INDEX(tlccQupol,,8))</f>
        <v>2171.9133869774</v>
      </c>
      <c r="M26" s="28">
        <f ca="1">SUMPRODUCT(INDEX(polEff,,9),INDEX(tlccQupol,,9))</f>
        <v>2171.9133869774</v>
      </c>
      <c r="N26" s="28">
        <f ca="1">SUMPRODUCT(INDEX(polEff,,10),INDEX(tlccQupol,,10))</f>
        <v>2171.9133869774</v>
      </c>
      <c r="O26" s="28">
        <f ca="1">SUMPRODUCT(INDEX(polEff,,11),INDEX(tlccQupol,,11))</f>
        <v>2171.9133869774</v>
      </c>
      <c r="P26" s="28">
        <f ca="1">SUMPRODUCT(INDEX(polEff,,12),INDEX(tlccQupol,,12))</f>
        <v>2171.9133869774</v>
      </c>
      <c r="Q26" s="28">
        <f ca="1">SUMPRODUCT(INDEX(polEff,,13),INDEX(tlccQupol,,13))</f>
        <v>2171.9133869774</v>
      </c>
      <c r="R26" s="28">
        <f ca="1">SUMPRODUCT(INDEX(polEff,,14),INDEX(tlccQupol,,14))</f>
        <v>2171.9133869774</v>
      </c>
      <c r="S26" s="28">
        <f ca="1">SUMPRODUCT(INDEX(polEff,,15),INDEX(tlccQupol,,15))</f>
        <v>2171.9133869774</v>
      </c>
      <c r="T26" s="28">
        <f ca="1">SUMPRODUCT(INDEX(polEff,,16),INDEX(tlccQupol,,16))</f>
        <v>2171.9133869774</v>
      </c>
      <c r="U26" s="28">
        <f ca="1">SUMPRODUCT(INDEX(polEff,,17),INDEX(tlccQupol,,17))</f>
        <v>2171.9133869774</v>
      </c>
      <c r="V26" s="28">
        <f ca="1">SUMPRODUCT(INDEX(polEff,,18),INDEX(tlccQupol,,18))</f>
        <v>2171.9133869774</v>
      </c>
      <c r="W26" s="28">
        <f ca="1">SUMPRODUCT(INDEX(polEff,,19),INDEX(tlccQupol,,19))</f>
        <v>2171.9133869774</v>
      </c>
      <c r="X26" s="28">
        <f ca="1">SUMPRODUCT(INDEX(polEff,,20),INDEX(tlccQupol,,20))</f>
        <v>2171.9133869774</v>
      </c>
      <c r="Y26" s="28">
        <f ca="1">SUMPRODUCT(INDEX(polEff,,21),INDEX(tlccQupol,,21))</f>
        <v>2171.9133869774</v>
      </c>
      <c r="Z26" s="28">
        <f ca="1">SUMPRODUCT(INDEX(polEff,,22),INDEX(tlccQupol,,22))</f>
        <v>2171.9133869774</v>
      </c>
      <c r="AA26" s="28">
        <f ca="1">SUMPRODUCT(INDEX(polEff,,23),INDEX(tlccQupol,,23))</f>
        <v>2171.9133869774</v>
      </c>
      <c r="AB26" s="28">
        <f ca="1">SUMPRODUCT(INDEX(polEff,,24),INDEX(tlccQupol,,24))</f>
        <v>2171.9133869774</v>
      </c>
      <c r="AC26" s="28">
        <f ca="1">SUMPRODUCT(INDEX(polEff,,25),INDEX(tlccQupol,,25))</f>
        <v>2171.9133869774</v>
      </c>
      <c r="AD26" s="28">
        <f ca="1">SUMPRODUCT(INDEX(polEff,,26),INDEX(tlccQupol,,26))</f>
        <v>2171.9133869774</v>
      </c>
      <c r="AE26" s="28">
        <f ca="1">SUMPRODUCT(INDEX(polEff,,27),INDEX(tlccQupol,,27))</f>
        <v>2171.9133869774</v>
      </c>
      <c r="AF26" s="28">
        <f ca="1">SUMPRODUCT(INDEX(polEff,,28),INDEX(tlccQupol,,28))</f>
        <v>2171.9133869774</v>
      </c>
      <c r="AG26" s="28">
        <f ca="1">SUMPRODUCT(INDEX(polEff,,29),INDEX(tlccQupol,,29))</f>
        <v>2171.9133869774</v>
      </c>
      <c r="AH26" s="28">
        <f ca="1">SUMPRODUCT(INDEX(polEff,,30),INDEX(tlccQupol,,30))</f>
        <v>2171.9133869774</v>
      </c>
      <c r="AI26" s="28">
        <f ca="1">SUMPRODUCT(INDEX(polEff,,31),INDEX(tlccQupol,,31))</f>
        <v>2171.9133869774</v>
      </c>
      <c r="AJ26" s="28">
        <f ca="1">SUMPRODUCT(INDEX(polEff,,32),INDEX(tlccQupol,,32))</f>
        <v>2171.9133869774</v>
      </c>
      <c r="AK26" s="29">
        <f ca="1">SUMPRODUCT(INDEX(polEff,,33),INDEX(tlccQupol,,33))</f>
        <v>2171.9133869774</v>
      </c>
      <c r="AL26" s="3"/>
    </row>
    <row r="27" spans="2:38">
      <c r="B27" s="3"/>
      <c r="C27" s="23" t="s">
        <v>47</v>
      </c>
      <c r="D27" s="16" t="str">
        <f>_yearDol &amp; "$"</f>
        <v>2013$</v>
      </c>
      <c r="E27" s="141">
        <f ca="1">SUMPRODUCT(INDEX(polEff,,1),INDEX(tlccEupol,,1))</f>
        <v>82324.043355499773</v>
      </c>
      <c r="F27" s="28">
        <f ca="1">SUMPRODUCT(INDEX(polEff,,2),INDEX(tlccEupol,,2))</f>
        <v>82686.617849991715</v>
      </c>
      <c r="G27" s="28">
        <f ca="1">SUMPRODUCT(INDEX(polEff,,3),INDEX(tlccEupol,,3))</f>
        <v>83007.54703546832</v>
      </c>
      <c r="H27" s="28">
        <f ca="1">SUMPRODUCT(INDEX(polEff,,4),INDEX(tlccEupol,,4))</f>
        <v>83357.393900603405</v>
      </c>
      <c r="I27" s="28">
        <f ca="1">SUMPRODUCT(INDEX(polEff,,5),INDEX(tlccEupol,,5))</f>
        <v>83664.570481536939</v>
      </c>
      <c r="J27" s="28">
        <f ca="1">SUMPRODUCT(INDEX(polEff,,6),INDEX(tlccEupol,,6))</f>
        <v>83999.981105770537</v>
      </c>
      <c r="K27" s="28">
        <f ca="1">SUMPRODUCT(INDEX(polEff,,7),INDEX(tlccEupol,,7))</f>
        <v>84291.670115439512</v>
      </c>
      <c r="L27" s="28">
        <f ca="1">SUMPRODUCT(INDEX(polEff,,8),INDEX(tlccEupol,,8))</f>
        <v>84610.644026531867</v>
      </c>
      <c r="M27" s="28">
        <f ca="1">SUMPRODUCT(INDEX(polEff,,9),INDEX(tlccEupol,,9))</f>
        <v>84958.54183046252</v>
      </c>
      <c r="N27" s="28">
        <f ca="1">SUMPRODUCT(INDEX(polEff,,10),INDEX(tlccEupol,,10))</f>
        <v>85263.737782994809</v>
      </c>
      <c r="O27" s="28">
        <f ca="1">SUMPRODUCT(INDEX(polEff,,11),INDEX(tlccEupol,,11))</f>
        <v>85597.114853157342</v>
      </c>
      <c r="P27" s="28">
        <f ca="1">SUMPRODUCT(INDEX(polEff,,12),INDEX(tlccEupol,,12))</f>
        <v>85960.688245157886</v>
      </c>
      <c r="Q27" s="28">
        <f ca="1">SUMPRODUCT(INDEX(polEff,,13),INDEX(tlccEupol,,13))</f>
        <v>86282.893143813199</v>
      </c>
      <c r="R27" s="28">
        <f ca="1">SUMPRODUCT(INDEX(polEff,,14),INDEX(tlccEupol,,14))</f>
        <v>86634.383677709833</v>
      </c>
      <c r="S27" s="28">
        <f ca="1">SUMPRODUCT(INDEX(polEff,,15),INDEX(tlccEupol,,15))</f>
        <v>86943.583277354919</v>
      </c>
      <c r="T27" s="28">
        <f ca="1">SUMPRODUCT(INDEX(polEff,,16),INDEX(tlccEupol,,16))</f>
        <v>87281.344454086575</v>
      </c>
      <c r="U27" s="28">
        <f ca="1">SUMPRODUCT(INDEX(polEff,,17),INDEX(tlccEupol,,17))</f>
        <v>87649.833482736547</v>
      </c>
      <c r="V27" s="28">
        <f ca="1">SUMPRODUCT(INDEX(polEff,,18),INDEX(tlccEupol,,18))</f>
        <v>87977.318360362799</v>
      </c>
      <c r="W27" s="28">
        <f ca="1">SUMPRODUCT(INDEX(polEff,,19),INDEX(tlccEupol,,19))</f>
        <v>88334.772906804399</v>
      </c>
      <c r="X27" s="28">
        <f ca="1">SUMPRODUCT(INDEX(polEff,,20),INDEX(tlccEupol,,20))</f>
        <v>88650.608352497307</v>
      </c>
      <c r="Y27" s="28">
        <f ca="1">SUMPRODUCT(INDEX(polEff,,21),INDEX(tlccEupol,,21))</f>
        <v>88995.584659530854</v>
      </c>
      <c r="Z27" s="28">
        <f ca="1">SUMPRODUCT(INDEX(polEff,,22),INDEX(tlccEupol,,22))</f>
        <v>89371.971289124223</v>
      </c>
      <c r="AA27" s="28">
        <f ca="1">SUMPRODUCT(INDEX(polEff,,23),INDEX(tlccEupol,,23))</f>
        <v>89707.950517197343</v>
      </c>
      <c r="AB27" s="28">
        <f ca="1">SUMPRODUCT(INDEX(polEff,,24),INDEX(tlccEupol,,24))</f>
        <v>90074.64768708685</v>
      </c>
      <c r="AC27" s="28">
        <f ca="1">SUMPRODUCT(INDEX(polEff,,25),INDEX(tlccEupol,,25))</f>
        <v>90400.420579870872</v>
      </c>
      <c r="AD27" s="28">
        <f ca="1">SUMPRODUCT(INDEX(polEff,,26),INDEX(tlccEupol,,26))</f>
        <v>90756.112520553826</v>
      </c>
      <c r="AE27" s="28">
        <f ca="1">SUMPRODUCT(INDEX(polEff,,27),INDEX(tlccEupol,,27))</f>
        <v>91144.096106481127</v>
      </c>
      <c r="AF27" s="28">
        <f ca="1">SUMPRODUCT(INDEX(polEff,,28),INDEX(tlccEupol,,28))</f>
        <v>91492.656722815649</v>
      </c>
      <c r="AG27" s="28">
        <f ca="1">SUMPRODUCT(INDEX(polEff,,29),INDEX(tlccEupol,,29))</f>
        <v>91873.135071942554</v>
      </c>
      <c r="AH27" s="28">
        <f ca="1">SUMPRODUCT(INDEX(polEff,,30),INDEX(tlccEupol,,30))</f>
        <v>92213.682160392345</v>
      </c>
      <c r="AI27" s="28">
        <f ca="1">SUMPRODUCT(INDEX(polEff,,31),INDEX(tlccEupol,,31))</f>
        <v>92585.520102543291</v>
      </c>
      <c r="AJ27" s="28">
        <f ca="1">SUMPRODUCT(INDEX(polEff,,32),INDEX(tlccEupol,,32))</f>
        <v>92917.006018523374</v>
      </c>
      <c r="AK27" s="29">
        <f ca="1">SUMPRODUCT(INDEX(polEff,,33),INDEX(tlccEupol,,33))</f>
        <v>93279.138428668011</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17525.038994555762</v>
      </c>
      <c r="F29" s="24">
        <f ca="1">SUMPRODUCT(INDEX(polEff,,2),INDEX(tlccFupolElec,,2))</f>
        <v>17394.042369870091</v>
      </c>
      <c r="G29" s="24">
        <f ca="1">SUMPRODUCT(INDEX(polEff,,3),INDEX(tlccFupolElec,,3))</f>
        <v>17262.05834802852</v>
      </c>
      <c r="H29" s="24">
        <f ca="1">SUMPRODUCT(INDEX(polEff,,4),INDEX(tlccFupolElec,,4))</f>
        <v>17146.140028932306</v>
      </c>
      <c r="I29" s="24">
        <f ca="1">SUMPRODUCT(INDEX(polEff,,5),INDEX(tlccFupolElec,,5))</f>
        <v>17036.223959722298</v>
      </c>
      <c r="J29" s="24">
        <f ca="1">SUMPRODUCT(INDEX(polEff,,6),INDEX(tlccFupolElec,,6))</f>
        <v>16940.500118503631</v>
      </c>
      <c r="K29" s="24">
        <f ca="1">SUMPRODUCT(INDEX(polEff,,7),INDEX(tlccFupolElec,,7))</f>
        <v>16866.265541303655</v>
      </c>
      <c r="L29" s="24">
        <f ca="1">SUMPRODUCT(INDEX(polEff,,8),INDEX(tlccFupolElec,,8))</f>
        <v>16804.728640324251</v>
      </c>
      <c r="M29" s="24">
        <f ca="1">SUMPRODUCT(INDEX(polEff,,9),INDEX(tlccFupolElec,,9))</f>
        <v>16742.925888274043</v>
      </c>
      <c r="N29" s="24">
        <f ca="1">SUMPRODUCT(INDEX(polEff,,10),INDEX(tlccFupolElec,,10))</f>
        <v>16693.499061759758</v>
      </c>
      <c r="O29" s="24">
        <f ca="1">SUMPRODUCT(INDEX(polEff,,11),INDEX(tlccFupolElec,,11))</f>
        <v>16659.459641170946</v>
      </c>
      <c r="P29" s="24">
        <f ca="1">SUMPRODUCT(INDEX(polEff,,12),INDEX(tlccFupolElec,,12))</f>
        <v>16634.554706940879</v>
      </c>
      <c r="Q29" s="24">
        <f ca="1">SUMPRODUCT(INDEX(polEff,,13),INDEX(tlccFupolElec,,13))</f>
        <v>16613.600855558281</v>
      </c>
      <c r="R29" s="24">
        <f ca="1">SUMPRODUCT(INDEX(polEff,,14),INDEX(tlccFupolElec,,14))</f>
        <v>16598.145254216346</v>
      </c>
      <c r="S29" s="24">
        <f ca="1">SUMPRODUCT(INDEX(polEff,,15),INDEX(tlccFupolElec,,15))</f>
        <v>16586.364229812873</v>
      </c>
      <c r="T29" s="24">
        <f ca="1">SUMPRODUCT(INDEX(polEff,,16),INDEX(tlccFupolElec,,16))</f>
        <v>16584.888534085167</v>
      </c>
      <c r="U29" s="24">
        <f ca="1">SUMPRODUCT(INDEX(polEff,,17),INDEX(tlccFupolElec,,17))</f>
        <v>16587.913414316667</v>
      </c>
      <c r="V29" s="24">
        <f ca="1">SUMPRODUCT(INDEX(polEff,,18),INDEX(tlccFupolElec,,18))</f>
        <v>16592.357444157809</v>
      </c>
      <c r="W29" s="24">
        <f ca="1">SUMPRODUCT(INDEX(polEff,,19),INDEX(tlccFupolElec,,19))</f>
        <v>16598.713022543598</v>
      </c>
      <c r="X29" s="24">
        <f ca="1">SUMPRODUCT(INDEX(polEff,,20),INDEX(tlccFupolElec,,20))</f>
        <v>16604.718975846397</v>
      </c>
      <c r="Y29" s="24">
        <f ca="1">SUMPRODUCT(INDEX(polEff,,21),INDEX(tlccFupolElec,,21))</f>
        <v>16609.695229274585</v>
      </c>
      <c r="Z29" s="24">
        <f ca="1">SUMPRODUCT(INDEX(polEff,,22),INDEX(tlccFupolElec,,22))</f>
        <v>16613.030022651204</v>
      </c>
      <c r="AA29" s="24">
        <f ca="1">SUMPRODUCT(INDEX(polEff,,23),INDEX(tlccFupolElec,,23))</f>
        <v>16615.227873472271</v>
      </c>
      <c r="AB29" s="24">
        <f ca="1">SUMPRODUCT(INDEX(polEff,,24),INDEX(tlccFupolElec,,24))</f>
        <v>16615.227873472271</v>
      </c>
      <c r="AC29" s="24">
        <f ca="1">SUMPRODUCT(INDEX(polEff,,25),INDEX(tlccFupolElec,,25))</f>
        <v>16615.227873472271</v>
      </c>
      <c r="AD29" s="24">
        <f ca="1">SUMPRODUCT(INDEX(polEff,,26),INDEX(tlccFupolElec,,26))</f>
        <v>16615.227873472271</v>
      </c>
      <c r="AE29" s="24">
        <f ca="1">SUMPRODUCT(INDEX(polEff,,27),INDEX(tlccFupolElec,,27))</f>
        <v>16615.227873472271</v>
      </c>
      <c r="AF29" s="24">
        <f ca="1">SUMPRODUCT(INDEX(polEff,,28),INDEX(tlccFupolElec,,28))</f>
        <v>16615.227873472271</v>
      </c>
      <c r="AG29" s="24">
        <f ca="1">SUMPRODUCT(INDEX(polEff,,29),INDEX(tlccFupolElec,,29))</f>
        <v>16615.227873472271</v>
      </c>
      <c r="AH29" s="24">
        <f ca="1">SUMPRODUCT(INDEX(polEff,,30),INDEX(tlccFupolElec,,30))</f>
        <v>16615.227873472271</v>
      </c>
      <c r="AI29" s="24">
        <f ca="1">SUMPRODUCT(INDEX(polEff,,31),INDEX(tlccFupolElec,,31))</f>
        <v>16615.227873472271</v>
      </c>
      <c r="AJ29" s="24">
        <f ca="1">SUMPRODUCT(INDEX(polEff,,32),INDEX(tlccFupolElec,,32))</f>
        <v>16615.227873472271</v>
      </c>
      <c r="AK29" s="26">
        <f ca="1">SUMPRODUCT(INDEX(polEff,,33),INDEX(tlccFupolElec,,33))</f>
        <v>16615.227873472271</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INDEX(_doName,3,1)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INDEX(_doName,3,2)</f>
        <v>EL 1: EL 1</v>
      </c>
      <c r="D33" s="16" t="s">
        <v>35</v>
      </c>
      <c r="E33" s="145">
        <v>8.5600000000000009E-2</v>
      </c>
      <c r="F33" s="17">
        <f t="array" ref="F33:AK33">$E$33</f>
        <v>8.5600000000000009E-2</v>
      </c>
      <c r="G33" s="17">
        <v>8.5600000000000009E-2</v>
      </c>
      <c r="H33" s="17">
        <v>8.5600000000000009E-2</v>
      </c>
      <c r="I33" s="17">
        <v>8.5600000000000009E-2</v>
      </c>
      <c r="J33" s="17">
        <v>8.5600000000000009E-2</v>
      </c>
      <c r="K33" s="17">
        <v>8.5600000000000009E-2</v>
      </c>
      <c r="L33" s="17">
        <v>8.5600000000000009E-2</v>
      </c>
      <c r="M33" s="17">
        <v>8.5600000000000009E-2</v>
      </c>
      <c r="N33" s="17">
        <v>8.5600000000000009E-2</v>
      </c>
      <c r="O33" s="17">
        <v>8.5600000000000009E-2</v>
      </c>
      <c r="P33" s="17">
        <v>8.5600000000000009E-2</v>
      </c>
      <c r="Q33" s="17">
        <v>8.5600000000000009E-2</v>
      </c>
      <c r="R33" s="17">
        <v>8.5600000000000009E-2</v>
      </c>
      <c r="S33" s="17">
        <v>8.5600000000000009E-2</v>
      </c>
      <c r="T33" s="17">
        <v>8.5600000000000009E-2</v>
      </c>
      <c r="U33" s="17">
        <v>8.5600000000000009E-2</v>
      </c>
      <c r="V33" s="17">
        <v>8.5600000000000009E-2</v>
      </c>
      <c r="W33" s="17">
        <v>8.5600000000000009E-2</v>
      </c>
      <c r="X33" s="17">
        <v>8.5600000000000009E-2</v>
      </c>
      <c r="Y33" s="17">
        <v>8.5600000000000009E-2</v>
      </c>
      <c r="Z33" s="17">
        <v>8.5600000000000009E-2</v>
      </c>
      <c r="AA33" s="17">
        <v>8.5600000000000009E-2</v>
      </c>
      <c r="AB33" s="17">
        <v>8.5600000000000009E-2</v>
      </c>
      <c r="AC33" s="17">
        <v>8.5600000000000009E-2</v>
      </c>
      <c r="AD33" s="17">
        <v>8.5600000000000009E-2</v>
      </c>
      <c r="AE33" s="17">
        <v>8.5600000000000009E-2</v>
      </c>
      <c r="AF33" s="17">
        <v>8.5600000000000009E-2</v>
      </c>
      <c r="AG33" s="17">
        <v>8.5600000000000009E-2</v>
      </c>
      <c r="AH33" s="17">
        <v>8.5600000000000009E-2</v>
      </c>
      <c r="AI33" s="17">
        <v>8.5600000000000009E-2</v>
      </c>
      <c r="AJ33" s="17">
        <v>8.5600000000000009E-2</v>
      </c>
      <c r="AK33" s="18">
        <v>8.5600000000000009E-2</v>
      </c>
      <c r="AL33" s="3"/>
    </row>
    <row r="34" spans="2:38">
      <c r="B34" s="3"/>
      <c r="C34" s="12" t="str">
        <f>"EL 2: " &amp; INDEX(_doName,3,3)</f>
        <v>EL 2: EL 2</v>
      </c>
      <c r="D34" s="16" t="s">
        <v>35</v>
      </c>
      <c r="E34" s="145">
        <v>4.3099999999999999E-2</v>
      </c>
      <c r="F34" s="17">
        <f t="array" ref="F34:AK34">$E$34</f>
        <v>4.3099999999999999E-2</v>
      </c>
      <c r="G34" s="17">
        <v>4.3099999999999999E-2</v>
      </c>
      <c r="H34" s="17">
        <v>4.3099999999999999E-2</v>
      </c>
      <c r="I34" s="17">
        <v>4.3099999999999999E-2</v>
      </c>
      <c r="J34" s="17">
        <v>4.3099999999999999E-2</v>
      </c>
      <c r="K34" s="17">
        <v>4.3099999999999999E-2</v>
      </c>
      <c r="L34" s="17">
        <v>4.3099999999999999E-2</v>
      </c>
      <c r="M34" s="17">
        <v>4.3099999999999999E-2</v>
      </c>
      <c r="N34" s="17">
        <v>4.3099999999999999E-2</v>
      </c>
      <c r="O34" s="17">
        <v>4.3099999999999999E-2</v>
      </c>
      <c r="P34" s="17">
        <v>4.3099999999999999E-2</v>
      </c>
      <c r="Q34" s="17">
        <v>4.3099999999999999E-2</v>
      </c>
      <c r="R34" s="17">
        <v>4.3099999999999999E-2</v>
      </c>
      <c r="S34" s="17">
        <v>4.3099999999999999E-2</v>
      </c>
      <c r="T34" s="17">
        <v>4.3099999999999999E-2</v>
      </c>
      <c r="U34" s="17">
        <v>4.3099999999999999E-2</v>
      </c>
      <c r="V34" s="17">
        <v>4.3099999999999999E-2</v>
      </c>
      <c r="W34" s="17">
        <v>4.3099999999999999E-2</v>
      </c>
      <c r="X34" s="17">
        <v>4.3099999999999999E-2</v>
      </c>
      <c r="Y34" s="17">
        <v>4.3099999999999999E-2</v>
      </c>
      <c r="Z34" s="17">
        <v>4.3099999999999999E-2</v>
      </c>
      <c r="AA34" s="17">
        <v>4.3099999999999999E-2</v>
      </c>
      <c r="AB34" s="17">
        <v>4.3099999999999999E-2</v>
      </c>
      <c r="AC34" s="17">
        <v>4.3099999999999999E-2</v>
      </c>
      <c r="AD34" s="17">
        <v>4.3099999999999999E-2</v>
      </c>
      <c r="AE34" s="17">
        <v>4.3099999999999999E-2</v>
      </c>
      <c r="AF34" s="17">
        <v>4.3099999999999999E-2</v>
      </c>
      <c r="AG34" s="17">
        <v>4.3099999999999999E-2</v>
      </c>
      <c r="AH34" s="17">
        <v>4.3099999999999999E-2</v>
      </c>
      <c r="AI34" s="17">
        <v>4.3099999999999999E-2</v>
      </c>
      <c r="AJ34" s="17">
        <v>4.3099999999999999E-2</v>
      </c>
      <c r="AK34" s="18">
        <v>4.3099999999999999E-2</v>
      </c>
      <c r="AL34" s="3"/>
    </row>
    <row r="35" spans="2:38">
      <c r="B35" s="3"/>
      <c r="C35" s="12" t="str">
        <f>"EL 3: " &amp; INDEX(_doName,3,4)</f>
        <v>EL 3: EL 3</v>
      </c>
      <c r="D35" s="16" t="s">
        <v>35</v>
      </c>
      <c r="E35" s="145">
        <v>3.5099999999999999E-2</v>
      </c>
      <c r="F35" s="17">
        <f t="array" ref="F35:AK35">$E$35</f>
        <v>3.5099999999999999E-2</v>
      </c>
      <c r="G35" s="17">
        <v>3.5099999999999999E-2</v>
      </c>
      <c r="H35" s="17">
        <v>3.5099999999999999E-2</v>
      </c>
      <c r="I35" s="17">
        <v>3.5099999999999999E-2</v>
      </c>
      <c r="J35" s="17">
        <v>3.5099999999999999E-2</v>
      </c>
      <c r="K35" s="17">
        <v>3.5099999999999999E-2</v>
      </c>
      <c r="L35" s="17">
        <v>3.5099999999999999E-2</v>
      </c>
      <c r="M35" s="17">
        <v>3.5099999999999999E-2</v>
      </c>
      <c r="N35" s="17">
        <v>3.5099999999999999E-2</v>
      </c>
      <c r="O35" s="17">
        <v>3.5099999999999999E-2</v>
      </c>
      <c r="P35" s="17">
        <v>3.5099999999999999E-2</v>
      </c>
      <c r="Q35" s="17">
        <v>3.5099999999999999E-2</v>
      </c>
      <c r="R35" s="17">
        <v>3.5099999999999999E-2</v>
      </c>
      <c r="S35" s="17">
        <v>3.5099999999999999E-2</v>
      </c>
      <c r="T35" s="17">
        <v>3.5099999999999999E-2</v>
      </c>
      <c r="U35" s="17">
        <v>3.5099999999999999E-2</v>
      </c>
      <c r="V35" s="17">
        <v>3.5099999999999999E-2</v>
      </c>
      <c r="W35" s="17">
        <v>3.5099999999999999E-2</v>
      </c>
      <c r="X35" s="17">
        <v>3.5099999999999999E-2</v>
      </c>
      <c r="Y35" s="17">
        <v>3.5099999999999999E-2</v>
      </c>
      <c r="Z35" s="17">
        <v>3.5099999999999999E-2</v>
      </c>
      <c r="AA35" s="17">
        <v>3.5099999999999999E-2</v>
      </c>
      <c r="AB35" s="17">
        <v>3.5099999999999999E-2</v>
      </c>
      <c r="AC35" s="17">
        <v>3.5099999999999999E-2</v>
      </c>
      <c r="AD35" s="17">
        <v>3.5099999999999999E-2</v>
      </c>
      <c r="AE35" s="17">
        <v>3.5099999999999999E-2</v>
      </c>
      <c r="AF35" s="17">
        <v>3.5099999999999999E-2</v>
      </c>
      <c r="AG35" s="17">
        <v>3.5099999999999999E-2</v>
      </c>
      <c r="AH35" s="17">
        <v>3.5099999999999999E-2</v>
      </c>
      <c r="AI35" s="17">
        <v>3.5099999999999999E-2</v>
      </c>
      <c r="AJ35" s="17">
        <v>3.5099999999999999E-2</v>
      </c>
      <c r="AK35" s="18">
        <v>3.5099999999999999E-2</v>
      </c>
      <c r="AL35" s="3"/>
    </row>
    <row r="36" spans="2:38">
      <c r="B36" s="3"/>
      <c r="C36" s="12" t="str">
        <f>"EL 4: " &amp; INDEX(_doName,3,5)</f>
        <v>EL 4: EL 4</v>
      </c>
      <c r="D36" s="16" t="s">
        <v>35</v>
      </c>
      <c r="E36" s="145">
        <v>0.33339999999999997</v>
      </c>
      <c r="F36" s="17">
        <f t="array" ref="F36:AK36">$E$36</f>
        <v>0.33339999999999997</v>
      </c>
      <c r="G36" s="17">
        <v>0.33339999999999997</v>
      </c>
      <c r="H36" s="17">
        <v>0.33339999999999997</v>
      </c>
      <c r="I36" s="17">
        <v>0.33339999999999997</v>
      </c>
      <c r="J36" s="17">
        <v>0.33339999999999997</v>
      </c>
      <c r="K36" s="17">
        <v>0.33339999999999997</v>
      </c>
      <c r="L36" s="17">
        <v>0.33339999999999997</v>
      </c>
      <c r="M36" s="17">
        <v>0.33339999999999997</v>
      </c>
      <c r="N36" s="17">
        <v>0.33339999999999997</v>
      </c>
      <c r="O36" s="17">
        <v>0.33339999999999997</v>
      </c>
      <c r="P36" s="17">
        <v>0.33339999999999997</v>
      </c>
      <c r="Q36" s="17">
        <v>0.33339999999999997</v>
      </c>
      <c r="R36" s="17">
        <v>0.33339999999999997</v>
      </c>
      <c r="S36" s="17">
        <v>0.33339999999999997</v>
      </c>
      <c r="T36" s="17">
        <v>0.33339999999999997</v>
      </c>
      <c r="U36" s="17">
        <v>0.33339999999999997</v>
      </c>
      <c r="V36" s="17">
        <v>0.33339999999999997</v>
      </c>
      <c r="W36" s="17">
        <v>0.33339999999999997</v>
      </c>
      <c r="X36" s="17">
        <v>0.33339999999999997</v>
      </c>
      <c r="Y36" s="17">
        <v>0.33339999999999997</v>
      </c>
      <c r="Z36" s="17">
        <v>0.33339999999999997</v>
      </c>
      <c r="AA36" s="17">
        <v>0.33339999999999997</v>
      </c>
      <c r="AB36" s="17">
        <v>0.33339999999999997</v>
      </c>
      <c r="AC36" s="17">
        <v>0.33339999999999997</v>
      </c>
      <c r="AD36" s="17">
        <v>0.33339999999999997</v>
      </c>
      <c r="AE36" s="17">
        <v>0.33339999999999997</v>
      </c>
      <c r="AF36" s="17">
        <v>0.33339999999999997</v>
      </c>
      <c r="AG36" s="17">
        <v>0.33339999999999997</v>
      </c>
      <c r="AH36" s="17">
        <v>0.33339999999999997</v>
      </c>
      <c r="AI36" s="17">
        <v>0.33339999999999997</v>
      </c>
      <c r="AJ36" s="17">
        <v>0.33339999999999997</v>
      </c>
      <c r="AK36" s="18">
        <v>0.33339999999999997</v>
      </c>
      <c r="AL36" s="3"/>
    </row>
    <row r="37" spans="2:38">
      <c r="B37" s="3"/>
      <c r="C37" s="12" t="str">
        <f>"EL 5: " &amp; INDEX(_doName,3,6)</f>
        <v>EL 5: EL 5</v>
      </c>
      <c r="D37" s="16" t="s">
        <v>35</v>
      </c>
      <c r="E37" s="145">
        <v>0.2034</v>
      </c>
      <c r="F37" s="17">
        <f t="array" ref="F37:AK37">$E$37</f>
        <v>0.2034</v>
      </c>
      <c r="G37" s="17">
        <v>0.2034</v>
      </c>
      <c r="H37" s="17">
        <v>0.2034</v>
      </c>
      <c r="I37" s="17">
        <v>0.2034</v>
      </c>
      <c r="J37" s="17">
        <v>0.2034</v>
      </c>
      <c r="K37" s="17">
        <v>0.2034</v>
      </c>
      <c r="L37" s="17">
        <v>0.2034</v>
      </c>
      <c r="M37" s="17">
        <v>0.2034</v>
      </c>
      <c r="N37" s="17">
        <v>0.2034</v>
      </c>
      <c r="O37" s="17">
        <v>0.2034</v>
      </c>
      <c r="P37" s="17">
        <v>0.2034</v>
      </c>
      <c r="Q37" s="17">
        <v>0.2034</v>
      </c>
      <c r="R37" s="17">
        <v>0.2034</v>
      </c>
      <c r="S37" s="17">
        <v>0.2034</v>
      </c>
      <c r="T37" s="17">
        <v>0.2034</v>
      </c>
      <c r="U37" s="17">
        <v>0.2034</v>
      </c>
      <c r="V37" s="17">
        <v>0.2034</v>
      </c>
      <c r="W37" s="17">
        <v>0.2034</v>
      </c>
      <c r="X37" s="17">
        <v>0.2034</v>
      </c>
      <c r="Y37" s="17">
        <v>0.2034</v>
      </c>
      <c r="Z37" s="17">
        <v>0.2034</v>
      </c>
      <c r="AA37" s="17">
        <v>0.2034</v>
      </c>
      <c r="AB37" s="17">
        <v>0.2034</v>
      </c>
      <c r="AC37" s="17">
        <v>0.2034</v>
      </c>
      <c r="AD37" s="17">
        <v>0.2034</v>
      </c>
      <c r="AE37" s="17">
        <v>0.2034</v>
      </c>
      <c r="AF37" s="17">
        <v>0.2034</v>
      </c>
      <c r="AG37" s="17">
        <v>0.2034</v>
      </c>
      <c r="AH37" s="17">
        <v>0.2034</v>
      </c>
      <c r="AI37" s="17">
        <v>0.2034</v>
      </c>
      <c r="AJ37" s="17">
        <v>0.2034</v>
      </c>
      <c r="AK37" s="18">
        <v>0.2034</v>
      </c>
      <c r="AL37" s="3"/>
    </row>
    <row r="38" spans="2:38">
      <c r="B38" s="3"/>
      <c r="C38" s="4" t="str">
        <f>"EL 6: " &amp; INDEX(_doName,3,7)</f>
        <v>EL 6: EL 6</v>
      </c>
      <c r="D38" s="5" t="s">
        <v>35</v>
      </c>
      <c r="E38" s="146">
        <v>0.2994</v>
      </c>
      <c r="F38" s="19">
        <f t="array" ref="F38:AK38">$E$38</f>
        <v>0.2994</v>
      </c>
      <c r="G38" s="19">
        <v>0.2994</v>
      </c>
      <c r="H38" s="19">
        <v>0.2994</v>
      </c>
      <c r="I38" s="19">
        <v>0.2994</v>
      </c>
      <c r="J38" s="19">
        <v>0.2994</v>
      </c>
      <c r="K38" s="19">
        <v>0.2994</v>
      </c>
      <c r="L38" s="19">
        <v>0.2994</v>
      </c>
      <c r="M38" s="19">
        <v>0.2994</v>
      </c>
      <c r="N38" s="19">
        <v>0.2994</v>
      </c>
      <c r="O38" s="19">
        <v>0.2994</v>
      </c>
      <c r="P38" s="19">
        <v>0.2994</v>
      </c>
      <c r="Q38" s="19">
        <v>0.2994</v>
      </c>
      <c r="R38" s="19">
        <v>0.2994</v>
      </c>
      <c r="S38" s="19">
        <v>0.2994</v>
      </c>
      <c r="T38" s="19">
        <v>0.2994</v>
      </c>
      <c r="U38" s="19">
        <v>0.2994</v>
      </c>
      <c r="V38" s="19">
        <v>0.2994</v>
      </c>
      <c r="W38" s="19">
        <v>0.2994</v>
      </c>
      <c r="X38" s="19">
        <v>0.2994</v>
      </c>
      <c r="Y38" s="19">
        <v>0.2994</v>
      </c>
      <c r="Z38" s="19">
        <v>0.2994</v>
      </c>
      <c r="AA38" s="19">
        <v>0.2994</v>
      </c>
      <c r="AB38" s="19">
        <v>0.2994</v>
      </c>
      <c r="AC38" s="19">
        <v>0.2994</v>
      </c>
      <c r="AD38" s="19">
        <v>0.2994</v>
      </c>
      <c r="AE38" s="19">
        <v>0.2994</v>
      </c>
      <c r="AF38" s="19">
        <v>0.2994</v>
      </c>
      <c r="AG38" s="19">
        <v>0.2994</v>
      </c>
      <c r="AH38" s="19">
        <v>0.2994</v>
      </c>
      <c r="AI38" s="19">
        <v>0.2994</v>
      </c>
      <c r="AJ38" s="19">
        <v>0.2994</v>
      </c>
      <c r="AK38" s="20">
        <v>0.2994</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INDEX(_doName,3,1)</f>
        <v>EL 0: EL 0</v>
      </c>
      <c r="D41" s="16" t="s">
        <v>35</v>
      </c>
      <c r="E41" s="145">
        <f>INDEX(bcCnH,1)</f>
        <v>5.3100000000000001E-2</v>
      </c>
      <c r="F41" s="17">
        <f t="array" ref="F41:AK41">$E$41</f>
        <v>5.3100000000000001E-2</v>
      </c>
      <c r="G41" s="17">
        <v>5.3100000000000001E-2</v>
      </c>
      <c r="H41" s="17">
        <v>5.3100000000000001E-2</v>
      </c>
      <c r="I41" s="17">
        <v>5.3100000000000001E-2</v>
      </c>
      <c r="J41" s="17">
        <v>5.3100000000000001E-2</v>
      </c>
      <c r="K41" s="17">
        <v>5.3100000000000001E-2</v>
      </c>
      <c r="L41" s="17">
        <v>5.3100000000000001E-2</v>
      </c>
      <c r="M41" s="17">
        <v>5.3100000000000001E-2</v>
      </c>
      <c r="N41" s="17">
        <v>5.3100000000000001E-2</v>
      </c>
      <c r="O41" s="17">
        <v>5.3100000000000001E-2</v>
      </c>
      <c r="P41" s="17">
        <v>5.3100000000000001E-2</v>
      </c>
      <c r="Q41" s="17">
        <v>5.3100000000000001E-2</v>
      </c>
      <c r="R41" s="17">
        <v>5.3100000000000001E-2</v>
      </c>
      <c r="S41" s="17">
        <v>5.3100000000000001E-2</v>
      </c>
      <c r="T41" s="17">
        <v>5.3100000000000001E-2</v>
      </c>
      <c r="U41" s="17">
        <v>5.3100000000000001E-2</v>
      </c>
      <c r="V41" s="17">
        <v>5.3100000000000001E-2</v>
      </c>
      <c r="W41" s="17">
        <v>5.3100000000000001E-2</v>
      </c>
      <c r="X41" s="17">
        <v>5.3100000000000001E-2</v>
      </c>
      <c r="Y41" s="17">
        <v>5.3100000000000001E-2</v>
      </c>
      <c r="Z41" s="17">
        <v>5.3100000000000001E-2</v>
      </c>
      <c r="AA41" s="17">
        <v>5.3100000000000001E-2</v>
      </c>
      <c r="AB41" s="17">
        <v>5.3100000000000001E-2</v>
      </c>
      <c r="AC41" s="17">
        <v>5.3100000000000001E-2</v>
      </c>
      <c r="AD41" s="17">
        <v>5.3100000000000001E-2</v>
      </c>
      <c r="AE41" s="17">
        <v>5.3100000000000001E-2</v>
      </c>
      <c r="AF41" s="17">
        <v>5.3100000000000001E-2</v>
      </c>
      <c r="AG41" s="17">
        <v>5.3100000000000001E-2</v>
      </c>
      <c r="AH41" s="17">
        <v>5.3100000000000001E-2</v>
      </c>
      <c r="AI41" s="17">
        <v>5.3100000000000001E-2</v>
      </c>
      <c r="AJ41" s="17">
        <v>5.3100000000000001E-2</v>
      </c>
      <c r="AK41" s="18">
        <v>5.3100000000000001E-2</v>
      </c>
      <c r="AL41" s="3"/>
    </row>
    <row r="42" spans="2:38">
      <c r="B42" s="3"/>
      <c r="C42" s="12" t="str">
        <f>"EL 1: " &amp; INDEX(_doName,3,2)</f>
        <v>EL 1: EL 1</v>
      </c>
      <c r="D42" s="16" t="s">
        <v>35</v>
      </c>
      <c r="E42" s="145">
        <f>INDEX(bcCnH,2)</f>
        <v>3.2500000000000001E-2</v>
      </c>
      <c r="F42" s="17">
        <f t="array" ref="F42:AK42">$E$42</f>
        <v>3.2500000000000001E-2</v>
      </c>
      <c r="G42" s="17">
        <v>3.2500000000000001E-2</v>
      </c>
      <c r="H42" s="17">
        <v>3.2500000000000001E-2</v>
      </c>
      <c r="I42" s="17">
        <v>3.2500000000000001E-2</v>
      </c>
      <c r="J42" s="17">
        <v>3.2500000000000001E-2</v>
      </c>
      <c r="K42" s="17">
        <v>3.2500000000000001E-2</v>
      </c>
      <c r="L42" s="17">
        <v>3.2500000000000001E-2</v>
      </c>
      <c r="M42" s="17">
        <v>3.2500000000000001E-2</v>
      </c>
      <c r="N42" s="17">
        <v>3.2500000000000001E-2</v>
      </c>
      <c r="O42" s="17">
        <v>3.2500000000000001E-2</v>
      </c>
      <c r="P42" s="17">
        <v>3.2500000000000001E-2</v>
      </c>
      <c r="Q42" s="17">
        <v>3.2500000000000001E-2</v>
      </c>
      <c r="R42" s="17">
        <v>3.2500000000000001E-2</v>
      </c>
      <c r="S42" s="17">
        <v>3.2500000000000001E-2</v>
      </c>
      <c r="T42" s="17">
        <v>3.2500000000000001E-2</v>
      </c>
      <c r="U42" s="17">
        <v>3.2500000000000001E-2</v>
      </c>
      <c r="V42" s="17">
        <v>3.2500000000000001E-2</v>
      </c>
      <c r="W42" s="17">
        <v>3.2500000000000001E-2</v>
      </c>
      <c r="X42" s="17">
        <v>3.2500000000000001E-2</v>
      </c>
      <c r="Y42" s="17">
        <v>3.2500000000000001E-2</v>
      </c>
      <c r="Z42" s="17">
        <v>3.2500000000000001E-2</v>
      </c>
      <c r="AA42" s="17">
        <v>3.2500000000000001E-2</v>
      </c>
      <c r="AB42" s="17">
        <v>3.2500000000000001E-2</v>
      </c>
      <c r="AC42" s="17">
        <v>3.2500000000000001E-2</v>
      </c>
      <c r="AD42" s="17">
        <v>3.2500000000000001E-2</v>
      </c>
      <c r="AE42" s="17">
        <v>3.2500000000000001E-2</v>
      </c>
      <c r="AF42" s="17">
        <v>3.2500000000000001E-2</v>
      </c>
      <c r="AG42" s="17">
        <v>3.2500000000000001E-2</v>
      </c>
      <c r="AH42" s="17">
        <v>3.2500000000000001E-2</v>
      </c>
      <c r="AI42" s="17">
        <v>3.2500000000000001E-2</v>
      </c>
      <c r="AJ42" s="17">
        <v>3.2500000000000001E-2</v>
      </c>
      <c r="AK42" s="18">
        <v>3.2500000000000001E-2</v>
      </c>
      <c r="AL42" s="3"/>
    </row>
    <row r="43" spans="2:38">
      <c r="B43" s="3"/>
      <c r="C43" s="12" t="str">
        <f>"EL 2: " &amp; INDEX(_doName,3,3)</f>
        <v>EL 2: EL 2</v>
      </c>
      <c r="D43" s="16" t="s">
        <v>35</v>
      </c>
      <c r="E43" s="145">
        <f>INDEX(bcCnH,3)</f>
        <v>4.3099999999999999E-2</v>
      </c>
      <c r="F43" s="17">
        <f t="array" ref="F43:AK43">$E$43</f>
        <v>4.3099999999999999E-2</v>
      </c>
      <c r="G43" s="17">
        <v>4.3099999999999999E-2</v>
      </c>
      <c r="H43" s="17">
        <v>4.3099999999999999E-2</v>
      </c>
      <c r="I43" s="17">
        <v>4.3099999999999999E-2</v>
      </c>
      <c r="J43" s="17">
        <v>4.3099999999999999E-2</v>
      </c>
      <c r="K43" s="17">
        <v>4.3099999999999999E-2</v>
      </c>
      <c r="L43" s="17">
        <v>4.3099999999999999E-2</v>
      </c>
      <c r="M43" s="17">
        <v>4.3099999999999999E-2</v>
      </c>
      <c r="N43" s="17">
        <v>4.3099999999999999E-2</v>
      </c>
      <c r="O43" s="17">
        <v>4.3099999999999999E-2</v>
      </c>
      <c r="P43" s="17">
        <v>4.3099999999999999E-2</v>
      </c>
      <c r="Q43" s="17">
        <v>4.3099999999999999E-2</v>
      </c>
      <c r="R43" s="17">
        <v>4.3099999999999999E-2</v>
      </c>
      <c r="S43" s="17">
        <v>4.3099999999999999E-2</v>
      </c>
      <c r="T43" s="17">
        <v>4.3099999999999999E-2</v>
      </c>
      <c r="U43" s="17">
        <v>4.3099999999999999E-2</v>
      </c>
      <c r="V43" s="17">
        <v>4.3099999999999999E-2</v>
      </c>
      <c r="W43" s="17">
        <v>4.3099999999999999E-2</v>
      </c>
      <c r="X43" s="17">
        <v>4.3099999999999999E-2</v>
      </c>
      <c r="Y43" s="17">
        <v>4.3099999999999999E-2</v>
      </c>
      <c r="Z43" s="17">
        <v>4.3099999999999999E-2</v>
      </c>
      <c r="AA43" s="17">
        <v>4.3099999999999999E-2</v>
      </c>
      <c r="AB43" s="17">
        <v>4.3099999999999999E-2</v>
      </c>
      <c r="AC43" s="17">
        <v>4.3099999999999999E-2</v>
      </c>
      <c r="AD43" s="17">
        <v>4.3099999999999999E-2</v>
      </c>
      <c r="AE43" s="17">
        <v>4.3099999999999999E-2</v>
      </c>
      <c r="AF43" s="17">
        <v>4.3099999999999999E-2</v>
      </c>
      <c r="AG43" s="17">
        <v>4.3099999999999999E-2</v>
      </c>
      <c r="AH43" s="17">
        <v>4.3099999999999999E-2</v>
      </c>
      <c r="AI43" s="17">
        <v>4.3099999999999999E-2</v>
      </c>
      <c r="AJ43" s="17">
        <v>4.3099999999999999E-2</v>
      </c>
      <c r="AK43" s="18">
        <v>4.3099999999999999E-2</v>
      </c>
      <c r="AL43" s="3"/>
    </row>
    <row r="44" spans="2:38">
      <c r="B44" s="3"/>
      <c r="C44" s="12" t="str">
        <f>"EL 3: " &amp; INDEX(_doName,3,4)</f>
        <v>EL 3: EL 3</v>
      </c>
      <c r="D44" s="16" t="s">
        <v>35</v>
      </c>
      <c r="E44" s="145">
        <f>INDEX(bcCnH,4)</f>
        <v>3.5099999999999999E-2</v>
      </c>
      <c r="F44" s="17">
        <f t="array" ref="F44:AK44">$E$44</f>
        <v>3.5099999999999999E-2</v>
      </c>
      <c r="G44" s="17">
        <v>3.5099999999999999E-2</v>
      </c>
      <c r="H44" s="17">
        <v>3.5099999999999999E-2</v>
      </c>
      <c r="I44" s="17">
        <v>3.5099999999999999E-2</v>
      </c>
      <c r="J44" s="17">
        <v>3.5099999999999999E-2</v>
      </c>
      <c r="K44" s="17">
        <v>3.5099999999999999E-2</v>
      </c>
      <c r="L44" s="17">
        <v>3.5099999999999999E-2</v>
      </c>
      <c r="M44" s="17">
        <v>3.5099999999999999E-2</v>
      </c>
      <c r="N44" s="17">
        <v>3.5099999999999999E-2</v>
      </c>
      <c r="O44" s="17">
        <v>3.5099999999999999E-2</v>
      </c>
      <c r="P44" s="17">
        <v>3.5099999999999999E-2</v>
      </c>
      <c r="Q44" s="17">
        <v>3.5099999999999999E-2</v>
      </c>
      <c r="R44" s="17">
        <v>3.5099999999999999E-2</v>
      </c>
      <c r="S44" s="17">
        <v>3.5099999999999999E-2</v>
      </c>
      <c r="T44" s="17">
        <v>3.5099999999999999E-2</v>
      </c>
      <c r="U44" s="17">
        <v>3.5099999999999999E-2</v>
      </c>
      <c r="V44" s="17">
        <v>3.5099999999999999E-2</v>
      </c>
      <c r="W44" s="17">
        <v>3.5099999999999999E-2</v>
      </c>
      <c r="X44" s="17">
        <v>3.5099999999999999E-2</v>
      </c>
      <c r="Y44" s="17">
        <v>3.5099999999999999E-2</v>
      </c>
      <c r="Z44" s="17">
        <v>3.5099999999999999E-2</v>
      </c>
      <c r="AA44" s="17">
        <v>3.5099999999999999E-2</v>
      </c>
      <c r="AB44" s="17">
        <v>3.5099999999999999E-2</v>
      </c>
      <c r="AC44" s="17">
        <v>3.5099999999999999E-2</v>
      </c>
      <c r="AD44" s="17">
        <v>3.5099999999999999E-2</v>
      </c>
      <c r="AE44" s="17">
        <v>3.5099999999999999E-2</v>
      </c>
      <c r="AF44" s="17">
        <v>3.5099999999999999E-2</v>
      </c>
      <c r="AG44" s="17">
        <v>3.5099999999999999E-2</v>
      </c>
      <c r="AH44" s="17">
        <v>3.5099999999999999E-2</v>
      </c>
      <c r="AI44" s="17">
        <v>3.5099999999999999E-2</v>
      </c>
      <c r="AJ44" s="17">
        <v>3.5099999999999999E-2</v>
      </c>
      <c r="AK44" s="18">
        <v>3.5099999999999999E-2</v>
      </c>
      <c r="AL44" s="3"/>
    </row>
    <row r="45" spans="2:38">
      <c r="B45" s="3"/>
      <c r="C45" s="12" t="str">
        <f>"EL 4: " &amp; INDEX(_doName,3,5)</f>
        <v>EL 4: EL 4</v>
      </c>
      <c r="D45" s="16" t="s">
        <v>35</v>
      </c>
      <c r="E45" s="145">
        <f>INDEX(bcCnH,5)</f>
        <v>0.33339999999999997</v>
      </c>
      <c r="F45" s="17">
        <f t="array" ref="F45:AK45">$E$45</f>
        <v>0.33339999999999997</v>
      </c>
      <c r="G45" s="17">
        <v>0.33339999999999997</v>
      </c>
      <c r="H45" s="17">
        <v>0.33339999999999997</v>
      </c>
      <c r="I45" s="17">
        <v>0.33339999999999997</v>
      </c>
      <c r="J45" s="17">
        <v>0.33339999999999997</v>
      </c>
      <c r="K45" s="17">
        <v>0.33339999999999997</v>
      </c>
      <c r="L45" s="17">
        <v>0.33339999999999997</v>
      </c>
      <c r="M45" s="17">
        <v>0.33339999999999997</v>
      </c>
      <c r="N45" s="17">
        <v>0.33339999999999997</v>
      </c>
      <c r="O45" s="17">
        <v>0.33339999999999997</v>
      </c>
      <c r="P45" s="17">
        <v>0.33339999999999997</v>
      </c>
      <c r="Q45" s="17">
        <v>0.33339999999999997</v>
      </c>
      <c r="R45" s="17">
        <v>0.33339999999999997</v>
      </c>
      <c r="S45" s="17">
        <v>0.33339999999999997</v>
      </c>
      <c r="T45" s="17">
        <v>0.33339999999999997</v>
      </c>
      <c r="U45" s="17">
        <v>0.33339999999999997</v>
      </c>
      <c r="V45" s="17">
        <v>0.33339999999999997</v>
      </c>
      <c r="W45" s="17">
        <v>0.33339999999999997</v>
      </c>
      <c r="X45" s="17">
        <v>0.33339999999999997</v>
      </c>
      <c r="Y45" s="17">
        <v>0.33339999999999997</v>
      </c>
      <c r="Z45" s="17">
        <v>0.33339999999999997</v>
      </c>
      <c r="AA45" s="17">
        <v>0.33339999999999997</v>
      </c>
      <c r="AB45" s="17">
        <v>0.33339999999999997</v>
      </c>
      <c r="AC45" s="17">
        <v>0.33339999999999997</v>
      </c>
      <c r="AD45" s="17">
        <v>0.33339999999999997</v>
      </c>
      <c r="AE45" s="17">
        <v>0.33339999999999997</v>
      </c>
      <c r="AF45" s="17">
        <v>0.33339999999999997</v>
      </c>
      <c r="AG45" s="17">
        <v>0.33339999999999997</v>
      </c>
      <c r="AH45" s="17">
        <v>0.33339999999999997</v>
      </c>
      <c r="AI45" s="17">
        <v>0.33339999999999997</v>
      </c>
      <c r="AJ45" s="17">
        <v>0.33339999999999997</v>
      </c>
      <c r="AK45" s="18">
        <v>0.33339999999999997</v>
      </c>
      <c r="AL45" s="3"/>
    </row>
    <row r="46" spans="2:38">
      <c r="B46" s="3"/>
      <c r="C46" s="12" t="str">
        <f>"EL 5: " &amp; INDEX(_doName,3,6)</f>
        <v>EL 5: EL 5</v>
      </c>
      <c r="D46" s="16" t="s">
        <v>35</v>
      </c>
      <c r="E46" s="145">
        <f>INDEX(bcCnH,6)</f>
        <v>0.2034</v>
      </c>
      <c r="F46" s="17">
        <f t="array" ref="F46:AK46">$E$46</f>
        <v>0.2034</v>
      </c>
      <c r="G46" s="17">
        <v>0.2034</v>
      </c>
      <c r="H46" s="17">
        <v>0.2034</v>
      </c>
      <c r="I46" s="17">
        <v>0.2034</v>
      </c>
      <c r="J46" s="17">
        <v>0.2034</v>
      </c>
      <c r="K46" s="17">
        <v>0.2034</v>
      </c>
      <c r="L46" s="17">
        <v>0.2034</v>
      </c>
      <c r="M46" s="17">
        <v>0.2034</v>
      </c>
      <c r="N46" s="17">
        <v>0.2034</v>
      </c>
      <c r="O46" s="17">
        <v>0.2034</v>
      </c>
      <c r="P46" s="17">
        <v>0.2034</v>
      </c>
      <c r="Q46" s="17">
        <v>0.2034</v>
      </c>
      <c r="R46" s="17">
        <v>0.2034</v>
      </c>
      <c r="S46" s="17">
        <v>0.2034</v>
      </c>
      <c r="T46" s="17">
        <v>0.2034</v>
      </c>
      <c r="U46" s="17">
        <v>0.2034</v>
      </c>
      <c r="V46" s="17">
        <v>0.2034</v>
      </c>
      <c r="W46" s="17">
        <v>0.2034</v>
      </c>
      <c r="X46" s="17">
        <v>0.2034</v>
      </c>
      <c r="Y46" s="17">
        <v>0.2034</v>
      </c>
      <c r="Z46" s="17">
        <v>0.2034</v>
      </c>
      <c r="AA46" s="17">
        <v>0.2034</v>
      </c>
      <c r="AB46" s="17">
        <v>0.2034</v>
      </c>
      <c r="AC46" s="17">
        <v>0.2034</v>
      </c>
      <c r="AD46" s="17">
        <v>0.2034</v>
      </c>
      <c r="AE46" s="17">
        <v>0.2034</v>
      </c>
      <c r="AF46" s="17">
        <v>0.2034</v>
      </c>
      <c r="AG46" s="17">
        <v>0.2034</v>
      </c>
      <c r="AH46" s="17">
        <v>0.2034</v>
      </c>
      <c r="AI46" s="17">
        <v>0.2034</v>
      </c>
      <c r="AJ46" s="17">
        <v>0.2034</v>
      </c>
      <c r="AK46" s="18">
        <v>0.2034</v>
      </c>
      <c r="AL46" s="3"/>
    </row>
    <row r="47" spans="2:38">
      <c r="B47" s="3"/>
      <c r="C47" s="4" t="str">
        <f>"EL 6: " &amp; INDEX(_doName,3,7)</f>
        <v>EL 6: EL 6</v>
      </c>
      <c r="D47" s="5" t="s">
        <v>35</v>
      </c>
      <c r="E47" s="146">
        <f>INDEX(bcCnH,7)</f>
        <v>0.2994</v>
      </c>
      <c r="F47" s="19">
        <f t="array" ref="F47:AK47">$E$47</f>
        <v>0.2994</v>
      </c>
      <c r="G47" s="19">
        <v>0.2994</v>
      </c>
      <c r="H47" s="19">
        <v>0.2994</v>
      </c>
      <c r="I47" s="19">
        <v>0.2994</v>
      </c>
      <c r="J47" s="19">
        <v>0.2994</v>
      </c>
      <c r="K47" s="19">
        <v>0.2994</v>
      </c>
      <c r="L47" s="19">
        <v>0.2994</v>
      </c>
      <c r="M47" s="19">
        <v>0.2994</v>
      </c>
      <c r="N47" s="19">
        <v>0.2994</v>
      </c>
      <c r="O47" s="19">
        <v>0.2994</v>
      </c>
      <c r="P47" s="19">
        <v>0.2994</v>
      </c>
      <c r="Q47" s="19">
        <v>0.2994</v>
      </c>
      <c r="R47" s="19">
        <v>0.2994</v>
      </c>
      <c r="S47" s="19">
        <v>0.2994</v>
      </c>
      <c r="T47" s="19">
        <v>0.2994</v>
      </c>
      <c r="U47" s="19">
        <v>0.2994</v>
      </c>
      <c r="V47" s="19">
        <v>0.2994</v>
      </c>
      <c r="W47" s="19">
        <v>0.2994</v>
      </c>
      <c r="X47" s="19">
        <v>0.2994</v>
      </c>
      <c r="Y47" s="19">
        <v>0.2994</v>
      </c>
      <c r="Z47" s="19">
        <v>0.2994</v>
      </c>
      <c r="AA47" s="19">
        <v>0.2994</v>
      </c>
      <c r="AB47" s="19">
        <v>0.2994</v>
      </c>
      <c r="AC47" s="19">
        <v>0.2994</v>
      </c>
      <c r="AD47" s="19">
        <v>0.2994</v>
      </c>
      <c r="AE47" s="19">
        <v>0.2994</v>
      </c>
      <c r="AF47" s="19">
        <v>0.2994</v>
      </c>
      <c r="AG47" s="19">
        <v>0.2994</v>
      </c>
      <c r="AH47" s="19">
        <v>0.2994</v>
      </c>
      <c r="AI47" s="19">
        <v>0.2994</v>
      </c>
      <c r="AJ47" s="19">
        <v>0.2994</v>
      </c>
      <c r="AK47" s="20">
        <v>0.2994</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848.46801600000003</v>
      </c>
      <c r="F50" s="28">
        <f ca="1"/>
        <v>848.46801600000003</v>
      </c>
      <c r="G50" s="28">
        <f ca="1"/>
        <v>848.46801600000003</v>
      </c>
      <c r="H50" s="28">
        <f ca="1"/>
        <v>848.46801600000003</v>
      </c>
      <c r="I50" s="28">
        <f ca="1"/>
        <v>848.46801600000003</v>
      </c>
      <c r="J50" s="28">
        <f ca="1"/>
        <v>848.46801600000003</v>
      </c>
      <c r="K50" s="28">
        <f ca="1"/>
        <v>848.46801600000003</v>
      </c>
      <c r="L50" s="28">
        <f ca="1"/>
        <v>848.46801600000003</v>
      </c>
      <c r="M50" s="28">
        <f ca="1"/>
        <v>848.46801600000003</v>
      </c>
      <c r="N50" s="28">
        <f ca="1"/>
        <v>848.46801600000003</v>
      </c>
      <c r="O50" s="28">
        <f ca="1"/>
        <v>848.46801600000003</v>
      </c>
      <c r="P50" s="28">
        <f ca="1"/>
        <v>848.46801600000003</v>
      </c>
      <c r="Q50" s="28">
        <f ca="1"/>
        <v>848.46801600000003</v>
      </c>
      <c r="R50" s="28">
        <f ca="1"/>
        <v>848.46801600000003</v>
      </c>
      <c r="S50" s="28">
        <f ca="1"/>
        <v>848.46801600000003</v>
      </c>
      <c r="T50" s="28">
        <f ca="1"/>
        <v>848.46801600000003</v>
      </c>
      <c r="U50" s="28">
        <f ca="1"/>
        <v>848.46801600000003</v>
      </c>
      <c r="V50" s="28">
        <f ca="1"/>
        <v>848.46801600000003</v>
      </c>
      <c r="W50" s="28">
        <f ca="1"/>
        <v>848.46801600000003</v>
      </c>
      <c r="X50" s="28">
        <f ca="1"/>
        <v>848.46801600000003</v>
      </c>
      <c r="Y50" s="28">
        <f ca="1"/>
        <v>848.46801600000003</v>
      </c>
      <c r="Z50" s="28">
        <f ca="1"/>
        <v>848.46801600000003</v>
      </c>
      <c r="AA50" s="28">
        <f ca="1"/>
        <v>848.46801600000003</v>
      </c>
      <c r="AB50" s="28">
        <f ca="1"/>
        <v>848.46801600000003</v>
      </c>
      <c r="AC50" s="28">
        <f ca="1"/>
        <v>848.46801600000003</v>
      </c>
      <c r="AD50" s="28">
        <f ca="1"/>
        <v>848.46801600000003</v>
      </c>
      <c r="AE50" s="28">
        <f ca="1"/>
        <v>848.46801600000003</v>
      </c>
      <c r="AF50" s="28">
        <f ca="1"/>
        <v>848.46801600000003</v>
      </c>
      <c r="AG50" s="28">
        <f ca="1"/>
        <v>848.46801600000003</v>
      </c>
      <c r="AH50" s="28">
        <f ca="1"/>
        <v>848.46801600000003</v>
      </c>
      <c r="AI50" s="28">
        <f ca="1"/>
        <v>848.46801600000003</v>
      </c>
      <c r="AJ50" s="28">
        <f ca="1"/>
        <v>848.46801600000003</v>
      </c>
      <c r="AK50" s="29">
        <f ca="1"/>
        <v>848.46801600000003</v>
      </c>
      <c r="AL50" s="3"/>
    </row>
    <row r="51" spans="2:38" hidden="1">
      <c r="B51" s="3"/>
      <c r="C51" s="12"/>
      <c r="D51" s="16"/>
      <c r="E51" s="141">
        <f t="array" aca="1" ref="E51:AK51" ca="1">tlccQubc1</f>
        <v>2188.2816760000001</v>
      </c>
      <c r="F51" s="28">
        <f ca="1"/>
        <v>2188.2816760000001</v>
      </c>
      <c r="G51" s="28">
        <f ca="1"/>
        <v>2188.2816760000001</v>
      </c>
      <c r="H51" s="28">
        <f ca="1"/>
        <v>2188.2816760000001</v>
      </c>
      <c r="I51" s="28">
        <f ca="1"/>
        <v>2188.2816760000001</v>
      </c>
      <c r="J51" s="28">
        <f ca="1"/>
        <v>2188.2816760000001</v>
      </c>
      <c r="K51" s="28">
        <f ca="1"/>
        <v>2188.2816760000001</v>
      </c>
      <c r="L51" s="28">
        <f ca="1"/>
        <v>2188.2816760000001</v>
      </c>
      <c r="M51" s="28">
        <f ca="1"/>
        <v>2188.2816760000001</v>
      </c>
      <c r="N51" s="28">
        <f ca="1"/>
        <v>2188.2816760000001</v>
      </c>
      <c r="O51" s="28">
        <f ca="1"/>
        <v>2188.2816760000001</v>
      </c>
      <c r="P51" s="28">
        <f ca="1"/>
        <v>2188.2816760000001</v>
      </c>
      <c r="Q51" s="28">
        <f ca="1"/>
        <v>2188.2816760000001</v>
      </c>
      <c r="R51" s="28">
        <f ca="1"/>
        <v>2188.2816760000001</v>
      </c>
      <c r="S51" s="28">
        <f ca="1"/>
        <v>2188.2816760000001</v>
      </c>
      <c r="T51" s="28">
        <f ca="1"/>
        <v>2188.2816760000001</v>
      </c>
      <c r="U51" s="28">
        <f ca="1"/>
        <v>2188.2816760000001</v>
      </c>
      <c r="V51" s="28">
        <f ca="1"/>
        <v>2188.2816760000001</v>
      </c>
      <c r="W51" s="28">
        <f ca="1"/>
        <v>2188.2816760000001</v>
      </c>
      <c r="X51" s="28">
        <f ca="1"/>
        <v>2188.2816760000001</v>
      </c>
      <c r="Y51" s="28">
        <f ca="1"/>
        <v>2188.2816760000001</v>
      </c>
      <c r="Z51" s="28">
        <f ca="1"/>
        <v>2188.2816760000001</v>
      </c>
      <c r="AA51" s="28">
        <f ca="1"/>
        <v>2188.2816760000001</v>
      </c>
      <c r="AB51" s="28">
        <f ca="1"/>
        <v>2188.2816760000001</v>
      </c>
      <c r="AC51" s="28">
        <f ca="1"/>
        <v>2188.2816760000001</v>
      </c>
      <c r="AD51" s="28">
        <f ca="1"/>
        <v>2188.2816760000001</v>
      </c>
      <c r="AE51" s="28">
        <f ca="1"/>
        <v>2188.2816760000001</v>
      </c>
      <c r="AF51" s="28">
        <f ca="1"/>
        <v>2188.2816760000001</v>
      </c>
      <c r="AG51" s="28">
        <f ca="1"/>
        <v>2188.2816760000001</v>
      </c>
      <c r="AH51" s="28">
        <f ca="1"/>
        <v>2188.2816760000001</v>
      </c>
      <c r="AI51" s="28">
        <f ca="1"/>
        <v>2188.2816760000001</v>
      </c>
      <c r="AJ51" s="28">
        <f ca="1"/>
        <v>2188.2816760000001</v>
      </c>
      <c r="AK51" s="29">
        <f ca="1"/>
        <v>2188.2816760000001</v>
      </c>
      <c r="AL51" s="3"/>
    </row>
    <row r="52" spans="2:38" hidden="1">
      <c r="B52" s="3"/>
      <c r="C52" s="12"/>
      <c r="D52" s="16"/>
      <c r="E52" s="141">
        <f t="array" aca="1" ref="E52:AK52" ca="1">tlccQubc2</f>
        <v>1392.4454940000001</v>
      </c>
      <c r="F52" s="28">
        <f ca="1"/>
        <v>1392.4454940000001</v>
      </c>
      <c r="G52" s="28">
        <f ca="1"/>
        <v>1392.4454940000001</v>
      </c>
      <c r="H52" s="28">
        <f ca="1"/>
        <v>1392.4454940000001</v>
      </c>
      <c r="I52" s="28">
        <f ca="1"/>
        <v>1392.4454940000001</v>
      </c>
      <c r="J52" s="28">
        <f ca="1"/>
        <v>1392.4454940000001</v>
      </c>
      <c r="K52" s="28">
        <f ca="1"/>
        <v>1392.4454940000001</v>
      </c>
      <c r="L52" s="28">
        <f ca="1"/>
        <v>1392.4454940000001</v>
      </c>
      <c r="M52" s="28">
        <f ca="1"/>
        <v>1392.4454940000001</v>
      </c>
      <c r="N52" s="28">
        <f ca="1"/>
        <v>1392.4454940000001</v>
      </c>
      <c r="O52" s="28">
        <f ca="1"/>
        <v>1392.4454940000001</v>
      </c>
      <c r="P52" s="28">
        <f ca="1"/>
        <v>1392.4454940000001</v>
      </c>
      <c r="Q52" s="28">
        <f ca="1"/>
        <v>1392.4454940000001</v>
      </c>
      <c r="R52" s="28">
        <f ca="1"/>
        <v>1392.4454940000001</v>
      </c>
      <c r="S52" s="28">
        <f ca="1"/>
        <v>1392.4454940000001</v>
      </c>
      <c r="T52" s="28">
        <f ca="1"/>
        <v>1392.4454940000001</v>
      </c>
      <c r="U52" s="28">
        <f ca="1"/>
        <v>1392.4454940000001</v>
      </c>
      <c r="V52" s="28">
        <f ca="1"/>
        <v>1392.4454940000001</v>
      </c>
      <c r="W52" s="28">
        <f ca="1"/>
        <v>1392.4454940000001</v>
      </c>
      <c r="X52" s="28">
        <f ca="1"/>
        <v>1392.4454940000001</v>
      </c>
      <c r="Y52" s="28">
        <f ca="1"/>
        <v>1392.4454940000001</v>
      </c>
      <c r="Z52" s="28">
        <f ca="1"/>
        <v>1392.4454940000001</v>
      </c>
      <c r="AA52" s="28">
        <f ca="1"/>
        <v>1392.4454940000001</v>
      </c>
      <c r="AB52" s="28">
        <f ca="1"/>
        <v>1392.4454940000001</v>
      </c>
      <c r="AC52" s="28">
        <f ca="1"/>
        <v>1392.4454940000001</v>
      </c>
      <c r="AD52" s="28">
        <f ca="1"/>
        <v>1392.4454940000001</v>
      </c>
      <c r="AE52" s="28">
        <f ca="1"/>
        <v>1392.4454940000001</v>
      </c>
      <c r="AF52" s="28">
        <f ca="1"/>
        <v>1392.4454940000001</v>
      </c>
      <c r="AG52" s="28">
        <f ca="1"/>
        <v>1392.4454940000001</v>
      </c>
      <c r="AH52" s="28">
        <f ca="1"/>
        <v>1392.4454940000001</v>
      </c>
      <c r="AI52" s="28">
        <f ca="1"/>
        <v>1392.4454940000001</v>
      </c>
      <c r="AJ52" s="28">
        <f ca="1"/>
        <v>1392.4454940000001</v>
      </c>
      <c r="AK52" s="29">
        <f ca="1"/>
        <v>1392.4454940000001</v>
      </c>
      <c r="AL52" s="3"/>
    </row>
    <row r="53" spans="2:38" hidden="1">
      <c r="B53" s="3"/>
      <c r="C53" s="12"/>
      <c r="D53" s="16"/>
      <c r="E53" s="141">
        <f t="array" aca="1" ref="E53:AK53" ca="1">tlccQubc3</f>
        <v>1730.180828</v>
      </c>
      <c r="F53" s="28">
        <f ca="1"/>
        <v>1730.180828</v>
      </c>
      <c r="G53" s="28">
        <f ca="1"/>
        <v>1730.180828</v>
      </c>
      <c r="H53" s="28">
        <f ca="1"/>
        <v>1730.180828</v>
      </c>
      <c r="I53" s="28">
        <f ca="1"/>
        <v>1730.180828</v>
      </c>
      <c r="J53" s="28">
        <f ca="1"/>
        <v>1730.180828</v>
      </c>
      <c r="K53" s="28">
        <f ca="1"/>
        <v>1730.180828</v>
      </c>
      <c r="L53" s="28">
        <f ca="1"/>
        <v>1730.180828</v>
      </c>
      <c r="M53" s="28">
        <f ca="1"/>
        <v>1730.180828</v>
      </c>
      <c r="N53" s="28">
        <f ca="1"/>
        <v>1730.180828</v>
      </c>
      <c r="O53" s="28">
        <f ca="1"/>
        <v>1730.180828</v>
      </c>
      <c r="P53" s="28">
        <f ca="1"/>
        <v>1730.180828</v>
      </c>
      <c r="Q53" s="28">
        <f ca="1"/>
        <v>1730.180828</v>
      </c>
      <c r="R53" s="28">
        <f ca="1"/>
        <v>1730.180828</v>
      </c>
      <c r="S53" s="28">
        <f ca="1"/>
        <v>1730.180828</v>
      </c>
      <c r="T53" s="28">
        <f ca="1"/>
        <v>1730.180828</v>
      </c>
      <c r="U53" s="28">
        <f ca="1"/>
        <v>1730.180828</v>
      </c>
      <c r="V53" s="28">
        <f ca="1"/>
        <v>1730.180828</v>
      </c>
      <c r="W53" s="28">
        <f ca="1"/>
        <v>1730.180828</v>
      </c>
      <c r="X53" s="28">
        <f ca="1"/>
        <v>1730.180828</v>
      </c>
      <c r="Y53" s="28">
        <f ca="1"/>
        <v>1730.180828</v>
      </c>
      <c r="Z53" s="28">
        <f ca="1"/>
        <v>1730.180828</v>
      </c>
      <c r="AA53" s="28">
        <f ca="1"/>
        <v>1730.180828</v>
      </c>
      <c r="AB53" s="28">
        <f ca="1"/>
        <v>1730.180828</v>
      </c>
      <c r="AC53" s="28">
        <f ca="1"/>
        <v>1730.180828</v>
      </c>
      <c r="AD53" s="28">
        <f ca="1"/>
        <v>1730.180828</v>
      </c>
      <c r="AE53" s="28">
        <f ca="1"/>
        <v>1730.180828</v>
      </c>
      <c r="AF53" s="28">
        <f ca="1"/>
        <v>1730.180828</v>
      </c>
      <c r="AG53" s="28">
        <f ca="1"/>
        <v>1730.180828</v>
      </c>
      <c r="AH53" s="28">
        <f ca="1"/>
        <v>1730.180828</v>
      </c>
      <c r="AI53" s="28">
        <f ca="1"/>
        <v>1730.180828</v>
      </c>
      <c r="AJ53" s="28">
        <f ca="1"/>
        <v>1730.180828</v>
      </c>
      <c r="AK53" s="29">
        <f ca="1"/>
        <v>1730.180828</v>
      </c>
      <c r="AL53" s="3"/>
    </row>
    <row r="54" spans="2:38" hidden="1">
      <c r="B54" s="3"/>
      <c r="C54" s="12"/>
      <c r="D54" s="16"/>
      <c r="E54" s="141">
        <f t="array" aca="1" ref="E54:AK54" ca="1">tlccQubc4</f>
        <v>1940.017004</v>
      </c>
      <c r="F54" s="28">
        <f ca="1"/>
        <v>1940.017004</v>
      </c>
      <c r="G54" s="28">
        <f ca="1"/>
        <v>1940.017004</v>
      </c>
      <c r="H54" s="28">
        <f ca="1"/>
        <v>1940.017004</v>
      </c>
      <c r="I54" s="28">
        <f ca="1"/>
        <v>1940.017004</v>
      </c>
      <c r="J54" s="28">
        <f ca="1"/>
        <v>1940.017004</v>
      </c>
      <c r="K54" s="28">
        <f ca="1"/>
        <v>1940.017004</v>
      </c>
      <c r="L54" s="28">
        <f ca="1"/>
        <v>1940.017004</v>
      </c>
      <c r="M54" s="28">
        <f ca="1"/>
        <v>1940.017004</v>
      </c>
      <c r="N54" s="28">
        <f ca="1"/>
        <v>1940.017004</v>
      </c>
      <c r="O54" s="28">
        <f ca="1"/>
        <v>1940.017004</v>
      </c>
      <c r="P54" s="28">
        <f ca="1"/>
        <v>1940.017004</v>
      </c>
      <c r="Q54" s="28">
        <f ca="1"/>
        <v>1940.017004</v>
      </c>
      <c r="R54" s="28">
        <f ca="1"/>
        <v>1940.017004</v>
      </c>
      <c r="S54" s="28">
        <f ca="1"/>
        <v>1940.017004</v>
      </c>
      <c r="T54" s="28">
        <f ca="1"/>
        <v>1940.017004</v>
      </c>
      <c r="U54" s="28">
        <f ca="1"/>
        <v>1940.017004</v>
      </c>
      <c r="V54" s="28">
        <f ca="1"/>
        <v>1940.017004</v>
      </c>
      <c r="W54" s="28">
        <f ca="1"/>
        <v>1940.017004</v>
      </c>
      <c r="X54" s="28">
        <f ca="1"/>
        <v>1940.017004</v>
      </c>
      <c r="Y54" s="28">
        <f ca="1"/>
        <v>1940.017004</v>
      </c>
      <c r="Z54" s="28">
        <f ca="1"/>
        <v>1940.017004</v>
      </c>
      <c r="AA54" s="28">
        <f ca="1"/>
        <v>1940.017004</v>
      </c>
      <c r="AB54" s="28">
        <f ca="1"/>
        <v>1940.017004</v>
      </c>
      <c r="AC54" s="28">
        <f ca="1"/>
        <v>1940.017004</v>
      </c>
      <c r="AD54" s="28">
        <f ca="1"/>
        <v>1940.017004</v>
      </c>
      <c r="AE54" s="28">
        <f ca="1"/>
        <v>1940.017004</v>
      </c>
      <c r="AF54" s="28">
        <f ca="1"/>
        <v>1940.017004</v>
      </c>
      <c r="AG54" s="28">
        <f ca="1"/>
        <v>1940.017004</v>
      </c>
      <c r="AH54" s="28">
        <f ca="1"/>
        <v>1940.017004</v>
      </c>
      <c r="AI54" s="28">
        <f ca="1"/>
        <v>1940.017004</v>
      </c>
      <c r="AJ54" s="28">
        <f ca="1"/>
        <v>1940.017004</v>
      </c>
      <c r="AK54" s="29">
        <f ca="1"/>
        <v>1940.017004</v>
      </c>
      <c r="AL54" s="3"/>
    </row>
    <row r="55" spans="2:38" hidden="1">
      <c r="B55" s="3"/>
      <c r="C55" s="12"/>
      <c r="D55" s="16"/>
      <c r="E55" s="141">
        <f t="array" aca="1" ref="E55:AK55" ca="1">tlccQubc5</f>
        <v>2394.9557949999999</v>
      </c>
      <c r="F55" s="28">
        <f ca="1"/>
        <v>2394.9557949999999</v>
      </c>
      <c r="G55" s="28">
        <f ca="1"/>
        <v>2394.9557949999999</v>
      </c>
      <c r="H55" s="28">
        <f ca="1"/>
        <v>2394.9557949999999</v>
      </c>
      <c r="I55" s="28">
        <f ca="1"/>
        <v>2394.9557949999999</v>
      </c>
      <c r="J55" s="28">
        <f ca="1"/>
        <v>2394.9557949999999</v>
      </c>
      <c r="K55" s="28">
        <f ca="1"/>
        <v>2394.9557949999999</v>
      </c>
      <c r="L55" s="28">
        <f ca="1"/>
        <v>2394.9557949999999</v>
      </c>
      <c r="M55" s="28">
        <f ca="1"/>
        <v>2394.9557949999999</v>
      </c>
      <c r="N55" s="28">
        <f ca="1"/>
        <v>2394.9557949999999</v>
      </c>
      <c r="O55" s="28">
        <f ca="1"/>
        <v>2394.9557949999999</v>
      </c>
      <c r="P55" s="28">
        <f ca="1"/>
        <v>2394.9557949999999</v>
      </c>
      <c r="Q55" s="28">
        <f ca="1"/>
        <v>2394.9557949999999</v>
      </c>
      <c r="R55" s="28">
        <f ca="1"/>
        <v>2394.9557949999999</v>
      </c>
      <c r="S55" s="28">
        <f ca="1"/>
        <v>2394.9557949999999</v>
      </c>
      <c r="T55" s="28">
        <f ca="1"/>
        <v>2394.9557949999999</v>
      </c>
      <c r="U55" s="28">
        <f ca="1"/>
        <v>2394.9557949999999</v>
      </c>
      <c r="V55" s="28">
        <f ca="1"/>
        <v>2394.9557949999999</v>
      </c>
      <c r="W55" s="28">
        <f ca="1"/>
        <v>2394.9557949999999</v>
      </c>
      <c r="X55" s="28">
        <f ca="1"/>
        <v>2394.9557949999999</v>
      </c>
      <c r="Y55" s="28">
        <f ca="1"/>
        <v>2394.9557949999999</v>
      </c>
      <c r="Z55" s="28">
        <f ca="1"/>
        <v>2394.9557949999999</v>
      </c>
      <c r="AA55" s="28">
        <f ca="1"/>
        <v>2394.9557949999999</v>
      </c>
      <c r="AB55" s="28">
        <f ca="1"/>
        <v>2394.9557949999999</v>
      </c>
      <c r="AC55" s="28">
        <f ca="1"/>
        <v>2394.9557949999999</v>
      </c>
      <c r="AD55" s="28">
        <f ca="1"/>
        <v>2394.9557949999999</v>
      </c>
      <c r="AE55" s="28">
        <f ca="1"/>
        <v>2394.9557949999999</v>
      </c>
      <c r="AF55" s="28">
        <f ca="1"/>
        <v>2394.9557949999999</v>
      </c>
      <c r="AG55" s="28">
        <f ca="1"/>
        <v>2394.9557949999999</v>
      </c>
      <c r="AH55" s="28">
        <f ca="1"/>
        <v>2394.9557949999999</v>
      </c>
      <c r="AI55" s="28">
        <f ca="1"/>
        <v>2394.9557949999999</v>
      </c>
      <c r="AJ55" s="28">
        <f ca="1"/>
        <v>2394.9557949999999</v>
      </c>
      <c r="AK55" s="29">
        <f ca="1"/>
        <v>2394.9557949999999</v>
      </c>
      <c r="AL55" s="3"/>
    </row>
    <row r="56" spans="2:38" hidden="1">
      <c r="B56" s="3"/>
      <c r="C56" s="4"/>
      <c r="D56" s="5"/>
      <c r="E56" s="147">
        <f t="array" aca="1" ref="E56:AK56" ca="1">tlccQubc6</f>
        <v>2539.857489</v>
      </c>
      <c r="F56" s="35">
        <f ca="1"/>
        <v>2539.857489</v>
      </c>
      <c r="G56" s="35">
        <f ca="1"/>
        <v>2539.857489</v>
      </c>
      <c r="H56" s="35">
        <f ca="1"/>
        <v>2539.857489</v>
      </c>
      <c r="I56" s="35">
        <f ca="1"/>
        <v>2539.857489</v>
      </c>
      <c r="J56" s="35">
        <f ca="1"/>
        <v>2539.857489</v>
      </c>
      <c r="K56" s="35">
        <f ca="1"/>
        <v>2539.857489</v>
      </c>
      <c r="L56" s="35">
        <f ca="1"/>
        <v>2539.857489</v>
      </c>
      <c r="M56" s="35">
        <f ca="1"/>
        <v>2539.857489</v>
      </c>
      <c r="N56" s="35">
        <f ca="1"/>
        <v>2539.857489</v>
      </c>
      <c r="O56" s="35">
        <f ca="1"/>
        <v>2539.857489</v>
      </c>
      <c r="P56" s="35">
        <f ca="1"/>
        <v>2539.857489</v>
      </c>
      <c r="Q56" s="35">
        <f ca="1"/>
        <v>2539.857489</v>
      </c>
      <c r="R56" s="35">
        <f ca="1"/>
        <v>2539.857489</v>
      </c>
      <c r="S56" s="35">
        <f ca="1"/>
        <v>2539.857489</v>
      </c>
      <c r="T56" s="35">
        <f ca="1"/>
        <v>2539.857489</v>
      </c>
      <c r="U56" s="35">
        <f ca="1"/>
        <v>2539.857489</v>
      </c>
      <c r="V56" s="35">
        <f ca="1"/>
        <v>2539.857489</v>
      </c>
      <c r="W56" s="35">
        <f ca="1"/>
        <v>2539.857489</v>
      </c>
      <c r="X56" s="35">
        <f ca="1"/>
        <v>2539.857489</v>
      </c>
      <c r="Y56" s="35">
        <f ca="1"/>
        <v>2539.857489</v>
      </c>
      <c r="Z56" s="35">
        <f ca="1"/>
        <v>2539.857489</v>
      </c>
      <c r="AA56" s="35">
        <f ca="1"/>
        <v>2539.857489</v>
      </c>
      <c r="AB56" s="35">
        <f ca="1"/>
        <v>2539.857489</v>
      </c>
      <c r="AC56" s="35">
        <f ca="1"/>
        <v>2539.857489</v>
      </c>
      <c r="AD56" s="35">
        <f ca="1"/>
        <v>2539.857489</v>
      </c>
      <c r="AE56" s="35">
        <f ca="1"/>
        <v>2539.857489</v>
      </c>
      <c r="AF56" s="35">
        <f ca="1"/>
        <v>2539.857489</v>
      </c>
      <c r="AG56" s="35">
        <f ca="1"/>
        <v>2539.857489</v>
      </c>
      <c r="AH56" s="35">
        <f ca="1"/>
        <v>2539.857489</v>
      </c>
      <c r="AI56" s="35">
        <f ca="1"/>
        <v>2539.857489</v>
      </c>
      <c r="AJ56" s="35">
        <f ca="1"/>
        <v>2539.857489</v>
      </c>
      <c r="AK56" s="36">
        <f ca="1"/>
        <v>2539.857489</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16977.687149321468</v>
      </c>
      <c r="F59" s="28">
        <f ca="1"/>
        <v>17052.460885946941</v>
      </c>
      <c r="G59" s="28">
        <f ca="1"/>
        <v>17118.646110651938</v>
      </c>
      <c r="H59" s="28">
        <f ca="1"/>
        <v>17190.795028323359</v>
      </c>
      <c r="I59" s="28">
        <f ca="1"/>
        <v>17254.144053445547</v>
      </c>
      <c r="J59" s="28">
        <f ca="1"/>
        <v>17323.315785210551</v>
      </c>
      <c r="K59" s="28">
        <f ca="1"/>
        <v>17383.470808569527</v>
      </c>
      <c r="L59" s="28">
        <f ca="1"/>
        <v>17449.252797045676</v>
      </c>
      <c r="M59" s="28">
        <f ca="1"/>
        <v>17520.999759832281</v>
      </c>
      <c r="N59" s="28">
        <f ca="1"/>
        <v>17583.94031996679</v>
      </c>
      <c r="O59" s="28">
        <f ca="1"/>
        <v>17652.692671883411</v>
      </c>
      <c r="P59" s="28">
        <f ca="1"/>
        <v>17727.672411138294</v>
      </c>
      <c r="Q59" s="28">
        <f ca="1"/>
        <v>17794.120726167312</v>
      </c>
      <c r="R59" s="28">
        <f ca="1"/>
        <v>17866.608617641199</v>
      </c>
      <c r="S59" s="28">
        <f ca="1"/>
        <v>17930.374849904616</v>
      </c>
      <c r="T59" s="28">
        <f ca="1"/>
        <v>18000.031336102376</v>
      </c>
      <c r="U59" s="28">
        <f ca="1"/>
        <v>18076.024827084835</v>
      </c>
      <c r="V59" s="28">
        <f ca="1"/>
        <v>18143.56203215702</v>
      </c>
      <c r="W59" s="28">
        <f ca="1"/>
        <v>18217.27988191546</v>
      </c>
      <c r="X59" s="28">
        <f ca="1"/>
        <v>18282.414624684174</v>
      </c>
      <c r="Y59" s="28">
        <f ca="1"/>
        <v>18353.559087176774</v>
      </c>
      <c r="Z59" s="28">
        <f ca="1"/>
        <v>18431.181300371874</v>
      </c>
      <c r="AA59" s="28">
        <f ca="1"/>
        <v>18500.470295304534</v>
      </c>
      <c r="AB59" s="28">
        <f ca="1"/>
        <v>18576.094251261617</v>
      </c>
      <c r="AC59" s="28">
        <f ca="1"/>
        <v>18643.278393706281</v>
      </c>
      <c r="AD59" s="28">
        <f ca="1"/>
        <v>18716.632741285812</v>
      </c>
      <c r="AE59" s="28">
        <f ca="1"/>
        <v>18796.646594741724</v>
      </c>
      <c r="AF59" s="28">
        <f ca="1"/>
        <v>18868.530249327872</v>
      </c>
      <c r="AG59" s="28">
        <f ca="1"/>
        <v>18946.996297826885</v>
      </c>
      <c r="AH59" s="28">
        <f ca="1"/>
        <v>19017.227322587722</v>
      </c>
      <c r="AI59" s="28">
        <f ca="1"/>
        <v>19093.911459988809</v>
      </c>
      <c r="AJ59" s="28">
        <f ca="1"/>
        <v>19162.273799185554</v>
      </c>
      <c r="AK59" s="29">
        <f ca="1"/>
        <v>19236.956364757749</v>
      </c>
      <c r="AL59" s="3"/>
    </row>
    <row r="60" spans="2:38" hidden="1">
      <c r="B60" s="3"/>
      <c r="C60" s="12"/>
      <c r="D60" s="16"/>
      <c r="E60" s="141">
        <f t="array" aca="1" ref="E60:AK60" ca="1">tlccEubc1</f>
        <v>139010.43870687546</v>
      </c>
      <c r="F60" s="28">
        <f ca="1"/>
        <v>139622.67345007925</v>
      </c>
      <c r="G60" s="28">
        <f ca="1"/>
        <v>140164.58690632545</v>
      </c>
      <c r="H60" s="28">
        <f ca="1"/>
        <v>140755.33007466869</v>
      </c>
      <c r="I60" s="28">
        <f ca="1"/>
        <v>141274.02120712012</v>
      </c>
      <c r="J60" s="28">
        <f ca="1"/>
        <v>141840.3876794315</v>
      </c>
      <c r="K60" s="28">
        <f ca="1"/>
        <v>142332.92686418665</v>
      </c>
      <c r="L60" s="28">
        <f ca="1"/>
        <v>142871.53869020587</v>
      </c>
      <c r="M60" s="28">
        <f ca="1"/>
        <v>143458.99071975102</v>
      </c>
      <c r="N60" s="28">
        <f ca="1"/>
        <v>143974.33740978019</v>
      </c>
      <c r="O60" s="28">
        <f ca="1"/>
        <v>144537.27007063091</v>
      </c>
      <c r="P60" s="28">
        <f ca="1"/>
        <v>145151.19152861738</v>
      </c>
      <c r="Q60" s="28">
        <f ca="1"/>
        <v>145695.25912406054</v>
      </c>
      <c r="R60" s="28">
        <f ca="1"/>
        <v>146288.77775272282</v>
      </c>
      <c r="S60" s="28">
        <f ca="1"/>
        <v>146810.88490687509</v>
      </c>
      <c r="T60" s="28">
        <f ca="1"/>
        <v>147381.22046671706</v>
      </c>
      <c r="U60" s="28">
        <f ca="1"/>
        <v>148003.4423528568</v>
      </c>
      <c r="V60" s="28">
        <f ca="1"/>
        <v>148556.42559630747</v>
      </c>
      <c r="W60" s="28">
        <f ca="1"/>
        <v>149160.01491594326</v>
      </c>
      <c r="X60" s="28">
        <f ca="1"/>
        <v>149693.32720328262</v>
      </c>
      <c r="Y60" s="28">
        <f ca="1"/>
        <v>150275.84606204578</v>
      </c>
      <c r="Z60" s="28">
        <f ca="1"/>
        <v>150911.40365094156</v>
      </c>
      <c r="AA60" s="28">
        <f ca="1"/>
        <v>151478.73025429054</v>
      </c>
      <c r="AB60" s="28">
        <f ca="1"/>
        <v>152097.92644997285</v>
      </c>
      <c r="AC60" s="28">
        <f ca="1"/>
        <v>152648.01887618133</v>
      </c>
      <c r="AD60" s="28">
        <f ca="1"/>
        <v>153248.63190128902</v>
      </c>
      <c r="AE60" s="28">
        <f ca="1"/>
        <v>153903.77183723595</v>
      </c>
      <c r="AF60" s="28">
        <f ca="1"/>
        <v>154492.34307617965</v>
      </c>
      <c r="AG60" s="28">
        <f ca="1"/>
        <v>155134.80984621184</v>
      </c>
      <c r="AH60" s="28">
        <f ca="1"/>
        <v>155709.84963089938</v>
      </c>
      <c r="AI60" s="28">
        <f ca="1"/>
        <v>156337.72641342154</v>
      </c>
      <c r="AJ60" s="28">
        <f ca="1"/>
        <v>156897.46571590647</v>
      </c>
      <c r="AK60" s="29">
        <f ca="1"/>
        <v>157508.9539659041</v>
      </c>
      <c r="AL60" s="3"/>
    </row>
    <row r="61" spans="2:38" hidden="1">
      <c r="B61" s="3"/>
      <c r="C61" s="12"/>
      <c r="D61" s="16"/>
      <c r="E61" s="141">
        <f t="array" aca="1" ref="E61:AK61" ca="1">tlccEubc2</f>
        <v>65391.041469831398</v>
      </c>
      <c r="F61" s="28">
        <f ca="1"/>
        <v>65679.039032133369</v>
      </c>
      <c r="G61" s="28">
        <f ca="1"/>
        <v>65933.957192381582</v>
      </c>
      <c r="H61" s="28">
        <f ca="1"/>
        <v>66211.845035758641</v>
      </c>
      <c r="I61" s="28">
        <f ca="1"/>
        <v>66455.839326170855</v>
      </c>
      <c r="J61" s="28">
        <f ca="1"/>
        <v>66722.260278601127</v>
      </c>
      <c r="K61" s="28">
        <f ca="1"/>
        <v>66953.952592900954</v>
      </c>
      <c r="L61" s="28">
        <f ca="1"/>
        <v>67207.317653676248</v>
      </c>
      <c r="M61" s="28">
        <f ca="1"/>
        <v>67483.657332788614</v>
      </c>
      <c r="N61" s="28">
        <f ca="1"/>
        <v>67726.078384707595</v>
      </c>
      <c r="O61" s="28">
        <f ca="1"/>
        <v>67990.88405910763</v>
      </c>
      <c r="P61" s="28">
        <f ca="1"/>
        <v>68279.675058487628</v>
      </c>
      <c r="Q61" s="28">
        <f ca="1"/>
        <v>68535.606534044171</v>
      </c>
      <c r="R61" s="28">
        <f ca="1"/>
        <v>68814.799964559163</v>
      </c>
      <c r="S61" s="28">
        <f ca="1"/>
        <v>69060.401164630632</v>
      </c>
      <c r="T61" s="28">
        <f ca="1"/>
        <v>69328.689190999503</v>
      </c>
      <c r="U61" s="28">
        <f ca="1"/>
        <v>69621.384743495306</v>
      </c>
      <c r="V61" s="28">
        <f ca="1"/>
        <v>69881.510173937655</v>
      </c>
      <c r="W61" s="28">
        <f ca="1"/>
        <v>70165.440895962704</v>
      </c>
      <c r="X61" s="28">
        <f ca="1"/>
        <v>70416.313033495622</v>
      </c>
      <c r="Y61" s="28">
        <f ca="1"/>
        <v>70690.332130224459</v>
      </c>
      <c r="Z61" s="28">
        <f ca="1"/>
        <v>70989.300848247047</v>
      </c>
      <c r="AA61" s="28">
        <f ca="1"/>
        <v>71256.173449985741</v>
      </c>
      <c r="AB61" s="28">
        <f ca="1"/>
        <v>71547.445706130427</v>
      </c>
      <c r="AC61" s="28">
        <f ca="1"/>
        <v>71806.211285097394</v>
      </c>
      <c r="AD61" s="28">
        <f ca="1"/>
        <v>72088.741946805152</v>
      </c>
      <c r="AE61" s="28">
        <f ca="1"/>
        <v>72396.922275696765</v>
      </c>
      <c r="AF61" s="28">
        <f ca="1"/>
        <v>72673.788435186216</v>
      </c>
      <c r="AG61" s="28">
        <f ca="1"/>
        <v>72976.007258412516</v>
      </c>
      <c r="AH61" s="28">
        <f ca="1"/>
        <v>73246.50817012167</v>
      </c>
      <c r="AI61" s="28">
        <f ca="1"/>
        <v>73541.863807480884</v>
      </c>
      <c r="AJ61" s="28">
        <f ca="1"/>
        <v>73805.167313905113</v>
      </c>
      <c r="AK61" s="29">
        <f ca="1"/>
        <v>74092.813722950857</v>
      </c>
      <c r="AL61" s="3"/>
    </row>
    <row r="62" spans="2:38" hidden="1">
      <c r="B62" s="3"/>
      <c r="C62" s="12"/>
      <c r="D62" s="16"/>
      <c r="E62" s="141">
        <f t="array" aca="1" ref="E62:AK62" ca="1">tlccEubc3</f>
        <v>64744.403215205923</v>
      </c>
      <c r="F62" s="28">
        <f ca="1"/>
        <v>65029.552830192231</v>
      </c>
      <c r="G62" s="28">
        <f ca="1"/>
        <v>65281.950158373707</v>
      </c>
      <c r="H62" s="28">
        <f ca="1"/>
        <v>65557.09002731902</v>
      </c>
      <c r="I62" s="28">
        <f ca="1"/>
        <v>65798.671509515509</v>
      </c>
      <c r="J62" s="28">
        <f ca="1"/>
        <v>66062.457881186652</v>
      </c>
      <c r="K62" s="28">
        <f ca="1"/>
        <v>66291.859038924958</v>
      </c>
      <c r="L62" s="28">
        <f ca="1"/>
        <v>66542.718625907524</v>
      </c>
      <c r="M62" s="28">
        <f ca="1"/>
        <v>66816.32564005896</v>
      </c>
      <c r="N62" s="28">
        <f ca="1"/>
        <v>67056.349441186772</v>
      </c>
      <c r="O62" s="28">
        <f ca="1"/>
        <v>67318.536507972341</v>
      </c>
      <c r="P62" s="28">
        <f ca="1"/>
        <v>67604.471713904306</v>
      </c>
      <c r="Q62" s="28">
        <f ca="1"/>
        <v>67857.872336932123</v>
      </c>
      <c r="R62" s="28">
        <f ca="1"/>
        <v>68134.304882338765</v>
      </c>
      <c r="S62" s="28">
        <f ca="1"/>
        <v>68377.477383802965</v>
      </c>
      <c r="T62" s="28">
        <f ca="1"/>
        <v>68643.112366311325</v>
      </c>
      <c r="U62" s="28">
        <f ca="1"/>
        <v>68932.913514054642</v>
      </c>
      <c r="V62" s="28">
        <f ca="1"/>
        <v>69190.466618830586</v>
      </c>
      <c r="W62" s="28">
        <f ca="1"/>
        <v>69471.589609667935</v>
      </c>
      <c r="X62" s="28">
        <f ca="1"/>
        <v>69719.980925401702</v>
      </c>
      <c r="Y62" s="28">
        <f ca="1"/>
        <v>69991.29030492068</v>
      </c>
      <c r="Z62" s="28">
        <f ca="1"/>
        <v>70287.30258417633</v>
      </c>
      <c r="AA62" s="28">
        <f ca="1"/>
        <v>70551.536138890908</v>
      </c>
      <c r="AB62" s="28">
        <f ca="1"/>
        <v>70839.928064961379</v>
      </c>
      <c r="AC62" s="28">
        <f ca="1"/>
        <v>71096.134765547118</v>
      </c>
      <c r="AD62" s="28">
        <f ca="1"/>
        <v>71375.871540969238</v>
      </c>
      <c r="AE62" s="28">
        <f ca="1"/>
        <v>71681.004339411636</v>
      </c>
      <c r="AF62" s="28">
        <f ca="1"/>
        <v>71955.132627686427</v>
      </c>
      <c r="AG62" s="28">
        <f ca="1"/>
        <v>72254.362872539117</v>
      </c>
      <c r="AH62" s="28">
        <f ca="1"/>
        <v>72522.188857630041</v>
      </c>
      <c r="AI62" s="28">
        <f ca="1"/>
        <v>72814.623785217045</v>
      </c>
      <c r="AJ62" s="28">
        <f ca="1"/>
        <v>73075.323538649958</v>
      </c>
      <c r="AK62" s="29">
        <f ca="1"/>
        <v>73360.12547286076</v>
      </c>
      <c r="AL62" s="3"/>
    </row>
    <row r="63" spans="2:38" hidden="1">
      <c r="B63" s="3"/>
      <c r="C63" s="12"/>
      <c r="D63" s="16"/>
      <c r="E63" s="141">
        <f t="array" aca="1" ref="E63:AK63" ca="1">tlccEubc4</f>
        <v>95325.593069134775</v>
      </c>
      <c r="F63" s="28">
        <f ca="1"/>
        <v>95745.42945362741</v>
      </c>
      <c r="G63" s="28">
        <f ca="1"/>
        <v>96117.043428012039</v>
      </c>
      <c r="H63" s="28">
        <f ca="1"/>
        <v>96522.142091088695</v>
      </c>
      <c r="I63" s="28">
        <f ca="1"/>
        <v>96877.831493126345</v>
      </c>
      <c r="J63" s="28">
        <f ca="1"/>
        <v>97266.213979864595</v>
      </c>
      <c r="K63" s="28">
        <f ca="1"/>
        <v>97603.969837146462</v>
      </c>
      <c r="L63" s="28">
        <f ca="1"/>
        <v>97973.319737966522</v>
      </c>
      <c r="M63" s="28">
        <f ca="1"/>
        <v>98376.161521914488</v>
      </c>
      <c r="N63" s="28">
        <f ca="1"/>
        <v>98729.557492175663</v>
      </c>
      <c r="O63" s="28">
        <f ca="1"/>
        <v>99115.585262843611</v>
      </c>
      <c r="P63" s="28">
        <f ca="1"/>
        <v>99536.578302106078</v>
      </c>
      <c r="Q63" s="28">
        <f ca="1"/>
        <v>99909.669464811304</v>
      </c>
      <c r="R63" s="28">
        <f ca="1"/>
        <v>100316.6713835241</v>
      </c>
      <c r="S63" s="28">
        <f ca="1"/>
        <v>100674.70330240871</v>
      </c>
      <c r="T63" s="28">
        <f ca="1"/>
        <v>101065.80756764307</v>
      </c>
      <c r="U63" s="28">
        <f ca="1"/>
        <v>101492.49257683093</v>
      </c>
      <c r="V63" s="28">
        <f ca="1"/>
        <v>101871.69759286843</v>
      </c>
      <c r="W63" s="28">
        <f ca="1"/>
        <v>102285.60542885338</v>
      </c>
      <c r="X63" s="28">
        <f ca="1"/>
        <v>102651.32120210469</v>
      </c>
      <c r="Y63" s="28">
        <f ca="1"/>
        <v>103050.78009312109</v>
      </c>
      <c r="Z63" s="28">
        <f ca="1"/>
        <v>103486.60998226225</v>
      </c>
      <c r="AA63" s="28">
        <f ca="1"/>
        <v>103875.65087322866</v>
      </c>
      <c r="AB63" s="28">
        <f ca="1"/>
        <v>104300.26103293062</v>
      </c>
      <c r="AC63" s="28">
        <f ca="1"/>
        <v>104677.48368799849</v>
      </c>
      <c r="AD63" s="28">
        <f ca="1"/>
        <v>105089.35054746624</v>
      </c>
      <c r="AE63" s="28">
        <f ca="1"/>
        <v>105538.60891625041</v>
      </c>
      <c r="AF63" s="28">
        <f ca="1"/>
        <v>105942.21819147935</v>
      </c>
      <c r="AG63" s="28">
        <f ca="1"/>
        <v>106382.78601106355</v>
      </c>
      <c r="AH63" s="28">
        <f ca="1"/>
        <v>106777.11617089619</v>
      </c>
      <c r="AI63" s="28">
        <f ca="1"/>
        <v>107207.67899211333</v>
      </c>
      <c r="AJ63" s="28">
        <f ca="1"/>
        <v>107591.51693601036</v>
      </c>
      <c r="AK63" s="29">
        <f ca="1"/>
        <v>108010.84141716498</v>
      </c>
      <c r="AL63" s="3"/>
    </row>
    <row r="64" spans="2:38" hidden="1">
      <c r="B64" s="3"/>
      <c r="C64" s="12"/>
      <c r="D64" s="16"/>
      <c r="E64" s="141">
        <f t="array" aca="1" ref="E64:AK64" ca="1">tlccEubc5</f>
        <v>74428.252800356553</v>
      </c>
      <c r="F64" s="28">
        <f ca="1"/>
        <v>74756.052371843514</v>
      </c>
      <c r="G64" s="28">
        <f ca="1"/>
        <v>75046.200882218734</v>
      </c>
      <c r="H64" s="28">
        <f ca="1"/>
        <v>75362.493545435558</v>
      </c>
      <c r="I64" s="28">
        <f ca="1"/>
        <v>75640.208478864442</v>
      </c>
      <c r="J64" s="28">
        <f ca="1"/>
        <v>75943.449497099908</v>
      </c>
      <c r="K64" s="28">
        <f ca="1"/>
        <v>76207.162289448752</v>
      </c>
      <c r="L64" s="28">
        <f ca="1"/>
        <v>76495.543057980482</v>
      </c>
      <c r="M64" s="28">
        <f ca="1"/>
        <v>76810.07359662067</v>
      </c>
      <c r="N64" s="28">
        <f ca="1"/>
        <v>77085.997865921076</v>
      </c>
      <c r="O64" s="28">
        <f ca="1"/>
        <v>77387.400370518051</v>
      </c>
      <c r="P64" s="28">
        <f ca="1"/>
        <v>77716.103034142638</v>
      </c>
      <c r="Q64" s="28">
        <f ca="1"/>
        <v>78007.404902626833</v>
      </c>
      <c r="R64" s="28">
        <f ca="1"/>
        <v>78325.183588506246</v>
      </c>
      <c r="S64" s="28">
        <f ca="1"/>
        <v>78604.727510672179</v>
      </c>
      <c r="T64" s="28">
        <f ca="1"/>
        <v>78910.093637301441</v>
      </c>
      <c r="U64" s="28">
        <f ca="1"/>
        <v>79243.240473397498</v>
      </c>
      <c r="V64" s="28">
        <f ca="1"/>
        <v>79539.315912197431</v>
      </c>
      <c r="W64" s="28">
        <f ca="1"/>
        <v>79862.486595545692</v>
      </c>
      <c r="X64" s="28">
        <f ca="1"/>
        <v>80148.029912384925</v>
      </c>
      <c r="Y64" s="28">
        <f ca="1"/>
        <v>80459.919158144563</v>
      </c>
      <c r="Z64" s="28">
        <f ca="1"/>
        <v>80800.206127494108</v>
      </c>
      <c r="AA64" s="28">
        <f ca="1"/>
        <v>81103.961214142444</v>
      </c>
      <c r="AB64" s="28">
        <f ca="1"/>
        <v>81435.488050644562</v>
      </c>
      <c r="AC64" s="28">
        <f ca="1"/>
        <v>81730.015702972451</v>
      </c>
      <c r="AD64" s="28">
        <f ca="1"/>
        <v>82051.592834040726</v>
      </c>
      <c r="AE64" s="28">
        <f ca="1"/>
        <v>82402.364482744684</v>
      </c>
      <c r="AF64" s="28">
        <f ca="1"/>
        <v>82717.49426271391</v>
      </c>
      <c r="AG64" s="28">
        <f ca="1"/>
        <v>83061.480510225985</v>
      </c>
      <c r="AH64" s="28">
        <f ca="1"/>
        <v>83369.365348682171</v>
      </c>
      <c r="AI64" s="28">
        <f ca="1"/>
        <v>83705.539900260788</v>
      </c>
      <c r="AJ64" s="28">
        <f ca="1"/>
        <v>84005.232633376203</v>
      </c>
      <c r="AK64" s="29">
        <f ca="1"/>
        <v>84332.632521317282</v>
      </c>
      <c r="AL64" s="3"/>
    </row>
    <row r="65" spans="2:38" hidden="1">
      <c r="B65" s="3"/>
      <c r="C65" s="4"/>
      <c r="D65" s="5"/>
      <c r="E65" s="147">
        <f t="array" aca="1" ref="E65:AK65" ca="1">tlccEubc6</f>
        <v>83299.834734948628</v>
      </c>
      <c r="F65" s="35">
        <f ca="1"/>
        <v>83666.706844714456</v>
      </c>
      <c r="G65" s="35">
        <f ca="1"/>
        <v>83991.440021344082</v>
      </c>
      <c r="H65" s="35">
        <f ca="1"/>
        <v>84345.433640467556</v>
      </c>
      <c r="I65" s="35">
        <f ca="1"/>
        <v>84656.251202181767</v>
      </c>
      <c r="J65" s="35">
        <f ca="1"/>
        <v>84995.637466852422</v>
      </c>
      <c r="K65" s="35">
        <f ca="1"/>
        <v>85290.783882274452</v>
      </c>
      <c r="L65" s="35">
        <f ca="1"/>
        <v>85613.538608545758</v>
      </c>
      <c r="M65" s="35">
        <f ca="1"/>
        <v>85965.560064135963</v>
      </c>
      <c r="N65" s="35">
        <f ca="1"/>
        <v>86274.373520952358</v>
      </c>
      <c r="O65" s="35">
        <f ca="1"/>
        <v>86611.702127724493</v>
      </c>
      <c r="P65" s="35">
        <f ca="1"/>
        <v>86979.584974985642</v>
      </c>
      <c r="Q65" s="35">
        <f ca="1"/>
        <v>87305.608985891871</v>
      </c>
      <c r="R65" s="35">
        <f ca="1"/>
        <v>87661.265756272463</v>
      </c>
      <c r="S65" s="35">
        <f ca="1"/>
        <v>87974.130315649367</v>
      </c>
      <c r="T65" s="35">
        <f ca="1"/>
        <v>88315.894994045113</v>
      </c>
      <c r="U65" s="35">
        <f ca="1"/>
        <v>88688.751743265238</v>
      </c>
      <c r="V65" s="35">
        <f ca="1"/>
        <v>89020.118317021348</v>
      </c>
      <c r="W65" s="35">
        <f ca="1"/>
        <v>89381.809791713124</v>
      </c>
      <c r="X65" s="35">
        <f ca="1"/>
        <v>89701.388852183256</v>
      </c>
      <c r="Y65" s="35">
        <f ca="1"/>
        <v>90050.454182214206</v>
      </c>
      <c r="Z65" s="35">
        <f ca="1"/>
        <v>90431.302143072782</v>
      </c>
      <c r="AA65" s="35">
        <f ca="1"/>
        <v>90771.26375127527</v>
      </c>
      <c r="AB65" s="35">
        <f ca="1"/>
        <v>91142.307402735212</v>
      </c>
      <c r="AC65" s="35">
        <f ca="1"/>
        <v>91471.941699399293</v>
      </c>
      <c r="AD65" s="35">
        <f ca="1"/>
        <v>91831.849676070124</v>
      </c>
      <c r="AE65" s="35">
        <f ca="1"/>
        <v>92224.432052618999</v>
      </c>
      <c r="AF65" s="35">
        <f ca="1"/>
        <v>92577.124176964746</v>
      </c>
      <c r="AG65" s="35">
        <f ca="1"/>
        <v>92962.112356731814</v>
      </c>
      <c r="AH65" s="35">
        <f ca="1"/>
        <v>93306.695968409316</v>
      </c>
      <c r="AI65" s="35">
        <f ca="1"/>
        <v>93682.941325984881</v>
      </c>
      <c r="AJ65" s="35">
        <f ca="1"/>
        <v>94018.356362620863</v>
      </c>
      <c r="AK65" s="36">
        <f ca="1"/>
        <v>94384.781147989474</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3614.1887254539188</v>
      </c>
      <c r="F68" s="28">
        <f ca="1"/>
        <v>3587.1732920412719</v>
      </c>
      <c r="G68" s="28">
        <f ca="1"/>
        <v>3559.9542277169048</v>
      </c>
      <c r="H68" s="28">
        <f ca="1"/>
        <v>3536.0483932088473</v>
      </c>
      <c r="I68" s="28">
        <f ca="1"/>
        <v>3513.3804026720818</v>
      </c>
      <c r="J68" s="28">
        <f ca="1"/>
        <v>3493.6392752602032</v>
      </c>
      <c r="K68" s="28">
        <f ca="1"/>
        <v>3478.3298786854893</v>
      </c>
      <c r="L68" s="28">
        <f ca="1"/>
        <v>3465.6391238296383</v>
      </c>
      <c r="M68" s="28">
        <f ca="1"/>
        <v>3452.8935425084633</v>
      </c>
      <c r="N68" s="28">
        <f ca="1"/>
        <v>3442.7002482636744</v>
      </c>
      <c r="O68" s="28">
        <f ca="1"/>
        <v>3435.6802986846014</v>
      </c>
      <c r="P68" s="28">
        <f ca="1"/>
        <v>3430.5441541926871</v>
      </c>
      <c r="Q68" s="28">
        <f ca="1"/>
        <v>3426.2228415014374</v>
      </c>
      <c r="R68" s="28">
        <f ca="1"/>
        <v>3423.035432895243</v>
      </c>
      <c r="S68" s="28">
        <f ca="1"/>
        <v>3420.6058322771469</v>
      </c>
      <c r="T68" s="28">
        <f ca="1"/>
        <v>3420.3014995528124</v>
      </c>
      <c r="U68" s="28">
        <f ca="1"/>
        <v>3420.9253205914956</v>
      </c>
      <c r="V68" s="28">
        <f ca="1"/>
        <v>3421.8418128487988</v>
      </c>
      <c r="W68" s="28">
        <f ca="1"/>
        <v>3423.1525237552214</v>
      </c>
      <c r="X68" s="28">
        <f ca="1"/>
        <v>3424.3911314821039</v>
      </c>
      <c r="Y68" s="28">
        <f ca="1"/>
        <v>3425.4173842077475</v>
      </c>
      <c r="Z68" s="28">
        <f ca="1"/>
        <v>3426.1051186331724</v>
      </c>
      <c r="AA68" s="28">
        <f ca="1"/>
        <v>3426.558381399675</v>
      </c>
      <c r="AB68" s="28">
        <f ca="1"/>
        <v>3426.558381399675</v>
      </c>
      <c r="AC68" s="28">
        <f ca="1"/>
        <v>3426.558381399675</v>
      </c>
      <c r="AD68" s="28">
        <f ca="1"/>
        <v>3426.558381399675</v>
      </c>
      <c r="AE68" s="28">
        <f ca="1"/>
        <v>3426.558381399675</v>
      </c>
      <c r="AF68" s="28">
        <f ca="1"/>
        <v>3426.558381399675</v>
      </c>
      <c r="AG68" s="28">
        <f ca="1"/>
        <v>3426.558381399675</v>
      </c>
      <c r="AH68" s="28">
        <f ca="1"/>
        <v>3426.558381399675</v>
      </c>
      <c r="AI68" s="28">
        <f ca="1"/>
        <v>3426.558381399675</v>
      </c>
      <c r="AJ68" s="28">
        <f ca="1"/>
        <v>3426.558381399675</v>
      </c>
      <c r="AK68" s="29">
        <f ca="1"/>
        <v>3426.558381399675</v>
      </c>
      <c r="AL68" s="3"/>
    </row>
    <row r="69" spans="2:38" hidden="1">
      <c r="B69" s="3"/>
      <c r="C69" s="12"/>
      <c r="D69" s="16"/>
      <c r="E69" s="141">
        <f t="array" aca="1" ref="E69:AK69" ca="1">tlccFubcElec1</f>
        <v>29592.367669165815</v>
      </c>
      <c r="F69" s="28">
        <f ca="1"/>
        <v>29371.169857148245</v>
      </c>
      <c r="G69" s="28">
        <f ca="1"/>
        <v>29148.3047495725</v>
      </c>
      <c r="H69" s="28">
        <f ca="1"/>
        <v>28952.567808881384</v>
      </c>
      <c r="I69" s="28">
        <f ca="1"/>
        <v>28766.966125836774</v>
      </c>
      <c r="J69" s="28">
        <f ca="1"/>
        <v>28605.329104376924</v>
      </c>
      <c r="K69" s="28">
        <f ca="1"/>
        <v>28479.978347499909</v>
      </c>
      <c r="L69" s="28">
        <f ca="1"/>
        <v>28376.068587323662</v>
      </c>
      <c r="M69" s="28">
        <f ca="1"/>
        <v>28271.709917297067</v>
      </c>
      <c r="N69" s="28">
        <f ca="1"/>
        <v>28188.248943350864</v>
      </c>
      <c r="O69" s="28">
        <f ca="1"/>
        <v>28130.770780271032</v>
      </c>
      <c r="P69" s="28">
        <f ca="1"/>
        <v>28088.716895498426</v>
      </c>
      <c r="Q69" s="28">
        <f ca="1"/>
        <v>28053.334716069807</v>
      </c>
      <c r="R69" s="28">
        <f ca="1"/>
        <v>28027.236752030996</v>
      </c>
      <c r="S69" s="28">
        <f ca="1"/>
        <v>28007.343591977242</v>
      </c>
      <c r="T69" s="28">
        <f ca="1"/>
        <v>28004.851766963006</v>
      </c>
      <c r="U69" s="28">
        <f ca="1"/>
        <v>28009.959508406184</v>
      </c>
      <c r="V69" s="28">
        <f ca="1"/>
        <v>28017.463592421791</v>
      </c>
      <c r="W69" s="28">
        <f ca="1"/>
        <v>28028.195472242474</v>
      </c>
      <c r="X69" s="28">
        <f ca="1"/>
        <v>28038.33698339092</v>
      </c>
      <c r="Y69" s="28">
        <f ca="1"/>
        <v>28046.739767607705</v>
      </c>
      <c r="Z69" s="28">
        <f ca="1"/>
        <v>28052.370821081084</v>
      </c>
      <c r="AA69" s="28">
        <f ca="1"/>
        <v>28056.08206016017</v>
      </c>
      <c r="AB69" s="28">
        <f ca="1"/>
        <v>28056.08206016017</v>
      </c>
      <c r="AC69" s="28">
        <f ca="1"/>
        <v>28056.08206016017</v>
      </c>
      <c r="AD69" s="28">
        <f ca="1"/>
        <v>28056.08206016017</v>
      </c>
      <c r="AE69" s="28">
        <f ca="1"/>
        <v>28056.08206016017</v>
      </c>
      <c r="AF69" s="28">
        <f ca="1"/>
        <v>28056.08206016017</v>
      </c>
      <c r="AG69" s="28">
        <f ca="1"/>
        <v>28056.08206016017</v>
      </c>
      <c r="AH69" s="28">
        <f ca="1"/>
        <v>28056.08206016017</v>
      </c>
      <c r="AI69" s="28">
        <f ca="1"/>
        <v>28056.08206016017</v>
      </c>
      <c r="AJ69" s="28">
        <f ca="1"/>
        <v>28056.08206016017</v>
      </c>
      <c r="AK69" s="29">
        <f ca="1"/>
        <v>28056.08206016017</v>
      </c>
      <c r="AL69" s="3"/>
    </row>
    <row r="70" spans="2:38" hidden="1">
      <c r="B70" s="3"/>
      <c r="C70" s="12"/>
      <c r="D70" s="16"/>
      <c r="E70" s="141">
        <f t="array" aca="1" ref="E70:AK70" ca="1">tlccFubcElec2</f>
        <v>13920.362811927522</v>
      </c>
      <c r="F70" s="28">
        <f ca="1"/>
        <v>13816.310516047955</v>
      </c>
      <c r="G70" s="28">
        <f ca="1"/>
        <v>13711.473917967762</v>
      </c>
      <c r="H70" s="28">
        <f ca="1"/>
        <v>13619.398513235747</v>
      </c>
      <c r="I70" s="28">
        <f ca="1"/>
        <v>13532.090772423328</v>
      </c>
      <c r="J70" s="28">
        <f ca="1"/>
        <v>13456.056099979562</v>
      </c>
      <c r="K70" s="28">
        <f ca="1"/>
        <v>13397.090625030569</v>
      </c>
      <c r="L70" s="28">
        <f ca="1"/>
        <v>13348.211076846901</v>
      </c>
      <c r="M70" s="28">
        <f ca="1"/>
        <v>13299.12035975453</v>
      </c>
      <c r="N70" s="28">
        <f ca="1"/>
        <v>13259.859998739938</v>
      </c>
      <c r="O70" s="28">
        <f ca="1"/>
        <v>13232.8220512266</v>
      </c>
      <c r="P70" s="28">
        <f ca="1"/>
        <v>13213.039743158844</v>
      </c>
      <c r="Q70" s="28">
        <f ca="1"/>
        <v>13196.395830774765</v>
      </c>
      <c r="R70" s="28">
        <f ca="1"/>
        <v>13184.119248781246</v>
      </c>
      <c r="S70" s="28">
        <f ca="1"/>
        <v>13174.761430288318</v>
      </c>
      <c r="T70" s="28">
        <f ca="1"/>
        <v>13173.589266281377</v>
      </c>
      <c r="U70" s="28">
        <f ca="1"/>
        <v>13175.991967370841</v>
      </c>
      <c r="V70" s="28">
        <f ca="1"/>
        <v>13179.521917161821</v>
      </c>
      <c r="W70" s="28">
        <f ca="1"/>
        <v>13184.570234431603</v>
      </c>
      <c r="X70" s="28">
        <f ca="1"/>
        <v>13189.340840022405</v>
      </c>
      <c r="Y70" s="28">
        <f ca="1"/>
        <v>13193.293541821587</v>
      </c>
      <c r="Z70" s="28">
        <f ca="1"/>
        <v>13195.942410889422</v>
      </c>
      <c r="AA70" s="28">
        <f ca="1"/>
        <v>13197.688191931351</v>
      </c>
      <c r="AB70" s="28">
        <f ca="1"/>
        <v>13197.688191931351</v>
      </c>
      <c r="AC70" s="28">
        <f ca="1"/>
        <v>13197.688191931351</v>
      </c>
      <c r="AD70" s="28">
        <f ca="1"/>
        <v>13197.688191931351</v>
      </c>
      <c r="AE70" s="28">
        <f ca="1"/>
        <v>13197.688191931351</v>
      </c>
      <c r="AF70" s="28">
        <f ca="1"/>
        <v>13197.688191931351</v>
      </c>
      <c r="AG70" s="28">
        <f ca="1"/>
        <v>13197.688191931351</v>
      </c>
      <c r="AH70" s="28">
        <f ca="1"/>
        <v>13197.688191931351</v>
      </c>
      <c r="AI70" s="28">
        <f ca="1"/>
        <v>13197.688191931351</v>
      </c>
      <c r="AJ70" s="28">
        <f ca="1"/>
        <v>13197.688191931351</v>
      </c>
      <c r="AK70" s="29">
        <f ca="1"/>
        <v>13197.688191931351</v>
      </c>
      <c r="AL70" s="3"/>
    </row>
    <row r="71" spans="2:38" hidden="1">
      <c r="B71" s="3"/>
      <c r="C71" s="12"/>
      <c r="D71" s="16"/>
      <c r="E71" s="141">
        <f t="array" aca="1" ref="E71:AK71" ca="1">tlccFubcElec3</f>
        <v>13782.707272114607</v>
      </c>
      <c r="F71" s="28">
        <f ca="1"/>
        <v>13679.683927502443</v>
      </c>
      <c r="G71" s="28">
        <f ca="1"/>
        <v>13575.884036489144</v>
      </c>
      <c r="H71" s="28">
        <f ca="1"/>
        <v>13484.719146067215</v>
      </c>
      <c r="I71" s="28">
        <f ca="1"/>
        <v>13398.274773139223</v>
      </c>
      <c r="J71" s="28">
        <f ca="1"/>
        <v>13322.991991577983</v>
      </c>
      <c r="K71" s="28">
        <f ca="1"/>
        <v>13264.609613807852</v>
      </c>
      <c r="L71" s="28">
        <f ca="1"/>
        <v>13216.213425194765</v>
      </c>
      <c r="M71" s="28">
        <f ca="1"/>
        <v>13167.608155877891</v>
      </c>
      <c r="N71" s="28">
        <f ca="1"/>
        <v>13128.736032315275</v>
      </c>
      <c r="O71" s="28">
        <f ca="1"/>
        <v>13101.965457377684</v>
      </c>
      <c r="P71" s="28">
        <f ca="1"/>
        <v>13082.378772393367</v>
      </c>
      <c r="Q71" s="28">
        <f ca="1"/>
        <v>13065.899448157943</v>
      </c>
      <c r="R71" s="28">
        <f ca="1"/>
        <v>13053.74426670148</v>
      </c>
      <c r="S71" s="28">
        <f ca="1"/>
        <v>13044.478985707288</v>
      </c>
      <c r="T71" s="28">
        <f ca="1"/>
        <v>13043.318412983654</v>
      </c>
      <c r="U71" s="28">
        <f ca="1"/>
        <v>13045.697354267435</v>
      </c>
      <c r="V71" s="28">
        <f ca="1"/>
        <v>13049.192397127428</v>
      </c>
      <c r="W71" s="28">
        <f ca="1"/>
        <v>13054.190792649599</v>
      </c>
      <c r="X71" s="28">
        <f ca="1"/>
        <v>13058.914222725172</v>
      </c>
      <c r="Y71" s="28">
        <f ca="1"/>
        <v>13062.82783708768</v>
      </c>
      <c r="Z71" s="28">
        <f ca="1"/>
        <v>13065.450512046471</v>
      </c>
      <c r="AA71" s="28">
        <f ca="1"/>
        <v>13067.179029426887</v>
      </c>
      <c r="AB71" s="28">
        <f ca="1"/>
        <v>13067.179029426887</v>
      </c>
      <c r="AC71" s="28">
        <f ca="1"/>
        <v>13067.179029426887</v>
      </c>
      <c r="AD71" s="28">
        <f ca="1"/>
        <v>13067.179029426887</v>
      </c>
      <c r="AE71" s="28">
        <f ca="1"/>
        <v>13067.179029426887</v>
      </c>
      <c r="AF71" s="28">
        <f ca="1"/>
        <v>13067.179029426887</v>
      </c>
      <c r="AG71" s="28">
        <f ca="1"/>
        <v>13067.179029426887</v>
      </c>
      <c r="AH71" s="28">
        <f ca="1"/>
        <v>13067.179029426887</v>
      </c>
      <c r="AI71" s="28">
        <f ca="1"/>
        <v>13067.179029426887</v>
      </c>
      <c r="AJ71" s="28">
        <f ca="1"/>
        <v>13067.179029426887</v>
      </c>
      <c r="AK71" s="29">
        <f ca="1"/>
        <v>13067.179029426887</v>
      </c>
      <c r="AL71" s="3"/>
    </row>
    <row r="72" spans="2:38" hidden="1">
      <c r="B72" s="3"/>
      <c r="C72" s="12"/>
      <c r="D72" s="16"/>
      <c r="E72" s="141">
        <f t="array" aca="1" ref="E72:AK72" ca="1">tlccFubcElec4</f>
        <v>20292.792574602518</v>
      </c>
      <c r="F72" s="28">
        <f ca="1"/>
        <v>20141.10747230145</v>
      </c>
      <c r="G72" s="28">
        <f ca="1"/>
        <v>19988.279031849772</v>
      </c>
      <c r="H72" s="28">
        <f ca="1"/>
        <v>19854.053572736855</v>
      </c>
      <c r="I72" s="28">
        <f ca="1"/>
        <v>19726.778307113353</v>
      </c>
      <c r="J72" s="28">
        <f ca="1"/>
        <v>19615.936667622675</v>
      </c>
      <c r="K72" s="28">
        <f ca="1"/>
        <v>19529.978121256507</v>
      </c>
      <c r="L72" s="28">
        <f ca="1"/>
        <v>19458.722612629859</v>
      </c>
      <c r="M72" s="28">
        <f ca="1"/>
        <v>19387.15926670612</v>
      </c>
      <c r="N72" s="28">
        <f ca="1"/>
        <v>19329.92639330784</v>
      </c>
      <c r="O72" s="28">
        <f ca="1"/>
        <v>19290.511080076129</v>
      </c>
      <c r="P72" s="28">
        <f ca="1"/>
        <v>19261.672875232656</v>
      </c>
      <c r="Q72" s="28">
        <f ca="1"/>
        <v>19237.409753200336</v>
      </c>
      <c r="R72" s="28">
        <f ca="1"/>
        <v>19219.513227421128</v>
      </c>
      <c r="S72" s="28">
        <f ca="1"/>
        <v>19205.871609584483</v>
      </c>
      <c r="T72" s="28">
        <f ca="1"/>
        <v>19204.162855195125</v>
      </c>
      <c r="U72" s="28">
        <f ca="1"/>
        <v>19207.665458933694</v>
      </c>
      <c r="V72" s="28">
        <f ca="1"/>
        <v>19212.811340537137</v>
      </c>
      <c r="W72" s="28">
        <f ca="1"/>
        <v>19220.170664183403</v>
      </c>
      <c r="X72" s="28">
        <f ca="1"/>
        <v>19227.1251459751</v>
      </c>
      <c r="Y72" s="28">
        <f ca="1"/>
        <v>19232.887305970769</v>
      </c>
      <c r="Z72" s="28">
        <f ca="1"/>
        <v>19236.748767864909</v>
      </c>
      <c r="AA72" s="28">
        <f ca="1"/>
        <v>19239.293728297562</v>
      </c>
      <c r="AB72" s="28">
        <f ca="1"/>
        <v>19239.293728297562</v>
      </c>
      <c r="AC72" s="28">
        <f ca="1"/>
        <v>19239.293728297562</v>
      </c>
      <c r="AD72" s="28">
        <f ca="1"/>
        <v>19239.293728297562</v>
      </c>
      <c r="AE72" s="28">
        <f ca="1"/>
        <v>19239.293728297562</v>
      </c>
      <c r="AF72" s="28">
        <f ca="1"/>
        <v>19239.293728297562</v>
      </c>
      <c r="AG72" s="28">
        <f ca="1"/>
        <v>19239.293728297562</v>
      </c>
      <c r="AH72" s="28">
        <f ca="1"/>
        <v>19239.293728297562</v>
      </c>
      <c r="AI72" s="28">
        <f ca="1"/>
        <v>19239.293728297562</v>
      </c>
      <c r="AJ72" s="28">
        <f ca="1"/>
        <v>19239.293728297562</v>
      </c>
      <c r="AK72" s="29">
        <f ca="1"/>
        <v>19239.293728297562</v>
      </c>
      <c r="AL72" s="3"/>
    </row>
    <row r="73" spans="2:38" hidden="1">
      <c r="B73" s="3"/>
      <c r="C73" s="12"/>
      <c r="D73" s="16"/>
      <c r="E73" s="141">
        <f t="array" aca="1" ref="E73:AK73" ca="1">tlccFubcElec5</f>
        <v>15844.193014066319</v>
      </c>
      <c r="F73" s="28">
        <f ca="1"/>
        <v>15725.760421342518</v>
      </c>
      <c r="G73" s="28">
        <f ca="1"/>
        <v>15606.43513382218</v>
      </c>
      <c r="H73" s="28">
        <f ca="1"/>
        <v>15501.634669629369</v>
      </c>
      <c r="I73" s="28">
        <f ca="1"/>
        <v>15402.260772860762</v>
      </c>
      <c r="J73" s="28">
        <f ca="1"/>
        <v>15315.717911712913</v>
      </c>
      <c r="K73" s="28">
        <f ca="1"/>
        <v>15248.603255372384</v>
      </c>
      <c r="L73" s="28">
        <f ca="1"/>
        <v>15192.968427004351</v>
      </c>
      <c r="M73" s="28">
        <f ca="1"/>
        <v>15137.093245637383</v>
      </c>
      <c r="N73" s="28">
        <f ca="1"/>
        <v>15092.407001024265</v>
      </c>
      <c r="O73" s="28">
        <f ca="1"/>
        <v>15061.632339121164</v>
      </c>
      <c r="P73" s="28">
        <f ca="1"/>
        <v>15039.1160648312</v>
      </c>
      <c r="Q73" s="28">
        <f ca="1"/>
        <v>15020.171920638593</v>
      </c>
      <c r="R73" s="28">
        <f ca="1"/>
        <v>15006.198683210352</v>
      </c>
      <c r="S73" s="28">
        <f ca="1"/>
        <v>14995.547589959715</v>
      </c>
      <c r="T73" s="28">
        <f ca="1"/>
        <v>14994.213429850452</v>
      </c>
      <c r="U73" s="28">
        <f ca="1"/>
        <v>14996.948190454821</v>
      </c>
      <c r="V73" s="28">
        <f ca="1"/>
        <v>15000.96598845146</v>
      </c>
      <c r="W73" s="28">
        <f ca="1"/>
        <v>15006.711996245893</v>
      </c>
      <c r="X73" s="28">
        <f ca="1"/>
        <v>15012.141911887882</v>
      </c>
      <c r="Y73" s="28">
        <f ca="1"/>
        <v>15016.640887315421</v>
      </c>
      <c r="Z73" s="28">
        <f ca="1"/>
        <v>15019.655836950482</v>
      </c>
      <c r="AA73" s="28">
        <f ca="1"/>
        <v>15021.642889454957</v>
      </c>
      <c r="AB73" s="28">
        <f ca="1"/>
        <v>15021.642889454957</v>
      </c>
      <c r="AC73" s="28">
        <f ca="1"/>
        <v>15021.642889454957</v>
      </c>
      <c r="AD73" s="28">
        <f ca="1"/>
        <v>15021.642889454957</v>
      </c>
      <c r="AE73" s="28">
        <f ca="1"/>
        <v>15021.642889454957</v>
      </c>
      <c r="AF73" s="28">
        <f ca="1"/>
        <v>15021.642889454957</v>
      </c>
      <c r="AG73" s="28">
        <f ca="1"/>
        <v>15021.642889454957</v>
      </c>
      <c r="AH73" s="28">
        <f ca="1"/>
        <v>15021.642889454957</v>
      </c>
      <c r="AI73" s="28">
        <f ca="1"/>
        <v>15021.642889454957</v>
      </c>
      <c r="AJ73" s="28">
        <f ca="1"/>
        <v>15021.642889454957</v>
      </c>
      <c r="AK73" s="29">
        <f ca="1"/>
        <v>15021.642889454957</v>
      </c>
      <c r="AL73" s="3"/>
    </row>
    <row r="74" spans="2:38" hidden="1">
      <c r="B74" s="3"/>
      <c r="C74" s="4"/>
      <c r="D74" s="5"/>
      <c r="E74" s="147">
        <f t="array" aca="1" ref="E74:AK74" ca="1">tlccFubcElec6</f>
        <v>17732.76423834082</v>
      </c>
      <c r="F74" s="35">
        <f ca="1"/>
        <v>17600.21490351246</v>
      </c>
      <c r="G74" s="35">
        <f ca="1"/>
        <v>17466.666467855819</v>
      </c>
      <c r="H74" s="35">
        <f ca="1"/>
        <v>17349.374162596101</v>
      </c>
      <c r="I74" s="35">
        <f ca="1"/>
        <v>17238.155252218112</v>
      </c>
      <c r="J74" s="35">
        <f ca="1"/>
        <v>17141.296791084511</v>
      </c>
      <c r="K74" s="35">
        <f ca="1"/>
        <v>17066.182307388983</v>
      </c>
      <c r="L74" s="35">
        <f ca="1"/>
        <v>17003.916006163352</v>
      </c>
      <c r="M74" s="35">
        <f ca="1"/>
        <v>16941.380702719664</v>
      </c>
      <c r="N74" s="35">
        <f ca="1"/>
        <v>16891.368017332803</v>
      </c>
      <c r="O74" s="35">
        <f ca="1"/>
        <v>16856.925125633756</v>
      </c>
      <c r="P74" s="35">
        <f ca="1"/>
        <v>16831.724991858853</v>
      </c>
      <c r="Q74" s="35">
        <f ca="1"/>
        <v>16810.522773332079</v>
      </c>
      <c r="R74" s="35">
        <f ca="1"/>
        <v>16794.883975903813</v>
      </c>
      <c r="S74" s="35">
        <f ca="1"/>
        <v>16782.963310375031</v>
      </c>
      <c r="T74" s="35">
        <f ca="1"/>
        <v>16781.470123145315</v>
      </c>
      <c r="U74" s="35">
        <f ca="1"/>
        <v>16784.530857447309</v>
      </c>
      <c r="V74" s="35">
        <f ca="1"/>
        <v>16789.027562616731</v>
      </c>
      <c r="W74" s="35">
        <f ca="1"/>
        <v>16795.458474020037</v>
      </c>
      <c r="X74" s="35">
        <f ca="1"/>
        <v>16801.535616215162</v>
      </c>
      <c r="Y74" s="35">
        <f ca="1"/>
        <v>16806.570853446858</v>
      </c>
      <c r="Z74" s="35">
        <f ca="1"/>
        <v>16809.94517431139</v>
      </c>
      <c r="AA74" s="35">
        <f ca="1"/>
        <v>16812.16907637821</v>
      </c>
      <c r="AB74" s="35">
        <f ca="1"/>
        <v>16812.16907637821</v>
      </c>
      <c r="AC74" s="35">
        <f ca="1"/>
        <v>16812.16907637821</v>
      </c>
      <c r="AD74" s="35">
        <f ca="1"/>
        <v>16812.16907637821</v>
      </c>
      <c r="AE74" s="35">
        <f ca="1"/>
        <v>16812.16907637821</v>
      </c>
      <c r="AF74" s="35">
        <f ca="1"/>
        <v>16812.16907637821</v>
      </c>
      <c r="AG74" s="35">
        <f ca="1"/>
        <v>16812.16907637821</v>
      </c>
      <c r="AH74" s="35">
        <f ca="1"/>
        <v>16812.16907637821</v>
      </c>
      <c r="AI74" s="35">
        <f ca="1"/>
        <v>16812.16907637821</v>
      </c>
      <c r="AJ74" s="35">
        <f ca="1"/>
        <v>16812.16907637821</v>
      </c>
      <c r="AK74" s="36">
        <f ca="1"/>
        <v>16812.16907637821</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1831.7830500000002</v>
      </c>
      <c r="F78" s="28">
        <f ca="1"/>
        <v>1831.7830500000002</v>
      </c>
      <c r="G78" s="28">
        <f ca="1"/>
        <v>1831.7830500000002</v>
      </c>
      <c r="H78" s="28">
        <f ca="1"/>
        <v>1831.7830500000002</v>
      </c>
      <c r="I78" s="28">
        <f ca="1"/>
        <v>1831.7830500000002</v>
      </c>
      <c r="J78" s="28">
        <f ca="1"/>
        <v>1831.7830500000002</v>
      </c>
      <c r="K78" s="28">
        <f ca="1"/>
        <v>1831.7830500000002</v>
      </c>
      <c r="L78" s="28">
        <f ca="1"/>
        <v>1831.7830500000002</v>
      </c>
      <c r="M78" s="28">
        <f ca="1"/>
        <v>1831.7830500000002</v>
      </c>
      <c r="N78" s="28">
        <f ca="1"/>
        <v>1831.7830500000002</v>
      </c>
      <c r="O78" s="28">
        <f ca="1"/>
        <v>1831.7830500000002</v>
      </c>
      <c r="P78" s="28">
        <f ca="1"/>
        <v>1831.7830500000002</v>
      </c>
      <c r="Q78" s="28">
        <f ca="1"/>
        <v>1831.7830500000002</v>
      </c>
      <c r="R78" s="28">
        <f ca="1"/>
        <v>1831.7830500000002</v>
      </c>
      <c r="S78" s="28">
        <f ca="1"/>
        <v>1831.7830500000002</v>
      </c>
      <c r="T78" s="28">
        <f ca="1"/>
        <v>1831.7830500000002</v>
      </c>
      <c r="U78" s="28">
        <f ca="1"/>
        <v>1831.7830500000002</v>
      </c>
      <c r="V78" s="28">
        <f ca="1"/>
        <v>1831.7830500000002</v>
      </c>
      <c r="W78" s="28">
        <f ca="1"/>
        <v>1831.7830500000002</v>
      </c>
      <c r="X78" s="28">
        <f ca="1"/>
        <v>1831.7830500000002</v>
      </c>
      <c r="Y78" s="28">
        <f ca="1"/>
        <v>1831.7830500000002</v>
      </c>
      <c r="Z78" s="28">
        <f ca="1"/>
        <v>1831.7830500000002</v>
      </c>
      <c r="AA78" s="28">
        <f ca="1"/>
        <v>1831.7830500000002</v>
      </c>
      <c r="AB78" s="28">
        <f ca="1"/>
        <v>1831.7830500000002</v>
      </c>
      <c r="AC78" s="28">
        <f ca="1"/>
        <v>1831.7830500000002</v>
      </c>
      <c r="AD78" s="28">
        <f ca="1"/>
        <v>1831.7830500000002</v>
      </c>
      <c r="AE78" s="28">
        <f ca="1"/>
        <v>1831.7830500000002</v>
      </c>
      <c r="AF78" s="28">
        <f ca="1"/>
        <v>1831.7830500000002</v>
      </c>
      <c r="AG78" s="28">
        <f ca="1"/>
        <v>1831.7830500000002</v>
      </c>
      <c r="AH78" s="28">
        <f ca="1"/>
        <v>1831.7830500000002</v>
      </c>
      <c r="AI78" s="28">
        <f ca="1"/>
        <v>1831.7830500000002</v>
      </c>
      <c r="AJ78" s="28">
        <f ca="1"/>
        <v>1831.7830500000002</v>
      </c>
      <c r="AK78" s="29">
        <f ca="1"/>
        <v>1831.7830500000002</v>
      </c>
      <c r="AL78" s="3"/>
    </row>
    <row r="79" spans="2:38" hidden="1">
      <c r="B79" s="3"/>
      <c r="C79" s="12"/>
      <c r="D79" s="16"/>
      <c r="E79" s="141">
        <f t="array" aca="1" ref="E79:AK79" ca="1">tlccQupol2</f>
        <v>1392.4454940000001</v>
      </c>
      <c r="F79" s="28">
        <f ca="1"/>
        <v>1392.4454940000001</v>
      </c>
      <c r="G79" s="28">
        <f ca="1"/>
        <v>1392.4454940000001</v>
      </c>
      <c r="H79" s="28">
        <f ca="1"/>
        <v>1392.4454940000001</v>
      </c>
      <c r="I79" s="28">
        <f ca="1"/>
        <v>1392.4454940000001</v>
      </c>
      <c r="J79" s="28">
        <f ca="1"/>
        <v>1392.4454940000001</v>
      </c>
      <c r="K79" s="28">
        <f ca="1"/>
        <v>1392.4454940000001</v>
      </c>
      <c r="L79" s="28">
        <f ca="1"/>
        <v>1392.4454940000001</v>
      </c>
      <c r="M79" s="28">
        <f ca="1"/>
        <v>1392.4454940000001</v>
      </c>
      <c r="N79" s="28">
        <f ca="1"/>
        <v>1392.4454940000001</v>
      </c>
      <c r="O79" s="28">
        <f ca="1"/>
        <v>1392.4454940000001</v>
      </c>
      <c r="P79" s="28">
        <f ca="1"/>
        <v>1392.4454940000001</v>
      </c>
      <c r="Q79" s="28">
        <f ca="1"/>
        <v>1392.4454940000001</v>
      </c>
      <c r="R79" s="28">
        <f ca="1"/>
        <v>1392.4454940000001</v>
      </c>
      <c r="S79" s="28">
        <f ca="1"/>
        <v>1392.4454940000001</v>
      </c>
      <c r="T79" s="28">
        <f ca="1"/>
        <v>1392.4454940000001</v>
      </c>
      <c r="U79" s="28">
        <f ca="1"/>
        <v>1392.4454940000001</v>
      </c>
      <c r="V79" s="28">
        <f ca="1"/>
        <v>1392.4454940000001</v>
      </c>
      <c r="W79" s="28">
        <f ca="1"/>
        <v>1392.4454940000001</v>
      </c>
      <c r="X79" s="28">
        <f ca="1"/>
        <v>1392.4454940000001</v>
      </c>
      <c r="Y79" s="28">
        <f ca="1"/>
        <v>1392.4454940000001</v>
      </c>
      <c r="Z79" s="28">
        <f ca="1"/>
        <v>1392.4454940000001</v>
      </c>
      <c r="AA79" s="28">
        <f ca="1"/>
        <v>1392.4454940000001</v>
      </c>
      <c r="AB79" s="28">
        <f ca="1"/>
        <v>1392.4454940000001</v>
      </c>
      <c r="AC79" s="28">
        <f ca="1"/>
        <v>1392.4454940000001</v>
      </c>
      <c r="AD79" s="28">
        <f ca="1"/>
        <v>1392.4454940000001</v>
      </c>
      <c r="AE79" s="28">
        <f ca="1"/>
        <v>1392.4454940000001</v>
      </c>
      <c r="AF79" s="28">
        <f ca="1"/>
        <v>1392.4454940000001</v>
      </c>
      <c r="AG79" s="28">
        <f ca="1"/>
        <v>1392.4454940000001</v>
      </c>
      <c r="AH79" s="28">
        <f ca="1"/>
        <v>1392.4454940000001</v>
      </c>
      <c r="AI79" s="28">
        <f ca="1"/>
        <v>1392.4454940000001</v>
      </c>
      <c r="AJ79" s="28">
        <f ca="1"/>
        <v>1392.4454940000001</v>
      </c>
      <c r="AK79" s="29">
        <f ca="1"/>
        <v>1392.4454940000001</v>
      </c>
      <c r="AL79" s="3"/>
    </row>
    <row r="80" spans="2:38" hidden="1">
      <c r="B80" s="3"/>
      <c r="C80" s="12"/>
      <c r="D80" s="16"/>
      <c r="E80" s="141">
        <f t="array" aca="1" ref="E80:AK80" ca="1">tlccQupol3</f>
        <v>1730.180828</v>
      </c>
      <c r="F80" s="28">
        <f ca="1"/>
        <v>1730.180828</v>
      </c>
      <c r="G80" s="28">
        <f ca="1"/>
        <v>1730.180828</v>
      </c>
      <c r="H80" s="28">
        <f ca="1"/>
        <v>1730.180828</v>
      </c>
      <c r="I80" s="28">
        <f ca="1"/>
        <v>1730.180828</v>
      </c>
      <c r="J80" s="28">
        <f ca="1"/>
        <v>1730.180828</v>
      </c>
      <c r="K80" s="28">
        <f ca="1"/>
        <v>1730.180828</v>
      </c>
      <c r="L80" s="28">
        <f ca="1"/>
        <v>1730.180828</v>
      </c>
      <c r="M80" s="28">
        <f ca="1"/>
        <v>1730.180828</v>
      </c>
      <c r="N80" s="28">
        <f ca="1"/>
        <v>1730.180828</v>
      </c>
      <c r="O80" s="28">
        <f ca="1"/>
        <v>1730.180828</v>
      </c>
      <c r="P80" s="28">
        <f ca="1"/>
        <v>1730.180828</v>
      </c>
      <c r="Q80" s="28">
        <f ca="1"/>
        <v>1730.180828</v>
      </c>
      <c r="R80" s="28">
        <f ca="1"/>
        <v>1730.180828</v>
      </c>
      <c r="S80" s="28">
        <f ca="1"/>
        <v>1730.180828</v>
      </c>
      <c r="T80" s="28">
        <f ca="1"/>
        <v>1730.180828</v>
      </c>
      <c r="U80" s="28">
        <f ca="1"/>
        <v>1730.180828</v>
      </c>
      <c r="V80" s="28">
        <f ca="1"/>
        <v>1730.180828</v>
      </c>
      <c r="W80" s="28">
        <f ca="1"/>
        <v>1730.180828</v>
      </c>
      <c r="X80" s="28">
        <f ca="1"/>
        <v>1730.180828</v>
      </c>
      <c r="Y80" s="28">
        <f ca="1"/>
        <v>1730.180828</v>
      </c>
      <c r="Z80" s="28">
        <f ca="1"/>
        <v>1730.180828</v>
      </c>
      <c r="AA80" s="28">
        <f ca="1"/>
        <v>1730.180828</v>
      </c>
      <c r="AB80" s="28">
        <f ca="1"/>
        <v>1730.180828</v>
      </c>
      <c r="AC80" s="28">
        <f ca="1"/>
        <v>1730.180828</v>
      </c>
      <c r="AD80" s="28">
        <f ca="1"/>
        <v>1730.180828</v>
      </c>
      <c r="AE80" s="28">
        <f ca="1"/>
        <v>1730.180828</v>
      </c>
      <c r="AF80" s="28">
        <f ca="1"/>
        <v>1730.180828</v>
      </c>
      <c r="AG80" s="28">
        <f ca="1"/>
        <v>1730.180828</v>
      </c>
      <c r="AH80" s="28">
        <f ca="1"/>
        <v>1730.180828</v>
      </c>
      <c r="AI80" s="28">
        <f ca="1"/>
        <v>1730.180828</v>
      </c>
      <c r="AJ80" s="28">
        <f ca="1"/>
        <v>1730.180828</v>
      </c>
      <c r="AK80" s="29">
        <f ca="1"/>
        <v>1730.180828</v>
      </c>
      <c r="AL80" s="3"/>
    </row>
    <row r="81" spans="2:38" hidden="1">
      <c r="B81" s="3"/>
      <c r="C81" s="12"/>
      <c r="D81" s="16"/>
      <c r="E81" s="141">
        <f t="array" aca="1" ref="E81:AK81" ca="1">tlccQupol4</f>
        <v>1940.017004</v>
      </c>
      <c r="F81" s="28">
        <f ca="1"/>
        <v>1940.017004</v>
      </c>
      <c r="G81" s="28">
        <f ca="1"/>
        <v>1940.017004</v>
      </c>
      <c r="H81" s="28">
        <f ca="1"/>
        <v>1940.017004</v>
      </c>
      <c r="I81" s="28">
        <f ca="1"/>
        <v>1940.017004</v>
      </c>
      <c r="J81" s="28">
        <f ca="1"/>
        <v>1940.017004</v>
      </c>
      <c r="K81" s="28">
        <f ca="1"/>
        <v>1940.017004</v>
      </c>
      <c r="L81" s="28">
        <f ca="1"/>
        <v>1940.017004</v>
      </c>
      <c r="M81" s="28">
        <f ca="1"/>
        <v>1940.017004</v>
      </c>
      <c r="N81" s="28">
        <f ca="1"/>
        <v>1940.017004</v>
      </c>
      <c r="O81" s="28">
        <f ca="1"/>
        <v>1940.017004</v>
      </c>
      <c r="P81" s="28">
        <f ca="1"/>
        <v>1940.017004</v>
      </c>
      <c r="Q81" s="28">
        <f ca="1"/>
        <v>1940.017004</v>
      </c>
      <c r="R81" s="28">
        <f ca="1"/>
        <v>1940.017004</v>
      </c>
      <c r="S81" s="28">
        <f ca="1"/>
        <v>1940.017004</v>
      </c>
      <c r="T81" s="28">
        <f ca="1"/>
        <v>1940.017004</v>
      </c>
      <c r="U81" s="28">
        <f ca="1"/>
        <v>1940.017004</v>
      </c>
      <c r="V81" s="28">
        <f ca="1"/>
        <v>1940.017004</v>
      </c>
      <c r="W81" s="28">
        <f ca="1"/>
        <v>1940.017004</v>
      </c>
      <c r="X81" s="28">
        <f ca="1"/>
        <v>1940.017004</v>
      </c>
      <c r="Y81" s="28">
        <f ca="1"/>
        <v>1940.017004</v>
      </c>
      <c r="Z81" s="28">
        <f ca="1"/>
        <v>1940.017004</v>
      </c>
      <c r="AA81" s="28">
        <f ca="1"/>
        <v>1940.017004</v>
      </c>
      <c r="AB81" s="28">
        <f ca="1"/>
        <v>1940.017004</v>
      </c>
      <c r="AC81" s="28">
        <f ca="1"/>
        <v>1940.017004</v>
      </c>
      <c r="AD81" s="28">
        <f ca="1"/>
        <v>1940.017004</v>
      </c>
      <c r="AE81" s="28">
        <f ca="1"/>
        <v>1940.017004</v>
      </c>
      <c r="AF81" s="28">
        <f ca="1"/>
        <v>1940.017004</v>
      </c>
      <c r="AG81" s="28">
        <f ca="1"/>
        <v>1940.017004</v>
      </c>
      <c r="AH81" s="28">
        <f ca="1"/>
        <v>1940.017004</v>
      </c>
      <c r="AI81" s="28">
        <f ca="1"/>
        <v>1940.017004</v>
      </c>
      <c r="AJ81" s="28">
        <f ca="1"/>
        <v>1940.017004</v>
      </c>
      <c r="AK81" s="29">
        <f ca="1"/>
        <v>1940.017004</v>
      </c>
      <c r="AL81" s="3"/>
    </row>
    <row r="82" spans="2:38" hidden="1">
      <c r="B82" s="3"/>
      <c r="C82" s="12"/>
      <c r="D82" s="16"/>
      <c r="E82" s="141">
        <f t="array" aca="1" ref="E82:AK82" ca="1">tlccQupol5</f>
        <v>2394.9557949999999</v>
      </c>
      <c r="F82" s="28">
        <f ca="1"/>
        <v>2394.9557949999999</v>
      </c>
      <c r="G82" s="28">
        <f ca="1"/>
        <v>2394.9557949999999</v>
      </c>
      <c r="H82" s="28">
        <f ca="1"/>
        <v>2394.9557949999999</v>
      </c>
      <c r="I82" s="28">
        <f ca="1"/>
        <v>2394.9557949999999</v>
      </c>
      <c r="J82" s="28">
        <f ca="1"/>
        <v>2394.9557949999999</v>
      </c>
      <c r="K82" s="28">
        <f ca="1"/>
        <v>2394.9557949999999</v>
      </c>
      <c r="L82" s="28">
        <f ca="1"/>
        <v>2394.9557949999999</v>
      </c>
      <c r="M82" s="28">
        <f ca="1"/>
        <v>2394.9557949999999</v>
      </c>
      <c r="N82" s="28">
        <f ca="1"/>
        <v>2394.9557949999999</v>
      </c>
      <c r="O82" s="28">
        <f ca="1"/>
        <v>2394.9557949999999</v>
      </c>
      <c r="P82" s="28">
        <f ca="1"/>
        <v>2394.9557949999999</v>
      </c>
      <c r="Q82" s="28">
        <f ca="1"/>
        <v>2394.9557949999999</v>
      </c>
      <c r="R82" s="28">
        <f ca="1"/>
        <v>2394.9557949999999</v>
      </c>
      <c r="S82" s="28">
        <f ca="1"/>
        <v>2394.9557949999999</v>
      </c>
      <c r="T82" s="28">
        <f ca="1"/>
        <v>2394.9557949999999</v>
      </c>
      <c r="U82" s="28">
        <f ca="1"/>
        <v>2394.9557949999999</v>
      </c>
      <c r="V82" s="28">
        <f ca="1"/>
        <v>2394.9557949999999</v>
      </c>
      <c r="W82" s="28">
        <f ca="1"/>
        <v>2394.9557949999999</v>
      </c>
      <c r="X82" s="28">
        <f ca="1"/>
        <v>2394.9557949999999</v>
      </c>
      <c r="Y82" s="28">
        <f ca="1"/>
        <v>2394.9557949999999</v>
      </c>
      <c r="Z82" s="28">
        <f ca="1"/>
        <v>2394.9557949999999</v>
      </c>
      <c r="AA82" s="28">
        <f ca="1"/>
        <v>2394.9557949999999</v>
      </c>
      <c r="AB82" s="28">
        <f ca="1"/>
        <v>2394.9557949999999</v>
      </c>
      <c r="AC82" s="28">
        <f ca="1"/>
        <v>2394.9557949999999</v>
      </c>
      <c r="AD82" s="28">
        <f ca="1"/>
        <v>2394.9557949999999</v>
      </c>
      <c r="AE82" s="28">
        <f ca="1"/>
        <v>2394.9557949999999</v>
      </c>
      <c r="AF82" s="28">
        <f ca="1"/>
        <v>2394.9557949999999</v>
      </c>
      <c r="AG82" s="28">
        <f ca="1"/>
        <v>2394.9557949999999</v>
      </c>
      <c r="AH82" s="28">
        <f ca="1"/>
        <v>2394.9557949999999</v>
      </c>
      <c r="AI82" s="28">
        <f ca="1"/>
        <v>2394.9557949999999</v>
      </c>
      <c r="AJ82" s="28">
        <f ca="1"/>
        <v>2394.9557949999999</v>
      </c>
      <c r="AK82" s="29">
        <f ca="1"/>
        <v>2394.9557949999999</v>
      </c>
      <c r="AL82" s="3"/>
    </row>
    <row r="83" spans="2:38" hidden="1">
      <c r="B83" s="3"/>
      <c r="C83" s="4"/>
      <c r="D83" s="5"/>
      <c r="E83" s="147">
        <f t="array" aca="1" ref="E83:AK83" ca="1">tlccQupol6</f>
        <v>2539.857489</v>
      </c>
      <c r="F83" s="35">
        <f ca="1"/>
        <v>2539.857489</v>
      </c>
      <c r="G83" s="35">
        <f ca="1"/>
        <v>2539.857489</v>
      </c>
      <c r="H83" s="35">
        <f ca="1"/>
        <v>2539.857489</v>
      </c>
      <c r="I83" s="35">
        <f ca="1"/>
        <v>2539.857489</v>
      </c>
      <c r="J83" s="35">
        <f ca="1"/>
        <v>2539.857489</v>
      </c>
      <c r="K83" s="35">
        <f ca="1"/>
        <v>2539.857489</v>
      </c>
      <c r="L83" s="35">
        <f ca="1"/>
        <v>2539.857489</v>
      </c>
      <c r="M83" s="35">
        <f ca="1"/>
        <v>2539.857489</v>
      </c>
      <c r="N83" s="35">
        <f ca="1"/>
        <v>2539.857489</v>
      </c>
      <c r="O83" s="35">
        <f ca="1"/>
        <v>2539.857489</v>
      </c>
      <c r="P83" s="35">
        <f ca="1"/>
        <v>2539.857489</v>
      </c>
      <c r="Q83" s="35">
        <f ca="1"/>
        <v>2539.857489</v>
      </c>
      <c r="R83" s="35">
        <f ca="1"/>
        <v>2539.857489</v>
      </c>
      <c r="S83" s="35">
        <f ca="1"/>
        <v>2539.857489</v>
      </c>
      <c r="T83" s="35">
        <f ca="1"/>
        <v>2539.857489</v>
      </c>
      <c r="U83" s="35">
        <f ca="1"/>
        <v>2539.857489</v>
      </c>
      <c r="V83" s="35">
        <f ca="1"/>
        <v>2539.857489</v>
      </c>
      <c r="W83" s="35">
        <f ca="1"/>
        <v>2539.857489</v>
      </c>
      <c r="X83" s="35">
        <f ca="1"/>
        <v>2539.857489</v>
      </c>
      <c r="Y83" s="35">
        <f ca="1"/>
        <v>2539.857489</v>
      </c>
      <c r="Z83" s="35">
        <f ca="1"/>
        <v>2539.857489</v>
      </c>
      <c r="AA83" s="35">
        <f ca="1"/>
        <v>2539.857489</v>
      </c>
      <c r="AB83" s="35">
        <f ca="1"/>
        <v>2539.857489</v>
      </c>
      <c r="AC83" s="35">
        <f ca="1"/>
        <v>2539.857489</v>
      </c>
      <c r="AD83" s="35">
        <f ca="1"/>
        <v>2539.857489</v>
      </c>
      <c r="AE83" s="35">
        <f ca="1"/>
        <v>2539.857489</v>
      </c>
      <c r="AF83" s="35">
        <f ca="1"/>
        <v>2539.857489</v>
      </c>
      <c r="AG83" s="35">
        <f ca="1"/>
        <v>2539.857489</v>
      </c>
      <c r="AH83" s="35">
        <f ca="1"/>
        <v>2539.857489</v>
      </c>
      <c r="AI83" s="35">
        <f ca="1"/>
        <v>2539.857489</v>
      </c>
      <c r="AJ83" s="35">
        <f ca="1"/>
        <v>2539.857489</v>
      </c>
      <c r="AK83" s="36">
        <f ca="1"/>
        <v>2539.857489</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62767.886060871868</v>
      </c>
      <c r="F87" s="28">
        <f ca="1"/>
        <v>63044.330628354699</v>
      </c>
      <c r="G87" s="28">
        <f ca="1"/>
        <v>63289.022770850846</v>
      </c>
      <c r="H87" s="28">
        <f ca="1"/>
        <v>63555.763169821854</v>
      </c>
      <c r="I87" s="28">
        <f ca="1"/>
        <v>63789.969652481428</v>
      </c>
      <c r="J87" s="28">
        <f ca="1"/>
        <v>64045.703153745271</v>
      </c>
      <c r="K87" s="28">
        <f ca="1"/>
        <v>64268.101152894182</v>
      </c>
      <c r="L87" s="28">
        <f ca="1"/>
        <v>64511.302498355028</v>
      </c>
      <c r="M87" s="28">
        <f ca="1"/>
        <v>64776.556837523574</v>
      </c>
      <c r="N87" s="28">
        <f ca="1"/>
        <v>65009.253192002478</v>
      </c>
      <c r="O87" s="28">
        <f ca="1"/>
        <v>65263.436211960645</v>
      </c>
      <c r="P87" s="28">
        <f ca="1"/>
        <v>65540.642387868589</v>
      </c>
      <c r="Q87" s="28">
        <f ca="1"/>
        <v>65786.307196625799</v>
      </c>
      <c r="R87" s="28">
        <f ca="1"/>
        <v>66054.300809230888</v>
      </c>
      <c r="S87" s="28">
        <f ca="1"/>
        <v>66290.049740521572</v>
      </c>
      <c r="T87" s="28">
        <f ca="1"/>
        <v>66547.575418230699</v>
      </c>
      <c r="U87" s="28">
        <f ca="1"/>
        <v>66828.529516477618</v>
      </c>
      <c r="V87" s="28">
        <f ca="1"/>
        <v>67078.220040019325</v>
      </c>
      <c r="W87" s="28">
        <f ca="1"/>
        <v>67350.760908136013</v>
      </c>
      <c r="X87" s="28">
        <f ca="1"/>
        <v>67591.569333733263</v>
      </c>
      <c r="Y87" s="28">
        <f ca="1"/>
        <v>67854.596180459906</v>
      </c>
      <c r="Z87" s="28">
        <f ca="1"/>
        <v>68141.571796795048</v>
      </c>
      <c r="AA87" s="28">
        <f ca="1"/>
        <v>68397.738829498339</v>
      </c>
      <c r="AB87" s="28">
        <f ca="1"/>
        <v>68677.326726791929</v>
      </c>
      <c r="AC87" s="28">
        <f ca="1"/>
        <v>68925.711949170873</v>
      </c>
      <c r="AD87" s="28">
        <f ca="1"/>
        <v>69196.908920256828</v>
      </c>
      <c r="AE87" s="28">
        <f ca="1"/>
        <v>69492.726624567193</v>
      </c>
      <c r="AF87" s="28">
        <f ca="1"/>
        <v>69758.486324402533</v>
      </c>
      <c r="AG87" s="28">
        <f ca="1"/>
        <v>70048.5816682804</v>
      </c>
      <c r="AH87" s="28">
        <f ca="1"/>
        <v>70308.231461644769</v>
      </c>
      <c r="AI87" s="28">
        <f ca="1"/>
        <v>70591.738935703717</v>
      </c>
      <c r="AJ87" s="28">
        <f ca="1"/>
        <v>70844.480047011544</v>
      </c>
      <c r="AK87" s="29">
        <f ca="1"/>
        <v>71120.587547717674</v>
      </c>
      <c r="AL87" s="3"/>
    </row>
    <row r="88" spans="2:38" hidden="1">
      <c r="B88" s="3"/>
      <c r="C88" s="12"/>
      <c r="D88" s="16"/>
      <c r="E88" s="141">
        <f t="array" aca="1" ref="E88:AK88" ca="1">tlccEupol2</f>
        <v>65391.041469831398</v>
      </c>
      <c r="F88" s="28">
        <f ca="1"/>
        <v>65679.039032133369</v>
      </c>
      <c r="G88" s="28">
        <f ca="1"/>
        <v>65933.957192381582</v>
      </c>
      <c r="H88" s="28">
        <f ca="1"/>
        <v>66211.845035758641</v>
      </c>
      <c r="I88" s="28">
        <f ca="1"/>
        <v>66455.839326170855</v>
      </c>
      <c r="J88" s="28">
        <f ca="1"/>
        <v>66722.260278601127</v>
      </c>
      <c r="K88" s="28">
        <f ca="1"/>
        <v>66953.952592900954</v>
      </c>
      <c r="L88" s="28">
        <f ca="1"/>
        <v>67207.317653676248</v>
      </c>
      <c r="M88" s="28">
        <f ca="1"/>
        <v>67483.657332788614</v>
      </c>
      <c r="N88" s="28">
        <f ca="1"/>
        <v>67726.078384707595</v>
      </c>
      <c r="O88" s="28">
        <f ca="1"/>
        <v>67990.88405910763</v>
      </c>
      <c r="P88" s="28">
        <f ca="1"/>
        <v>68279.675058487628</v>
      </c>
      <c r="Q88" s="28">
        <f ca="1"/>
        <v>68535.606534044171</v>
      </c>
      <c r="R88" s="28">
        <f ca="1"/>
        <v>68814.799964559163</v>
      </c>
      <c r="S88" s="28">
        <f ca="1"/>
        <v>69060.401164630632</v>
      </c>
      <c r="T88" s="28">
        <f ca="1"/>
        <v>69328.689190999503</v>
      </c>
      <c r="U88" s="28">
        <f ca="1"/>
        <v>69621.384743495306</v>
      </c>
      <c r="V88" s="28">
        <f ca="1"/>
        <v>69881.510173937655</v>
      </c>
      <c r="W88" s="28">
        <f ca="1"/>
        <v>70165.440895962704</v>
      </c>
      <c r="X88" s="28">
        <f ca="1"/>
        <v>70416.313033495622</v>
      </c>
      <c r="Y88" s="28">
        <f ca="1"/>
        <v>70690.332130224459</v>
      </c>
      <c r="Z88" s="28">
        <f ca="1"/>
        <v>70989.300848247047</v>
      </c>
      <c r="AA88" s="28">
        <f ca="1"/>
        <v>71256.173449985741</v>
      </c>
      <c r="AB88" s="28">
        <f ca="1"/>
        <v>71547.445706130427</v>
      </c>
      <c r="AC88" s="28">
        <f ca="1"/>
        <v>71806.211285097394</v>
      </c>
      <c r="AD88" s="28">
        <f ca="1"/>
        <v>72088.741946805152</v>
      </c>
      <c r="AE88" s="28">
        <f ca="1"/>
        <v>72396.922275696765</v>
      </c>
      <c r="AF88" s="28">
        <f ca="1"/>
        <v>72673.788435186216</v>
      </c>
      <c r="AG88" s="28">
        <f ca="1"/>
        <v>72976.007258412516</v>
      </c>
      <c r="AH88" s="28">
        <f ca="1"/>
        <v>73246.50817012167</v>
      </c>
      <c r="AI88" s="28">
        <f ca="1"/>
        <v>73541.863807480884</v>
      </c>
      <c r="AJ88" s="28">
        <f ca="1"/>
        <v>73805.167313905113</v>
      </c>
      <c r="AK88" s="29">
        <f ca="1"/>
        <v>74092.813722950857</v>
      </c>
      <c r="AL88" s="3"/>
    </row>
    <row r="89" spans="2:38" hidden="1">
      <c r="B89" s="3"/>
      <c r="C89" s="12"/>
      <c r="D89" s="16"/>
      <c r="E89" s="141">
        <f t="array" aca="1" ref="E89:AK89" ca="1">tlccEupol3</f>
        <v>64744.403215205923</v>
      </c>
      <c r="F89" s="28">
        <f ca="1"/>
        <v>65029.552830192231</v>
      </c>
      <c r="G89" s="28">
        <f ca="1"/>
        <v>65281.950158373707</v>
      </c>
      <c r="H89" s="28">
        <f ca="1"/>
        <v>65557.09002731902</v>
      </c>
      <c r="I89" s="28">
        <f ca="1"/>
        <v>65798.671509515509</v>
      </c>
      <c r="J89" s="28">
        <f ca="1"/>
        <v>66062.457881186652</v>
      </c>
      <c r="K89" s="28">
        <f ca="1"/>
        <v>66291.859038924958</v>
      </c>
      <c r="L89" s="28">
        <f ca="1"/>
        <v>66542.718625907524</v>
      </c>
      <c r="M89" s="28">
        <f ca="1"/>
        <v>66816.32564005896</v>
      </c>
      <c r="N89" s="28">
        <f ca="1"/>
        <v>67056.349441186772</v>
      </c>
      <c r="O89" s="28">
        <f ca="1"/>
        <v>67318.536507972341</v>
      </c>
      <c r="P89" s="28">
        <f ca="1"/>
        <v>67604.471713904306</v>
      </c>
      <c r="Q89" s="28">
        <f ca="1"/>
        <v>67857.872336932123</v>
      </c>
      <c r="R89" s="28">
        <f ca="1"/>
        <v>68134.304882338765</v>
      </c>
      <c r="S89" s="28">
        <f ca="1"/>
        <v>68377.477383802965</v>
      </c>
      <c r="T89" s="28">
        <f ca="1"/>
        <v>68643.112366311325</v>
      </c>
      <c r="U89" s="28">
        <f ca="1"/>
        <v>68932.913514054642</v>
      </c>
      <c r="V89" s="28">
        <f ca="1"/>
        <v>69190.466618830586</v>
      </c>
      <c r="W89" s="28">
        <f ca="1"/>
        <v>69471.589609667935</v>
      </c>
      <c r="X89" s="28">
        <f ca="1"/>
        <v>69719.980925401702</v>
      </c>
      <c r="Y89" s="28">
        <f ca="1"/>
        <v>69991.29030492068</v>
      </c>
      <c r="Z89" s="28">
        <f ca="1"/>
        <v>70287.30258417633</v>
      </c>
      <c r="AA89" s="28">
        <f ca="1"/>
        <v>70551.536138890908</v>
      </c>
      <c r="AB89" s="28">
        <f ca="1"/>
        <v>70839.928064961379</v>
      </c>
      <c r="AC89" s="28">
        <f ca="1"/>
        <v>71096.134765547118</v>
      </c>
      <c r="AD89" s="28">
        <f ca="1"/>
        <v>71375.871540969238</v>
      </c>
      <c r="AE89" s="28">
        <f ca="1"/>
        <v>71681.004339411636</v>
      </c>
      <c r="AF89" s="28">
        <f ca="1"/>
        <v>71955.132627686427</v>
      </c>
      <c r="AG89" s="28">
        <f ca="1"/>
        <v>72254.362872539117</v>
      </c>
      <c r="AH89" s="28">
        <f ca="1"/>
        <v>72522.188857630041</v>
      </c>
      <c r="AI89" s="28">
        <f ca="1"/>
        <v>72814.623785217045</v>
      </c>
      <c r="AJ89" s="28">
        <f ca="1"/>
        <v>73075.323538649958</v>
      </c>
      <c r="AK89" s="29">
        <f ca="1"/>
        <v>73360.12547286076</v>
      </c>
      <c r="AL89" s="3"/>
    </row>
    <row r="90" spans="2:38" hidden="1">
      <c r="B90" s="3"/>
      <c r="C90" s="12"/>
      <c r="D90" s="16"/>
      <c r="E90" s="141">
        <f t="array" aca="1" ref="E90:AK90" ca="1">tlccEupol4</f>
        <v>95325.593069134775</v>
      </c>
      <c r="F90" s="28">
        <f ca="1"/>
        <v>95745.42945362741</v>
      </c>
      <c r="G90" s="28">
        <f ca="1"/>
        <v>96117.043428012039</v>
      </c>
      <c r="H90" s="28">
        <f ca="1"/>
        <v>96522.142091088695</v>
      </c>
      <c r="I90" s="28">
        <f ca="1"/>
        <v>96877.831493126345</v>
      </c>
      <c r="J90" s="28">
        <f ca="1"/>
        <v>97266.213979864595</v>
      </c>
      <c r="K90" s="28">
        <f ca="1"/>
        <v>97603.969837146462</v>
      </c>
      <c r="L90" s="28">
        <f ca="1"/>
        <v>97973.319737966522</v>
      </c>
      <c r="M90" s="28">
        <f ca="1"/>
        <v>98376.161521914488</v>
      </c>
      <c r="N90" s="28">
        <f ca="1"/>
        <v>98729.557492175663</v>
      </c>
      <c r="O90" s="28">
        <f ca="1"/>
        <v>99115.585262843611</v>
      </c>
      <c r="P90" s="28">
        <f ca="1"/>
        <v>99536.578302106078</v>
      </c>
      <c r="Q90" s="28">
        <f ca="1"/>
        <v>99909.669464811304</v>
      </c>
      <c r="R90" s="28">
        <f ca="1"/>
        <v>100316.6713835241</v>
      </c>
      <c r="S90" s="28">
        <f ca="1"/>
        <v>100674.70330240871</v>
      </c>
      <c r="T90" s="28">
        <f ca="1"/>
        <v>101065.80756764307</v>
      </c>
      <c r="U90" s="28">
        <f ca="1"/>
        <v>101492.49257683093</v>
      </c>
      <c r="V90" s="28">
        <f ca="1"/>
        <v>101871.69759286843</v>
      </c>
      <c r="W90" s="28">
        <f ca="1"/>
        <v>102285.60542885338</v>
      </c>
      <c r="X90" s="28">
        <f ca="1"/>
        <v>102651.32120210469</v>
      </c>
      <c r="Y90" s="28">
        <f ca="1"/>
        <v>103050.78009312109</v>
      </c>
      <c r="Z90" s="28">
        <f ca="1"/>
        <v>103486.60998226225</v>
      </c>
      <c r="AA90" s="28">
        <f ca="1"/>
        <v>103875.65087322866</v>
      </c>
      <c r="AB90" s="28">
        <f ca="1"/>
        <v>104300.26103293062</v>
      </c>
      <c r="AC90" s="28">
        <f ca="1"/>
        <v>104677.48368799849</v>
      </c>
      <c r="AD90" s="28">
        <f ca="1"/>
        <v>105089.35054746624</v>
      </c>
      <c r="AE90" s="28">
        <f ca="1"/>
        <v>105538.60891625041</v>
      </c>
      <c r="AF90" s="28">
        <f ca="1"/>
        <v>105942.21819147935</v>
      </c>
      <c r="AG90" s="28">
        <f ca="1"/>
        <v>106382.78601106355</v>
      </c>
      <c r="AH90" s="28">
        <f ca="1"/>
        <v>106777.11617089619</v>
      </c>
      <c r="AI90" s="28">
        <f ca="1"/>
        <v>107207.67899211333</v>
      </c>
      <c r="AJ90" s="28">
        <f ca="1"/>
        <v>107591.51693601036</v>
      </c>
      <c r="AK90" s="29">
        <f ca="1"/>
        <v>108010.84141716498</v>
      </c>
      <c r="AL90" s="3"/>
    </row>
    <row r="91" spans="2:38" hidden="1">
      <c r="B91" s="3"/>
      <c r="C91" s="12"/>
      <c r="D91" s="16"/>
      <c r="E91" s="141">
        <f t="array" aca="1" ref="E91:AK91" ca="1">tlccEupol5</f>
        <v>74428.252800356553</v>
      </c>
      <c r="F91" s="28">
        <f ca="1"/>
        <v>74756.052371843514</v>
      </c>
      <c r="G91" s="28">
        <f ca="1"/>
        <v>75046.200882218734</v>
      </c>
      <c r="H91" s="28">
        <f ca="1"/>
        <v>75362.493545435558</v>
      </c>
      <c r="I91" s="28">
        <f ca="1"/>
        <v>75640.208478864442</v>
      </c>
      <c r="J91" s="28">
        <f ca="1"/>
        <v>75943.449497099908</v>
      </c>
      <c r="K91" s="28">
        <f ca="1"/>
        <v>76207.162289448752</v>
      </c>
      <c r="L91" s="28">
        <f ca="1"/>
        <v>76495.543057980482</v>
      </c>
      <c r="M91" s="28">
        <f ca="1"/>
        <v>76810.07359662067</v>
      </c>
      <c r="N91" s="28">
        <f ca="1"/>
        <v>77085.997865921076</v>
      </c>
      <c r="O91" s="28">
        <f ca="1"/>
        <v>77387.400370518051</v>
      </c>
      <c r="P91" s="28">
        <f ca="1"/>
        <v>77716.103034142638</v>
      </c>
      <c r="Q91" s="28">
        <f ca="1"/>
        <v>78007.404902626833</v>
      </c>
      <c r="R91" s="28">
        <f ca="1"/>
        <v>78325.183588506246</v>
      </c>
      <c r="S91" s="28">
        <f ca="1"/>
        <v>78604.727510672179</v>
      </c>
      <c r="T91" s="28">
        <f ca="1"/>
        <v>78910.093637301441</v>
      </c>
      <c r="U91" s="28">
        <f ca="1"/>
        <v>79243.240473397498</v>
      </c>
      <c r="V91" s="28">
        <f ca="1"/>
        <v>79539.315912197431</v>
      </c>
      <c r="W91" s="28">
        <f ca="1"/>
        <v>79862.486595545692</v>
      </c>
      <c r="X91" s="28">
        <f ca="1"/>
        <v>80148.029912384925</v>
      </c>
      <c r="Y91" s="28">
        <f ca="1"/>
        <v>80459.919158144563</v>
      </c>
      <c r="Z91" s="28">
        <f ca="1"/>
        <v>80800.206127494108</v>
      </c>
      <c r="AA91" s="28">
        <f ca="1"/>
        <v>81103.961214142444</v>
      </c>
      <c r="AB91" s="28">
        <f ca="1"/>
        <v>81435.488050644562</v>
      </c>
      <c r="AC91" s="28">
        <f ca="1"/>
        <v>81730.015702972451</v>
      </c>
      <c r="AD91" s="28">
        <f ca="1"/>
        <v>82051.592834040726</v>
      </c>
      <c r="AE91" s="28">
        <f ca="1"/>
        <v>82402.364482744684</v>
      </c>
      <c r="AF91" s="28">
        <f ca="1"/>
        <v>82717.49426271391</v>
      </c>
      <c r="AG91" s="28">
        <f ca="1"/>
        <v>83061.480510225985</v>
      </c>
      <c r="AH91" s="28">
        <f ca="1"/>
        <v>83369.365348682171</v>
      </c>
      <c r="AI91" s="28">
        <f ca="1"/>
        <v>83705.539900260788</v>
      </c>
      <c r="AJ91" s="28">
        <f ca="1"/>
        <v>84005.232633376203</v>
      </c>
      <c r="AK91" s="29">
        <f ca="1"/>
        <v>84332.632521317282</v>
      </c>
      <c r="AL91" s="3"/>
    </row>
    <row r="92" spans="2:38" hidden="1">
      <c r="B92" s="3"/>
      <c r="C92" s="4"/>
      <c r="D92" s="5"/>
      <c r="E92" s="147">
        <f t="array" aca="1" ref="E92:AK92" ca="1">tlccEupol6</f>
        <v>83299.834734948628</v>
      </c>
      <c r="F92" s="35">
        <f ca="1"/>
        <v>83666.706844714456</v>
      </c>
      <c r="G92" s="35">
        <f ca="1"/>
        <v>83991.440021344082</v>
      </c>
      <c r="H92" s="35">
        <f ca="1"/>
        <v>84345.433640467556</v>
      </c>
      <c r="I92" s="35">
        <f ca="1"/>
        <v>84656.251202181767</v>
      </c>
      <c r="J92" s="35">
        <f ca="1"/>
        <v>84995.637466852422</v>
      </c>
      <c r="K92" s="35">
        <f ca="1"/>
        <v>85290.783882274452</v>
      </c>
      <c r="L92" s="35">
        <f ca="1"/>
        <v>85613.538608545758</v>
      </c>
      <c r="M92" s="35">
        <f ca="1"/>
        <v>85965.560064135963</v>
      </c>
      <c r="N92" s="35">
        <f ca="1"/>
        <v>86274.373520952358</v>
      </c>
      <c r="O92" s="35">
        <f ca="1"/>
        <v>86611.702127724493</v>
      </c>
      <c r="P92" s="35">
        <f ca="1"/>
        <v>86979.584974985642</v>
      </c>
      <c r="Q92" s="35">
        <f ca="1"/>
        <v>87305.608985891871</v>
      </c>
      <c r="R92" s="35">
        <f ca="1"/>
        <v>87661.265756272463</v>
      </c>
      <c r="S92" s="35">
        <f ca="1"/>
        <v>87974.130315649367</v>
      </c>
      <c r="T92" s="35">
        <f ca="1"/>
        <v>88315.894994045113</v>
      </c>
      <c r="U92" s="35">
        <f ca="1"/>
        <v>88688.751743265238</v>
      </c>
      <c r="V92" s="35">
        <f ca="1"/>
        <v>89020.118317021348</v>
      </c>
      <c r="W92" s="35">
        <f ca="1"/>
        <v>89381.809791713124</v>
      </c>
      <c r="X92" s="35">
        <f ca="1"/>
        <v>89701.388852183256</v>
      </c>
      <c r="Y92" s="35">
        <f ca="1"/>
        <v>90050.454182214206</v>
      </c>
      <c r="Z92" s="35">
        <f ca="1"/>
        <v>90431.302143072782</v>
      </c>
      <c r="AA92" s="35">
        <f ca="1"/>
        <v>90771.26375127527</v>
      </c>
      <c r="AB92" s="35">
        <f ca="1"/>
        <v>91142.307402735212</v>
      </c>
      <c r="AC92" s="35">
        <f ca="1"/>
        <v>91471.941699399293</v>
      </c>
      <c r="AD92" s="35">
        <f ca="1"/>
        <v>91831.849676070124</v>
      </c>
      <c r="AE92" s="35">
        <f ca="1"/>
        <v>92224.432052618999</v>
      </c>
      <c r="AF92" s="35">
        <f ca="1"/>
        <v>92577.124176964746</v>
      </c>
      <c r="AG92" s="35">
        <f ca="1"/>
        <v>92962.112356731814</v>
      </c>
      <c r="AH92" s="35">
        <f ca="1"/>
        <v>93306.695968409316</v>
      </c>
      <c r="AI92" s="35">
        <f ca="1"/>
        <v>93682.941325984881</v>
      </c>
      <c r="AJ92" s="35">
        <f ca="1"/>
        <v>94018.356362620863</v>
      </c>
      <c r="AK92" s="36">
        <f ca="1"/>
        <v>94384.781147989474</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13361.948781748271</v>
      </c>
      <c r="F96" s="28">
        <f ca="1"/>
        <v>13262.070533821085</v>
      </c>
      <c r="G96" s="28">
        <f ca="1"/>
        <v>13161.439445901449</v>
      </c>
      <c r="H96" s="28">
        <f ca="1"/>
        <v>13073.057637272599</v>
      </c>
      <c r="I96" s="28">
        <f ca="1"/>
        <v>12989.25223817868</v>
      </c>
      <c r="J96" s="28">
        <f ca="1"/>
        <v>12916.267689388036</v>
      </c>
      <c r="K96" s="28">
        <f ca="1"/>
        <v>12859.667608858179</v>
      </c>
      <c r="L96" s="28">
        <f ca="1"/>
        <v>12812.748859100773</v>
      </c>
      <c r="M96" s="28">
        <f ca="1"/>
        <v>12765.627411455349</v>
      </c>
      <c r="N96" s="28">
        <f ca="1"/>
        <v>12727.941976088647</v>
      </c>
      <c r="O96" s="28">
        <f ca="1"/>
        <v>12701.988653268118</v>
      </c>
      <c r="P96" s="28">
        <f ca="1"/>
        <v>12682.999910606928</v>
      </c>
      <c r="Q96" s="28">
        <f ca="1"/>
        <v>12667.023667185065</v>
      </c>
      <c r="R96" s="28">
        <f ca="1"/>
        <v>12655.239559110543</v>
      </c>
      <c r="S96" s="28">
        <f ca="1"/>
        <v>12646.2571286164</v>
      </c>
      <c r="T96" s="28">
        <f ca="1"/>
        <v>12645.131985857106</v>
      </c>
      <c r="U96" s="28">
        <f ca="1"/>
        <v>12647.438302820898</v>
      </c>
      <c r="V96" s="28">
        <f ca="1"/>
        <v>12650.82664901176</v>
      </c>
      <c r="W96" s="28">
        <f ca="1"/>
        <v>12655.672453514429</v>
      </c>
      <c r="X96" s="28">
        <f ca="1"/>
        <v>12660.251686715708</v>
      </c>
      <c r="Y96" s="28">
        <f ca="1"/>
        <v>12664.045826258172</v>
      </c>
      <c r="Z96" s="28">
        <f ca="1"/>
        <v>12666.588436195296</v>
      </c>
      <c r="AA96" s="28">
        <f ca="1"/>
        <v>12668.264185396776</v>
      </c>
      <c r="AB96" s="28">
        <f ca="1"/>
        <v>12668.264185396776</v>
      </c>
      <c r="AC96" s="28">
        <f ca="1"/>
        <v>12668.264185396776</v>
      </c>
      <c r="AD96" s="28">
        <f ca="1"/>
        <v>12668.264185396776</v>
      </c>
      <c r="AE96" s="28">
        <f ca="1"/>
        <v>12668.264185396776</v>
      </c>
      <c r="AF96" s="28">
        <f ca="1"/>
        <v>12668.264185396776</v>
      </c>
      <c r="AG96" s="28">
        <f ca="1"/>
        <v>12668.264185396776</v>
      </c>
      <c r="AH96" s="28">
        <f ca="1"/>
        <v>12668.264185396776</v>
      </c>
      <c r="AI96" s="28">
        <f ca="1"/>
        <v>12668.264185396776</v>
      </c>
      <c r="AJ96" s="28">
        <f ca="1"/>
        <v>12668.264185396776</v>
      </c>
      <c r="AK96" s="29">
        <f ca="1"/>
        <v>12668.264185396776</v>
      </c>
      <c r="AL96" s="3"/>
    </row>
    <row r="97" spans="2:38" hidden="1">
      <c r="B97" s="3"/>
      <c r="C97" s="12"/>
      <c r="D97" s="16"/>
      <c r="E97" s="141">
        <f t="array" aca="1" ref="E97:AK97" ca="1">tlccFupolElec2</f>
        <v>13920.362811927522</v>
      </c>
      <c r="F97" s="28">
        <f ca="1"/>
        <v>13816.310516047955</v>
      </c>
      <c r="G97" s="28">
        <f ca="1"/>
        <v>13711.473917967762</v>
      </c>
      <c r="H97" s="28">
        <f ca="1"/>
        <v>13619.398513235747</v>
      </c>
      <c r="I97" s="28">
        <f ca="1"/>
        <v>13532.090772423328</v>
      </c>
      <c r="J97" s="28">
        <f ca="1"/>
        <v>13456.056099979562</v>
      </c>
      <c r="K97" s="28">
        <f ca="1"/>
        <v>13397.090625030569</v>
      </c>
      <c r="L97" s="28">
        <f ca="1"/>
        <v>13348.211076846901</v>
      </c>
      <c r="M97" s="28">
        <f ca="1"/>
        <v>13299.12035975453</v>
      </c>
      <c r="N97" s="28">
        <f ca="1"/>
        <v>13259.859998739938</v>
      </c>
      <c r="O97" s="28">
        <f ca="1"/>
        <v>13232.8220512266</v>
      </c>
      <c r="P97" s="28">
        <f ca="1"/>
        <v>13213.039743158844</v>
      </c>
      <c r="Q97" s="28">
        <f ca="1"/>
        <v>13196.395830774765</v>
      </c>
      <c r="R97" s="28">
        <f ca="1"/>
        <v>13184.119248781246</v>
      </c>
      <c r="S97" s="28">
        <f ca="1"/>
        <v>13174.761430288318</v>
      </c>
      <c r="T97" s="28">
        <f ca="1"/>
        <v>13173.589266281377</v>
      </c>
      <c r="U97" s="28">
        <f ca="1"/>
        <v>13175.991967370841</v>
      </c>
      <c r="V97" s="28">
        <f ca="1"/>
        <v>13179.521917161821</v>
      </c>
      <c r="W97" s="28">
        <f ca="1"/>
        <v>13184.570234431603</v>
      </c>
      <c r="X97" s="28">
        <f ca="1"/>
        <v>13189.340840022405</v>
      </c>
      <c r="Y97" s="28">
        <f ca="1"/>
        <v>13193.293541821587</v>
      </c>
      <c r="Z97" s="28">
        <f ca="1"/>
        <v>13195.942410889422</v>
      </c>
      <c r="AA97" s="28">
        <f ca="1"/>
        <v>13197.688191931351</v>
      </c>
      <c r="AB97" s="28">
        <f ca="1"/>
        <v>13197.688191931351</v>
      </c>
      <c r="AC97" s="28">
        <f ca="1"/>
        <v>13197.688191931351</v>
      </c>
      <c r="AD97" s="28">
        <f ca="1"/>
        <v>13197.688191931351</v>
      </c>
      <c r="AE97" s="28">
        <f ca="1"/>
        <v>13197.688191931351</v>
      </c>
      <c r="AF97" s="28">
        <f ca="1"/>
        <v>13197.688191931351</v>
      </c>
      <c r="AG97" s="28">
        <f ca="1"/>
        <v>13197.688191931351</v>
      </c>
      <c r="AH97" s="28">
        <f ca="1"/>
        <v>13197.688191931351</v>
      </c>
      <c r="AI97" s="28">
        <f ca="1"/>
        <v>13197.688191931351</v>
      </c>
      <c r="AJ97" s="28">
        <f ca="1"/>
        <v>13197.688191931351</v>
      </c>
      <c r="AK97" s="29">
        <f ca="1"/>
        <v>13197.688191931351</v>
      </c>
      <c r="AL97" s="3"/>
    </row>
    <row r="98" spans="2:38" hidden="1">
      <c r="B98" s="3"/>
      <c r="C98" s="12"/>
      <c r="D98" s="16"/>
      <c r="E98" s="141">
        <f t="array" aca="1" ref="E98:AK98" ca="1">tlccFupolElec3</f>
        <v>13782.707272114607</v>
      </c>
      <c r="F98" s="28">
        <f ca="1"/>
        <v>13679.683927502443</v>
      </c>
      <c r="G98" s="28">
        <f ca="1"/>
        <v>13575.884036489144</v>
      </c>
      <c r="H98" s="28">
        <f ca="1"/>
        <v>13484.719146067215</v>
      </c>
      <c r="I98" s="28">
        <f ca="1"/>
        <v>13398.274773139223</v>
      </c>
      <c r="J98" s="28">
        <f ca="1"/>
        <v>13322.991991577983</v>
      </c>
      <c r="K98" s="28">
        <f ca="1"/>
        <v>13264.609613807852</v>
      </c>
      <c r="L98" s="28">
        <f ca="1"/>
        <v>13216.213425194765</v>
      </c>
      <c r="M98" s="28">
        <f ca="1"/>
        <v>13167.608155877891</v>
      </c>
      <c r="N98" s="28">
        <f ca="1"/>
        <v>13128.736032315275</v>
      </c>
      <c r="O98" s="28">
        <f ca="1"/>
        <v>13101.965457377684</v>
      </c>
      <c r="P98" s="28">
        <f ca="1"/>
        <v>13082.378772393367</v>
      </c>
      <c r="Q98" s="28">
        <f ca="1"/>
        <v>13065.899448157943</v>
      </c>
      <c r="R98" s="28">
        <f ca="1"/>
        <v>13053.74426670148</v>
      </c>
      <c r="S98" s="28">
        <f ca="1"/>
        <v>13044.478985707288</v>
      </c>
      <c r="T98" s="28">
        <f ca="1"/>
        <v>13043.318412983654</v>
      </c>
      <c r="U98" s="28">
        <f ca="1"/>
        <v>13045.697354267435</v>
      </c>
      <c r="V98" s="28">
        <f ca="1"/>
        <v>13049.192397127428</v>
      </c>
      <c r="W98" s="28">
        <f ca="1"/>
        <v>13054.190792649599</v>
      </c>
      <c r="X98" s="28">
        <f ca="1"/>
        <v>13058.914222725172</v>
      </c>
      <c r="Y98" s="28">
        <f ca="1"/>
        <v>13062.82783708768</v>
      </c>
      <c r="Z98" s="28">
        <f ca="1"/>
        <v>13065.450512046471</v>
      </c>
      <c r="AA98" s="28">
        <f ca="1"/>
        <v>13067.179029426887</v>
      </c>
      <c r="AB98" s="28">
        <f ca="1"/>
        <v>13067.179029426887</v>
      </c>
      <c r="AC98" s="28">
        <f ca="1"/>
        <v>13067.179029426887</v>
      </c>
      <c r="AD98" s="28">
        <f ca="1"/>
        <v>13067.179029426887</v>
      </c>
      <c r="AE98" s="28">
        <f ca="1"/>
        <v>13067.179029426887</v>
      </c>
      <c r="AF98" s="28">
        <f ca="1"/>
        <v>13067.179029426887</v>
      </c>
      <c r="AG98" s="28">
        <f ca="1"/>
        <v>13067.179029426887</v>
      </c>
      <c r="AH98" s="28">
        <f ca="1"/>
        <v>13067.179029426887</v>
      </c>
      <c r="AI98" s="28">
        <f ca="1"/>
        <v>13067.179029426887</v>
      </c>
      <c r="AJ98" s="28">
        <f ca="1"/>
        <v>13067.179029426887</v>
      </c>
      <c r="AK98" s="29">
        <f ca="1"/>
        <v>13067.179029426887</v>
      </c>
      <c r="AL98" s="3"/>
    </row>
    <row r="99" spans="2:38" hidden="1">
      <c r="B99" s="3"/>
      <c r="C99" s="12"/>
      <c r="D99" s="16"/>
      <c r="E99" s="141">
        <f t="array" aca="1" ref="E99:AK99" ca="1">tlccFupolElec4</f>
        <v>20292.792574602518</v>
      </c>
      <c r="F99" s="28">
        <f ca="1"/>
        <v>20141.10747230145</v>
      </c>
      <c r="G99" s="28">
        <f ca="1"/>
        <v>19988.279031849772</v>
      </c>
      <c r="H99" s="28">
        <f ca="1"/>
        <v>19854.053572736855</v>
      </c>
      <c r="I99" s="28">
        <f ca="1"/>
        <v>19726.778307113353</v>
      </c>
      <c r="J99" s="28">
        <f ca="1"/>
        <v>19615.936667622675</v>
      </c>
      <c r="K99" s="28">
        <f ca="1"/>
        <v>19529.978121256507</v>
      </c>
      <c r="L99" s="28">
        <f ca="1"/>
        <v>19458.722612629859</v>
      </c>
      <c r="M99" s="28">
        <f ca="1"/>
        <v>19387.15926670612</v>
      </c>
      <c r="N99" s="28">
        <f ca="1"/>
        <v>19329.92639330784</v>
      </c>
      <c r="O99" s="28">
        <f ca="1"/>
        <v>19290.511080076129</v>
      </c>
      <c r="P99" s="28">
        <f ca="1"/>
        <v>19261.672875232656</v>
      </c>
      <c r="Q99" s="28">
        <f ca="1"/>
        <v>19237.409753200336</v>
      </c>
      <c r="R99" s="28">
        <f ca="1"/>
        <v>19219.513227421128</v>
      </c>
      <c r="S99" s="28">
        <f ca="1"/>
        <v>19205.871609584483</v>
      </c>
      <c r="T99" s="28">
        <f ca="1"/>
        <v>19204.162855195125</v>
      </c>
      <c r="U99" s="28">
        <f ca="1"/>
        <v>19207.665458933694</v>
      </c>
      <c r="V99" s="28">
        <f ca="1"/>
        <v>19212.811340537137</v>
      </c>
      <c r="W99" s="28">
        <f ca="1"/>
        <v>19220.170664183403</v>
      </c>
      <c r="X99" s="28">
        <f ca="1"/>
        <v>19227.1251459751</v>
      </c>
      <c r="Y99" s="28">
        <f ca="1"/>
        <v>19232.887305970769</v>
      </c>
      <c r="Z99" s="28">
        <f ca="1"/>
        <v>19236.748767864909</v>
      </c>
      <c r="AA99" s="28">
        <f ca="1"/>
        <v>19239.293728297562</v>
      </c>
      <c r="AB99" s="28">
        <f ca="1"/>
        <v>19239.293728297562</v>
      </c>
      <c r="AC99" s="28">
        <f ca="1"/>
        <v>19239.293728297562</v>
      </c>
      <c r="AD99" s="28">
        <f ca="1"/>
        <v>19239.293728297562</v>
      </c>
      <c r="AE99" s="28">
        <f ca="1"/>
        <v>19239.293728297562</v>
      </c>
      <c r="AF99" s="28">
        <f ca="1"/>
        <v>19239.293728297562</v>
      </c>
      <c r="AG99" s="28">
        <f ca="1"/>
        <v>19239.293728297562</v>
      </c>
      <c r="AH99" s="28">
        <f ca="1"/>
        <v>19239.293728297562</v>
      </c>
      <c r="AI99" s="28">
        <f ca="1"/>
        <v>19239.293728297562</v>
      </c>
      <c r="AJ99" s="28">
        <f ca="1"/>
        <v>19239.293728297562</v>
      </c>
      <c r="AK99" s="29">
        <f ca="1"/>
        <v>19239.293728297562</v>
      </c>
      <c r="AL99" s="3"/>
    </row>
    <row r="100" spans="2:38" hidden="1">
      <c r="B100" s="3"/>
      <c r="C100" s="12"/>
      <c r="D100" s="16"/>
      <c r="E100" s="141">
        <f t="array" aca="1" ref="E100:AK100" ca="1">tlccFupolElec5</f>
        <v>15844.193014066319</v>
      </c>
      <c r="F100" s="28">
        <f ca="1"/>
        <v>15725.760421342518</v>
      </c>
      <c r="G100" s="28">
        <f ca="1"/>
        <v>15606.43513382218</v>
      </c>
      <c r="H100" s="28">
        <f ca="1"/>
        <v>15501.634669629369</v>
      </c>
      <c r="I100" s="28">
        <f ca="1"/>
        <v>15402.260772860762</v>
      </c>
      <c r="J100" s="28">
        <f ca="1"/>
        <v>15315.717911712913</v>
      </c>
      <c r="K100" s="28">
        <f ca="1"/>
        <v>15248.603255372384</v>
      </c>
      <c r="L100" s="28">
        <f ca="1"/>
        <v>15192.968427004351</v>
      </c>
      <c r="M100" s="28">
        <f ca="1"/>
        <v>15137.093245637383</v>
      </c>
      <c r="N100" s="28">
        <f ca="1"/>
        <v>15092.407001024265</v>
      </c>
      <c r="O100" s="28">
        <f ca="1"/>
        <v>15061.632339121164</v>
      </c>
      <c r="P100" s="28">
        <f ca="1"/>
        <v>15039.1160648312</v>
      </c>
      <c r="Q100" s="28">
        <f ca="1"/>
        <v>15020.171920638593</v>
      </c>
      <c r="R100" s="28">
        <f ca="1"/>
        <v>15006.198683210352</v>
      </c>
      <c r="S100" s="28">
        <f ca="1"/>
        <v>14995.547589959715</v>
      </c>
      <c r="T100" s="28">
        <f ca="1"/>
        <v>14994.213429850452</v>
      </c>
      <c r="U100" s="28">
        <f ca="1"/>
        <v>14996.948190454821</v>
      </c>
      <c r="V100" s="28">
        <f ca="1"/>
        <v>15000.96598845146</v>
      </c>
      <c r="W100" s="28">
        <f ca="1"/>
        <v>15006.711996245893</v>
      </c>
      <c r="X100" s="28">
        <f ca="1"/>
        <v>15012.141911887882</v>
      </c>
      <c r="Y100" s="28">
        <f ca="1"/>
        <v>15016.640887315421</v>
      </c>
      <c r="Z100" s="28">
        <f ca="1"/>
        <v>15019.655836950482</v>
      </c>
      <c r="AA100" s="28">
        <f ca="1"/>
        <v>15021.642889454957</v>
      </c>
      <c r="AB100" s="28">
        <f ca="1"/>
        <v>15021.642889454957</v>
      </c>
      <c r="AC100" s="28">
        <f ca="1"/>
        <v>15021.642889454957</v>
      </c>
      <c r="AD100" s="28">
        <f ca="1"/>
        <v>15021.642889454957</v>
      </c>
      <c r="AE100" s="28">
        <f ca="1"/>
        <v>15021.642889454957</v>
      </c>
      <c r="AF100" s="28">
        <f ca="1"/>
        <v>15021.642889454957</v>
      </c>
      <c r="AG100" s="28">
        <f ca="1"/>
        <v>15021.642889454957</v>
      </c>
      <c r="AH100" s="28">
        <f ca="1"/>
        <v>15021.642889454957</v>
      </c>
      <c r="AI100" s="28">
        <f ca="1"/>
        <v>15021.642889454957</v>
      </c>
      <c r="AJ100" s="28">
        <f ca="1"/>
        <v>15021.642889454957</v>
      </c>
      <c r="AK100" s="29">
        <f ca="1"/>
        <v>15021.642889454957</v>
      </c>
      <c r="AL100" s="3"/>
    </row>
    <row r="101" spans="2:38" hidden="1">
      <c r="B101" s="3"/>
      <c r="C101" s="4"/>
      <c r="D101" s="5"/>
      <c r="E101" s="147">
        <f t="array" aca="1" ref="E101:AK101" ca="1">tlccFupolElec6</f>
        <v>17732.76423834082</v>
      </c>
      <c r="F101" s="35">
        <f ca="1"/>
        <v>17600.21490351246</v>
      </c>
      <c r="G101" s="35">
        <f ca="1"/>
        <v>17466.666467855819</v>
      </c>
      <c r="H101" s="35">
        <f ca="1"/>
        <v>17349.374162596101</v>
      </c>
      <c r="I101" s="35">
        <f ca="1"/>
        <v>17238.155252218112</v>
      </c>
      <c r="J101" s="35">
        <f ca="1"/>
        <v>17141.296791084511</v>
      </c>
      <c r="K101" s="35">
        <f ca="1"/>
        <v>17066.182307388983</v>
      </c>
      <c r="L101" s="35">
        <f ca="1"/>
        <v>17003.916006163352</v>
      </c>
      <c r="M101" s="35">
        <f ca="1"/>
        <v>16941.380702719664</v>
      </c>
      <c r="N101" s="35">
        <f ca="1"/>
        <v>16891.368017332803</v>
      </c>
      <c r="O101" s="35">
        <f ca="1"/>
        <v>16856.925125633756</v>
      </c>
      <c r="P101" s="35">
        <f ca="1"/>
        <v>16831.724991858853</v>
      </c>
      <c r="Q101" s="35">
        <f ca="1"/>
        <v>16810.522773332079</v>
      </c>
      <c r="R101" s="35">
        <f ca="1"/>
        <v>16794.883975903813</v>
      </c>
      <c r="S101" s="35">
        <f ca="1"/>
        <v>16782.963310375031</v>
      </c>
      <c r="T101" s="35">
        <f ca="1"/>
        <v>16781.470123145315</v>
      </c>
      <c r="U101" s="35">
        <f ca="1"/>
        <v>16784.530857447309</v>
      </c>
      <c r="V101" s="35">
        <f ca="1"/>
        <v>16789.027562616731</v>
      </c>
      <c r="W101" s="35">
        <f ca="1"/>
        <v>16795.458474020037</v>
      </c>
      <c r="X101" s="35">
        <f ca="1"/>
        <v>16801.535616215162</v>
      </c>
      <c r="Y101" s="35">
        <f ca="1"/>
        <v>16806.570853446858</v>
      </c>
      <c r="Z101" s="35">
        <f ca="1"/>
        <v>16809.94517431139</v>
      </c>
      <c r="AA101" s="35">
        <f ca="1"/>
        <v>16812.16907637821</v>
      </c>
      <c r="AB101" s="35">
        <f ca="1"/>
        <v>16812.16907637821</v>
      </c>
      <c r="AC101" s="35">
        <f ca="1"/>
        <v>16812.16907637821</v>
      </c>
      <c r="AD101" s="35">
        <f ca="1"/>
        <v>16812.16907637821</v>
      </c>
      <c r="AE101" s="35">
        <f ca="1"/>
        <v>16812.16907637821</v>
      </c>
      <c r="AF101" s="35">
        <f ca="1"/>
        <v>16812.16907637821</v>
      </c>
      <c r="AG101" s="35">
        <f ca="1"/>
        <v>16812.16907637821</v>
      </c>
      <c r="AH101" s="35">
        <f ca="1"/>
        <v>16812.16907637821</v>
      </c>
      <c r="AI101" s="35">
        <f ca="1"/>
        <v>16812.16907637821</v>
      </c>
      <c r="AJ101" s="35">
        <f ca="1"/>
        <v>16812.16907637821</v>
      </c>
      <c r="AK101" s="36">
        <f ca="1"/>
        <v>16812.16907637821</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INDEX(_doName,3,1)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INDEX(_doName,3,1)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(1+INDEX(vadCnH,1,1))*INDEX(mspCnH,1,1)*tPIdxAll + INDEX(instCnH,1,1) + SUMPRODUCT(dFactor,tpSurvCnH,INDEX(mrCnH,1,1)*allOnes)</f>
        <v>848.46801600000003</v>
      </c>
      <c r="F106" s="28">
        <f ca="1"/>
        <v>848.46801600000003</v>
      </c>
      <c r="G106" s="28">
        <f ca="1"/>
        <v>848.46801600000003</v>
      </c>
      <c r="H106" s="28">
        <f ca="1"/>
        <v>848.46801600000003</v>
      </c>
      <c r="I106" s="28">
        <f ca="1"/>
        <v>848.46801600000003</v>
      </c>
      <c r="J106" s="28">
        <f ca="1"/>
        <v>848.46801600000003</v>
      </c>
      <c r="K106" s="28">
        <f ca="1"/>
        <v>848.46801600000003</v>
      </c>
      <c r="L106" s="28">
        <f ca="1"/>
        <v>848.46801600000003</v>
      </c>
      <c r="M106" s="28">
        <f ca="1"/>
        <v>848.46801600000003</v>
      </c>
      <c r="N106" s="28">
        <f ca="1"/>
        <v>848.46801600000003</v>
      </c>
      <c r="O106" s="28">
        <f ca="1"/>
        <v>848.46801600000003</v>
      </c>
      <c r="P106" s="28">
        <f ca="1"/>
        <v>848.46801600000003</v>
      </c>
      <c r="Q106" s="28">
        <f ca="1"/>
        <v>848.46801600000003</v>
      </c>
      <c r="R106" s="28">
        <f ca="1"/>
        <v>848.46801600000003</v>
      </c>
      <c r="S106" s="28">
        <f ca="1"/>
        <v>848.46801600000003</v>
      </c>
      <c r="T106" s="28">
        <f ca="1"/>
        <v>848.46801600000003</v>
      </c>
      <c r="U106" s="28">
        <f ca="1"/>
        <v>848.46801600000003</v>
      </c>
      <c r="V106" s="28">
        <f ca="1"/>
        <v>848.46801600000003</v>
      </c>
      <c r="W106" s="28">
        <f ca="1"/>
        <v>848.46801600000003</v>
      </c>
      <c r="X106" s="28">
        <f ca="1"/>
        <v>848.46801600000003</v>
      </c>
      <c r="Y106" s="28">
        <f ca="1"/>
        <v>848.46801600000003</v>
      </c>
      <c r="Z106" s="28">
        <f ca="1"/>
        <v>848.46801600000003</v>
      </c>
      <c r="AA106" s="28">
        <f ca="1"/>
        <v>848.46801600000003</v>
      </c>
      <c r="AB106" s="28">
        <f ca="1"/>
        <v>848.46801600000003</v>
      </c>
      <c r="AC106" s="28">
        <f ca="1"/>
        <v>848.46801600000003</v>
      </c>
      <c r="AD106" s="28">
        <f ca="1"/>
        <v>848.46801600000003</v>
      </c>
      <c r="AE106" s="28">
        <f ca="1"/>
        <v>848.46801600000003</v>
      </c>
      <c r="AF106" s="28">
        <f ca="1"/>
        <v>848.46801600000003</v>
      </c>
      <c r="AG106" s="28">
        <f ca="1"/>
        <v>848.46801600000003</v>
      </c>
      <c r="AH106" s="28">
        <f ca="1"/>
        <v>848.46801600000003</v>
      </c>
      <c r="AI106" s="28">
        <f ca="1"/>
        <v>848.46801600000003</v>
      </c>
      <c r="AJ106" s="28">
        <f ca="1"/>
        <v>848.46801600000003</v>
      </c>
      <c r="AK106" s="29">
        <f ca="1"/>
        <v>848.46801600000003</v>
      </c>
      <c r="AL106" s="3"/>
    </row>
    <row r="107" spans="2:38">
      <c r="B107" s="3"/>
      <c r="C107" s="23" t="s">
        <v>47</v>
      </c>
      <c r="D107" s="16" t="str">
        <f>_yearDol &amp; "$"</f>
        <v>2013$</v>
      </c>
      <c r="E107" s="141">
        <f t="array" aca="1" ref="E107:AK107" ca="1">(tlccEFubcElec0)</f>
        <v>16977.687149321468</v>
      </c>
      <c r="F107" s="28">
        <f ca="1"/>
        <v>17052.460885946941</v>
      </c>
      <c r="G107" s="28">
        <f ca="1"/>
        <v>17118.646110651938</v>
      </c>
      <c r="H107" s="28">
        <f ca="1"/>
        <v>17190.795028323359</v>
      </c>
      <c r="I107" s="28">
        <f ca="1"/>
        <v>17254.144053445547</v>
      </c>
      <c r="J107" s="28">
        <f ca="1"/>
        <v>17323.315785210551</v>
      </c>
      <c r="K107" s="28">
        <f ca="1"/>
        <v>17383.470808569527</v>
      </c>
      <c r="L107" s="28">
        <f ca="1"/>
        <v>17449.252797045676</v>
      </c>
      <c r="M107" s="28">
        <f ca="1"/>
        <v>17520.999759832281</v>
      </c>
      <c r="N107" s="28">
        <f ca="1"/>
        <v>17583.94031996679</v>
      </c>
      <c r="O107" s="28">
        <f ca="1"/>
        <v>17652.692671883411</v>
      </c>
      <c r="P107" s="28">
        <f ca="1"/>
        <v>17727.672411138294</v>
      </c>
      <c r="Q107" s="28">
        <f ca="1"/>
        <v>17794.120726167312</v>
      </c>
      <c r="R107" s="28">
        <f ca="1"/>
        <v>17866.608617641199</v>
      </c>
      <c r="S107" s="28">
        <f ca="1"/>
        <v>17930.374849904616</v>
      </c>
      <c r="T107" s="28">
        <f ca="1"/>
        <v>18000.031336102376</v>
      </c>
      <c r="U107" s="28">
        <f ca="1"/>
        <v>18076.024827084835</v>
      </c>
      <c r="V107" s="28">
        <f ca="1"/>
        <v>18143.56203215702</v>
      </c>
      <c r="W107" s="28">
        <f ca="1"/>
        <v>18217.27988191546</v>
      </c>
      <c r="X107" s="28">
        <f ca="1"/>
        <v>18282.414624684174</v>
      </c>
      <c r="Y107" s="28">
        <f ca="1"/>
        <v>18353.559087176774</v>
      </c>
      <c r="Z107" s="28">
        <f ca="1"/>
        <v>18431.181300371874</v>
      </c>
      <c r="AA107" s="28">
        <f ca="1"/>
        <v>18500.470295304534</v>
      </c>
      <c r="AB107" s="28">
        <f ca="1"/>
        <v>18576.094251261617</v>
      </c>
      <c r="AC107" s="28">
        <f ca="1"/>
        <v>18643.278393706281</v>
      </c>
      <c r="AD107" s="28">
        <f ca="1"/>
        <v>18716.632741285812</v>
      </c>
      <c r="AE107" s="28">
        <f ca="1"/>
        <v>18796.646594741724</v>
      </c>
      <c r="AF107" s="28">
        <f ca="1"/>
        <v>18868.530249327872</v>
      </c>
      <c r="AG107" s="28">
        <f ca="1"/>
        <v>18946.996297826885</v>
      </c>
      <c r="AH107" s="28">
        <f ca="1"/>
        <v>19017.227322587722</v>
      </c>
      <c r="AI107" s="28">
        <f ca="1"/>
        <v>19093.911459988809</v>
      </c>
      <c r="AJ107" s="28">
        <f ca="1"/>
        <v>19162.273799185554</v>
      </c>
      <c r="AK107" s="29">
        <f ca="1"/>
        <v>19236.956364757749</v>
      </c>
      <c r="AL107" s="3"/>
    </row>
    <row r="108" spans="2:38">
      <c r="B108" s="3"/>
      <c r="C108" s="27" t="str">
        <f>INDEX(_fuel,1)</f>
        <v>Electricity</v>
      </c>
      <c r="D108" s="16" t="str">
        <f>_yearDol &amp; "$"</f>
        <v>2013$</v>
      </c>
      <c r="E108" s="141">
        <f ca="1">SUMPRODUCT(dFactor,tpSurvCnH,INDEX(tEIdxElec,1)*INDEX(elecCnH,1,1)*allOnes,OFFSET(tPrcElec,0,0,1,_maxLT))</f>
        <v>16977.687149321468</v>
      </c>
      <c r="F108" s="28">
        <f ca="1">SUMPRODUCT(dFactor,tpSurvCnH,INDEX(tEIdxElec,2)*INDEX(elecCnH,1,1)*allOnes,OFFSET(tPrcElec,0,1,1,_maxLT))</f>
        <v>17052.460885946941</v>
      </c>
      <c r="G108" s="28">
        <f ca="1">SUMPRODUCT(dFactor,tpSurvCnH,INDEX(tEIdxElec,3)*INDEX(elecCnH,1,1)*allOnes,OFFSET(tPrcElec,0,2,1,_maxLT))</f>
        <v>17118.646110651938</v>
      </c>
      <c r="H108" s="28">
        <f ca="1">SUMPRODUCT(dFactor,tpSurvCnH,INDEX(tEIdxElec,4)*INDEX(elecCnH,1,1)*allOnes,OFFSET(tPrcElec,0,3,1,_maxLT))</f>
        <v>17190.795028323359</v>
      </c>
      <c r="I108" s="28">
        <f ca="1">SUMPRODUCT(dFactor,tpSurvCnH,INDEX(tEIdxElec,5)*INDEX(elecCnH,1,1)*allOnes,OFFSET(tPrcElec,0,4,1,_maxLT))</f>
        <v>17254.144053445547</v>
      </c>
      <c r="J108" s="28">
        <f ca="1">SUMPRODUCT(dFactor,tpSurvCnH,INDEX(tEIdxElec,6)*INDEX(elecCnH,1,1)*allOnes,OFFSET(tPrcElec,0,5,1,_maxLT))</f>
        <v>17323.315785210551</v>
      </c>
      <c r="K108" s="28">
        <f ca="1">SUMPRODUCT(dFactor,tpSurvCnH,INDEX(tEIdxElec,7)*INDEX(elecCnH,1,1)*allOnes,OFFSET(tPrcElec,0,6,1,_maxLT))</f>
        <v>17383.470808569527</v>
      </c>
      <c r="L108" s="28">
        <f ca="1">SUMPRODUCT(dFactor,tpSurvCnH,INDEX(tEIdxElec,8)*INDEX(elecCnH,1,1)*allOnes,OFFSET(tPrcElec,0,7,1,_maxLT))</f>
        <v>17449.252797045676</v>
      </c>
      <c r="M108" s="28">
        <f ca="1">SUMPRODUCT(dFactor,tpSurvCnH,INDEX(tEIdxElec,9)*INDEX(elecCnH,1,1)*allOnes,OFFSET(tPrcElec,0,8,1,_maxLT))</f>
        <v>17520.999759832281</v>
      </c>
      <c r="N108" s="28">
        <f ca="1">SUMPRODUCT(dFactor,tpSurvCnH,INDEX(tEIdxElec,10)*INDEX(elecCnH,1,1)*allOnes,OFFSET(tPrcElec,0,9,1,_maxLT))</f>
        <v>17583.94031996679</v>
      </c>
      <c r="O108" s="28">
        <f ca="1">SUMPRODUCT(dFactor,tpSurvCnH,INDEX(tEIdxElec,11)*INDEX(elecCnH,1,1)*allOnes,OFFSET(tPrcElec,0,10,1,_maxLT))</f>
        <v>17652.692671883411</v>
      </c>
      <c r="P108" s="28">
        <f ca="1">SUMPRODUCT(dFactor,tpSurvCnH,INDEX(tEIdxElec,12)*INDEX(elecCnH,1,1)*allOnes,OFFSET(tPrcElec,0,11,1,_maxLT))</f>
        <v>17727.672411138294</v>
      </c>
      <c r="Q108" s="28">
        <f ca="1">SUMPRODUCT(dFactor,tpSurvCnH,INDEX(tEIdxElec,13)*INDEX(elecCnH,1,1)*allOnes,OFFSET(tPrcElec,0,12,1,_maxLT))</f>
        <v>17794.120726167312</v>
      </c>
      <c r="R108" s="28">
        <f ca="1">SUMPRODUCT(dFactor,tpSurvCnH,INDEX(tEIdxElec,14)*INDEX(elecCnH,1,1)*allOnes,OFFSET(tPrcElec,0,13,1,_maxLT))</f>
        <v>17866.608617641199</v>
      </c>
      <c r="S108" s="28">
        <f ca="1">SUMPRODUCT(dFactor,tpSurvCnH,INDEX(tEIdxElec,15)*INDEX(elecCnH,1,1)*allOnes,OFFSET(tPrcElec,0,14,1,_maxLT))</f>
        <v>17930.374849904616</v>
      </c>
      <c r="T108" s="28">
        <f ca="1">SUMPRODUCT(dFactor,tpSurvCnH,INDEX(tEIdxElec,16)*INDEX(elecCnH,1,1)*allOnes,OFFSET(tPrcElec,0,15,1,_maxLT))</f>
        <v>18000.031336102376</v>
      </c>
      <c r="U108" s="28">
        <f ca="1">SUMPRODUCT(dFactor,tpSurvCnH,INDEX(tEIdxElec,17)*INDEX(elecCnH,1,1)*allOnes,OFFSET(tPrcElec,0,16,1,_maxLT))</f>
        <v>18076.024827084835</v>
      </c>
      <c r="V108" s="28">
        <f ca="1">SUMPRODUCT(dFactor,tpSurvCnH,INDEX(tEIdxElec,18)*INDEX(elecCnH,1,1)*allOnes,OFFSET(tPrcElec,0,17,1,_maxLT))</f>
        <v>18143.56203215702</v>
      </c>
      <c r="W108" s="28">
        <f ca="1">SUMPRODUCT(dFactor,tpSurvCnH,INDEX(tEIdxElec,19)*INDEX(elecCnH,1,1)*allOnes,OFFSET(tPrcElec,0,18,1,_maxLT))</f>
        <v>18217.27988191546</v>
      </c>
      <c r="X108" s="28">
        <f ca="1">SUMPRODUCT(dFactor,tpSurvCnH,INDEX(tEIdxElec,20)*INDEX(elecCnH,1,1)*allOnes,OFFSET(tPrcElec,0,19,1,_maxLT))</f>
        <v>18282.414624684174</v>
      </c>
      <c r="Y108" s="28">
        <f ca="1">SUMPRODUCT(dFactor,tpSurvCnH,INDEX(tEIdxElec,21)*INDEX(elecCnH,1,1)*allOnes,OFFSET(tPrcElec,0,20,1,_maxLT))</f>
        <v>18353.559087176774</v>
      </c>
      <c r="Z108" s="28">
        <f ca="1">SUMPRODUCT(dFactor,tpSurvCnH,INDEX(tEIdxElec,22)*INDEX(elecCnH,1,1)*allOnes,OFFSET(tPrcElec,0,21,1,_maxLT))</f>
        <v>18431.181300371874</v>
      </c>
      <c r="AA108" s="28">
        <f ca="1">SUMPRODUCT(dFactor,tpSurvCnH,INDEX(tEIdxElec,23)*INDEX(elecCnH,1,1)*allOnes,OFFSET(tPrcElec,0,22,1,_maxLT))</f>
        <v>18500.470295304534</v>
      </c>
      <c r="AB108" s="28">
        <f ca="1">SUMPRODUCT(dFactor,tpSurvCnH,INDEX(tEIdxElec,24)*INDEX(elecCnH,1,1)*allOnes,OFFSET(tPrcElec,0,23,1,_maxLT))</f>
        <v>18576.094251261617</v>
      </c>
      <c r="AC108" s="28">
        <f ca="1">SUMPRODUCT(dFactor,tpSurvCnH,INDEX(tEIdxElec,25)*INDEX(elecCnH,1,1)*allOnes,OFFSET(tPrcElec,0,24,1,_maxLT))</f>
        <v>18643.278393706281</v>
      </c>
      <c r="AD108" s="28">
        <f ca="1">SUMPRODUCT(dFactor,tpSurvCnH,INDEX(tEIdxElec,26)*INDEX(elecCnH,1,1)*allOnes,OFFSET(tPrcElec,0,25,1,_maxLT))</f>
        <v>18716.632741285812</v>
      </c>
      <c r="AE108" s="28">
        <f ca="1">SUMPRODUCT(dFactor,tpSurvCnH,INDEX(tEIdxElec,27)*INDEX(elecCnH,1,1)*allOnes,OFFSET(tPrcElec,0,26,1,_maxLT))</f>
        <v>18796.646594741724</v>
      </c>
      <c r="AF108" s="28">
        <f ca="1">SUMPRODUCT(dFactor,tpSurvCnH,INDEX(tEIdxElec,28)*INDEX(elecCnH,1,1)*allOnes,OFFSET(tPrcElec,0,27,1,_maxLT))</f>
        <v>18868.530249327872</v>
      </c>
      <c r="AG108" s="28">
        <f ca="1">SUMPRODUCT(dFactor,tpSurvCnH,INDEX(tEIdxElec,29)*INDEX(elecCnH,1,1)*allOnes,OFFSET(tPrcElec,0,28,1,_maxLT))</f>
        <v>18946.996297826885</v>
      </c>
      <c r="AH108" s="28">
        <f ca="1">SUMPRODUCT(dFactor,tpSurvCnH,INDEX(tEIdxElec,30)*INDEX(elecCnH,1,1)*allOnes,OFFSET(tPrcElec,0,29,1,_maxLT))</f>
        <v>19017.227322587722</v>
      </c>
      <c r="AI108" s="28">
        <f ca="1">SUMPRODUCT(dFactor,tpSurvCnH,INDEX(tEIdxElec,31)*INDEX(elecCnH,1,1)*allOnes,OFFSET(tPrcElec,0,30,1,_maxLT))</f>
        <v>19093.911459988809</v>
      </c>
      <c r="AJ108" s="28">
        <f ca="1">SUMPRODUCT(dFactor,tpSurvCnH,INDEX(tEIdxElec,32)*INDEX(elecCnH,1,1)*allOnes,OFFSET(tPrcElec,0,31,1,_maxLT))</f>
        <v>19162.273799185554</v>
      </c>
      <c r="AK108" s="29">
        <f ca="1">SUMPRODUCT(dFactor,tpSurvCnH,INDEX(tEIdxElec,33)*INDEX(elecCnH,1,1)*allOnes,OFFSET(tPrcElec,0,32,1,_maxLT))</f>
        <v>19236.956364757749</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ts2bElec*SUMPRODUCT(tpSurvCnH,INDEX(tEIdxElec,1)*INDEX(elecCnH,1,1)*convFactor)</f>
        <v>3614.1887254539188</v>
      </c>
      <c r="F110" s="22">
        <f ca="1">ts2bElec*SUMPRODUCT(tpSurvCnH,INDEX(tEIdxElec,2)*INDEX(elecCnH,1,1)*convFactor)</f>
        <v>3587.1732920412719</v>
      </c>
      <c r="G110" s="22">
        <f ca="1">ts2bElec*SUMPRODUCT(tpSurvCnH,INDEX(tEIdxElec,3)*INDEX(elecCnH,1,1)*convFactor)</f>
        <v>3559.9542277169048</v>
      </c>
      <c r="H110" s="22">
        <f ca="1">ts2bElec*SUMPRODUCT(tpSurvCnH,INDEX(tEIdxElec,4)*INDEX(elecCnH,1,1)*convFactor)</f>
        <v>3536.0483932088473</v>
      </c>
      <c r="I110" s="22">
        <f ca="1">ts2bElec*SUMPRODUCT(tpSurvCnH,INDEX(tEIdxElec,5)*INDEX(elecCnH,1,1)*convFactor)</f>
        <v>3513.3804026720818</v>
      </c>
      <c r="J110" s="22">
        <f ca="1">ts2bElec*SUMPRODUCT(tpSurvCnH,INDEX(tEIdxElec,6)*INDEX(elecCnH,1,1)*convFactor)</f>
        <v>3493.6392752602032</v>
      </c>
      <c r="K110" s="22">
        <f ca="1">ts2bElec*SUMPRODUCT(tpSurvCnH,INDEX(tEIdxElec,7)*INDEX(elecCnH,1,1)*convFactor)</f>
        <v>3478.3298786854893</v>
      </c>
      <c r="L110" s="22">
        <f ca="1">ts2bElec*SUMPRODUCT(tpSurvCnH,INDEX(tEIdxElec,8)*INDEX(elecCnH,1,1)*convFactor)</f>
        <v>3465.6391238296383</v>
      </c>
      <c r="M110" s="22">
        <f ca="1">ts2bElec*SUMPRODUCT(tpSurvCnH,INDEX(tEIdxElec,9)*INDEX(elecCnH,1,1)*convFactor)</f>
        <v>3452.8935425084633</v>
      </c>
      <c r="N110" s="22">
        <f ca="1">ts2bElec*SUMPRODUCT(tpSurvCnH,INDEX(tEIdxElec,10)*INDEX(elecCnH,1,1)*convFactor)</f>
        <v>3442.7002482636744</v>
      </c>
      <c r="O110" s="22">
        <f ca="1">ts2bElec*SUMPRODUCT(tpSurvCnH,INDEX(tEIdxElec,11)*INDEX(elecCnH,1,1)*convFactor)</f>
        <v>3435.6802986846014</v>
      </c>
      <c r="P110" s="22">
        <f ca="1">ts2bElec*SUMPRODUCT(tpSurvCnH,INDEX(tEIdxElec,12)*INDEX(elecCnH,1,1)*convFactor)</f>
        <v>3430.5441541926871</v>
      </c>
      <c r="Q110" s="22">
        <f ca="1">ts2bElec*SUMPRODUCT(tpSurvCnH,INDEX(tEIdxElec,13)*INDEX(elecCnH,1,1)*convFactor)</f>
        <v>3426.2228415014374</v>
      </c>
      <c r="R110" s="22">
        <f ca="1">ts2bElec*SUMPRODUCT(tpSurvCnH,INDEX(tEIdxElec,14)*INDEX(elecCnH,1,1)*convFactor)</f>
        <v>3423.035432895243</v>
      </c>
      <c r="S110" s="22">
        <f ca="1">ts2bElec*SUMPRODUCT(tpSurvCnH,INDEX(tEIdxElec,15)*INDEX(elecCnH,1,1)*convFactor)</f>
        <v>3420.6058322771469</v>
      </c>
      <c r="T110" s="22">
        <f ca="1">ts2bElec*SUMPRODUCT(tpSurvCnH,INDEX(tEIdxElec,16)*INDEX(elecCnH,1,1)*convFactor)</f>
        <v>3420.3014995528124</v>
      </c>
      <c r="U110" s="22">
        <f ca="1">ts2bElec*SUMPRODUCT(tpSurvCnH,INDEX(tEIdxElec,17)*INDEX(elecCnH,1,1)*convFactor)</f>
        <v>3420.9253205914956</v>
      </c>
      <c r="V110" s="22">
        <f ca="1">ts2bElec*SUMPRODUCT(tpSurvCnH,INDEX(tEIdxElec,18)*INDEX(elecCnH,1,1)*convFactor)</f>
        <v>3421.8418128487988</v>
      </c>
      <c r="W110" s="22">
        <f ca="1">ts2bElec*SUMPRODUCT(tpSurvCnH,INDEX(tEIdxElec,19)*INDEX(elecCnH,1,1)*convFactor)</f>
        <v>3423.1525237552214</v>
      </c>
      <c r="X110" s="22">
        <f ca="1">ts2bElec*SUMPRODUCT(tpSurvCnH,INDEX(tEIdxElec,20)*INDEX(elecCnH,1,1)*convFactor)</f>
        <v>3424.3911314821039</v>
      </c>
      <c r="Y110" s="22">
        <f ca="1">ts2bElec*SUMPRODUCT(tpSurvCnH,INDEX(tEIdxElec,21)*INDEX(elecCnH,1,1)*convFactor)</f>
        <v>3425.4173842077475</v>
      </c>
      <c r="Z110" s="22">
        <f ca="1">ts2bElec*SUMPRODUCT(tpSurvCnH,INDEX(tEIdxElec,22)*INDEX(elecCnH,1,1)*convFactor)</f>
        <v>3426.1051186331724</v>
      </c>
      <c r="AA110" s="22">
        <f ca="1">ts2bElec*SUMPRODUCT(tpSurvCnH,INDEX(tEIdxElec,23)*INDEX(elecCnH,1,1)*convFactor)</f>
        <v>3426.558381399675</v>
      </c>
      <c r="AB110" s="22">
        <f ca="1">ts2bElec*SUMPRODUCT(tpSurvCnH,INDEX(tEIdxElec,24)*INDEX(elecCnH,1,1)*convFactor)</f>
        <v>3426.558381399675</v>
      </c>
      <c r="AC110" s="22">
        <f ca="1">ts2bElec*SUMPRODUCT(tpSurvCnH,INDEX(tEIdxElec,25)*INDEX(elecCnH,1,1)*convFactor)</f>
        <v>3426.558381399675</v>
      </c>
      <c r="AD110" s="22">
        <f ca="1">ts2bElec*SUMPRODUCT(tpSurvCnH,INDEX(tEIdxElec,26)*INDEX(elecCnH,1,1)*convFactor)</f>
        <v>3426.558381399675</v>
      </c>
      <c r="AE110" s="22">
        <f ca="1">ts2bElec*SUMPRODUCT(tpSurvCnH,INDEX(tEIdxElec,27)*INDEX(elecCnH,1,1)*convFactor)</f>
        <v>3426.558381399675</v>
      </c>
      <c r="AF110" s="22">
        <f ca="1">ts2bElec*SUMPRODUCT(tpSurvCnH,INDEX(tEIdxElec,28)*INDEX(elecCnH,1,1)*convFactor)</f>
        <v>3426.558381399675</v>
      </c>
      <c r="AG110" s="22">
        <f ca="1">ts2bElec*SUMPRODUCT(tpSurvCnH,INDEX(tEIdxElec,29)*INDEX(elecCnH,1,1)*convFactor)</f>
        <v>3426.558381399675</v>
      </c>
      <c r="AH110" s="22">
        <f ca="1">ts2bElec*SUMPRODUCT(tpSurvCnH,INDEX(tEIdxElec,30)*INDEX(elecCnH,1,1)*convFactor)</f>
        <v>3426.558381399675</v>
      </c>
      <c r="AI110" s="22">
        <f ca="1">ts2bElec*SUMPRODUCT(tpSurvCnH,INDEX(tEIdxElec,31)*INDEX(elecCnH,1,1)*convFactor)</f>
        <v>3426.558381399675</v>
      </c>
      <c r="AJ110" s="22">
        <f ca="1">ts2bElec*SUMPRODUCT(tpSurvCnH,INDEX(tEIdxElec,32)*INDEX(elecCnH,1,1)*convFactor)</f>
        <v>3426.558381399675</v>
      </c>
      <c r="AK110" s="25">
        <f ca="1">ts2bElec*SUMPRODUCT(tpSurvCnH,INDEX(tEIdxElec,33)*INDEX(elecCnH,1,1)*convFactor)</f>
        <v>3426.558381399675</v>
      </c>
      <c r="AL110" s="3"/>
    </row>
    <row r="111" spans="2:38">
      <c r="B111" s="3"/>
      <c r="C111" s="30" t="str">
        <f>"EL 1: " &amp; INDEX(_doName,3,2)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(1+INDEX(vadCnH,1,2))*INDEX(mspCnH,1,2)*tPIdxAll + INDEX(instCnH,1,2) + SUMPRODUCT(dFactor,tpSurvCnH,INDEX(mrCnH,1,2)*allOnes)</f>
        <v>2188.2816760000001</v>
      </c>
      <c r="F112" s="28">
        <f ca="1"/>
        <v>2188.2816760000001</v>
      </c>
      <c r="G112" s="28">
        <f ca="1"/>
        <v>2188.2816760000001</v>
      </c>
      <c r="H112" s="28">
        <f ca="1"/>
        <v>2188.2816760000001</v>
      </c>
      <c r="I112" s="28">
        <f ca="1"/>
        <v>2188.2816760000001</v>
      </c>
      <c r="J112" s="28">
        <f ca="1"/>
        <v>2188.2816760000001</v>
      </c>
      <c r="K112" s="28">
        <f ca="1"/>
        <v>2188.2816760000001</v>
      </c>
      <c r="L112" s="28">
        <f ca="1"/>
        <v>2188.2816760000001</v>
      </c>
      <c r="M112" s="28">
        <f ca="1"/>
        <v>2188.2816760000001</v>
      </c>
      <c r="N112" s="28">
        <f ca="1"/>
        <v>2188.2816760000001</v>
      </c>
      <c r="O112" s="28">
        <f ca="1"/>
        <v>2188.2816760000001</v>
      </c>
      <c r="P112" s="28">
        <f ca="1"/>
        <v>2188.2816760000001</v>
      </c>
      <c r="Q112" s="28">
        <f ca="1"/>
        <v>2188.2816760000001</v>
      </c>
      <c r="R112" s="28">
        <f ca="1"/>
        <v>2188.2816760000001</v>
      </c>
      <c r="S112" s="28">
        <f ca="1"/>
        <v>2188.2816760000001</v>
      </c>
      <c r="T112" s="28">
        <f ca="1"/>
        <v>2188.2816760000001</v>
      </c>
      <c r="U112" s="28">
        <f ca="1"/>
        <v>2188.2816760000001</v>
      </c>
      <c r="V112" s="28">
        <f ca="1"/>
        <v>2188.2816760000001</v>
      </c>
      <c r="W112" s="28">
        <f ca="1"/>
        <v>2188.2816760000001</v>
      </c>
      <c r="X112" s="28">
        <f ca="1"/>
        <v>2188.2816760000001</v>
      </c>
      <c r="Y112" s="28">
        <f ca="1"/>
        <v>2188.2816760000001</v>
      </c>
      <c r="Z112" s="28">
        <f ca="1"/>
        <v>2188.2816760000001</v>
      </c>
      <c r="AA112" s="28">
        <f ca="1"/>
        <v>2188.2816760000001</v>
      </c>
      <c r="AB112" s="28">
        <f ca="1"/>
        <v>2188.2816760000001</v>
      </c>
      <c r="AC112" s="28">
        <f ca="1"/>
        <v>2188.2816760000001</v>
      </c>
      <c r="AD112" s="28">
        <f ca="1"/>
        <v>2188.2816760000001</v>
      </c>
      <c r="AE112" s="28">
        <f ca="1"/>
        <v>2188.2816760000001</v>
      </c>
      <c r="AF112" s="28">
        <f ca="1"/>
        <v>2188.2816760000001</v>
      </c>
      <c r="AG112" s="28">
        <f ca="1"/>
        <v>2188.2816760000001</v>
      </c>
      <c r="AH112" s="28">
        <f ca="1"/>
        <v>2188.2816760000001</v>
      </c>
      <c r="AI112" s="28">
        <f ca="1"/>
        <v>2188.2816760000001</v>
      </c>
      <c r="AJ112" s="28">
        <f ca="1"/>
        <v>2188.2816760000001</v>
      </c>
      <c r="AK112" s="29">
        <f ca="1"/>
        <v>2188.2816760000001</v>
      </c>
      <c r="AL112" s="3"/>
    </row>
    <row r="113" spans="2:38">
      <c r="B113" s="3"/>
      <c r="C113" s="23" t="s">
        <v>47</v>
      </c>
      <c r="D113" s="16" t="str">
        <f>_yearDol &amp; "$"</f>
        <v>2013$</v>
      </c>
      <c r="E113" s="141">
        <f t="array" aca="1" ref="E113:AK113" ca="1">(tlccEFubcElec1)</f>
        <v>139010.43870687546</v>
      </c>
      <c r="F113" s="28">
        <f ca="1"/>
        <v>139622.67345007925</v>
      </c>
      <c r="G113" s="28">
        <f ca="1"/>
        <v>140164.58690632545</v>
      </c>
      <c r="H113" s="28">
        <f ca="1"/>
        <v>140755.33007466869</v>
      </c>
      <c r="I113" s="28">
        <f ca="1"/>
        <v>141274.02120712012</v>
      </c>
      <c r="J113" s="28">
        <f ca="1"/>
        <v>141840.3876794315</v>
      </c>
      <c r="K113" s="28">
        <f ca="1"/>
        <v>142332.92686418665</v>
      </c>
      <c r="L113" s="28">
        <f ca="1"/>
        <v>142871.53869020587</v>
      </c>
      <c r="M113" s="28">
        <f ca="1"/>
        <v>143458.99071975102</v>
      </c>
      <c r="N113" s="28">
        <f ca="1"/>
        <v>143974.33740978019</v>
      </c>
      <c r="O113" s="28">
        <f ca="1"/>
        <v>144537.27007063091</v>
      </c>
      <c r="P113" s="28">
        <f ca="1"/>
        <v>145151.19152861738</v>
      </c>
      <c r="Q113" s="28">
        <f ca="1"/>
        <v>145695.25912406054</v>
      </c>
      <c r="R113" s="28">
        <f ca="1"/>
        <v>146288.77775272282</v>
      </c>
      <c r="S113" s="28">
        <f ca="1"/>
        <v>146810.88490687509</v>
      </c>
      <c r="T113" s="28">
        <f ca="1"/>
        <v>147381.22046671706</v>
      </c>
      <c r="U113" s="28">
        <f ca="1"/>
        <v>148003.4423528568</v>
      </c>
      <c r="V113" s="28">
        <f ca="1"/>
        <v>148556.42559630747</v>
      </c>
      <c r="W113" s="28">
        <f ca="1"/>
        <v>149160.01491594326</v>
      </c>
      <c r="X113" s="28">
        <f ca="1"/>
        <v>149693.32720328262</v>
      </c>
      <c r="Y113" s="28">
        <f ca="1"/>
        <v>150275.84606204578</v>
      </c>
      <c r="Z113" s="28">
        <f ca="1"/>
        <v>150911.40365094156</v>
      </c>
      <c r="AA113" s="28">
        <f ca="1"/>
        <v>151478.73025429054</v>
      </c>
      <c r="AB113" s="28">
        <f ca="1"/>
        <v>152097.92644997285</v>
      </c>
      <c r="AC113" s="28">
        <f ca="1"/>
        <v>152648.01887618133</v>
      </c>
      <c r="AD113" s="28">
        <f ca="1"/>
        <v>153248.63190128902</v>
      </c>
      <c r="AE113" s="28">
        <f ca="1"/>
        <v>153903.77183723595</v>
      </c>
      <c r="AF113" s="28">
        <f ca="1"/>
        <v>154492.34307617965</v>
      </c>
      <c r="AG113" s="28">
        <f ca="1"/>
        <v>155134.80984621184</v>
      </c>
      <c r="AH113" s="28">
        <f ca="1"/>
        <v>155709.84963089938</v>
      </c>
      <c r="AI113" s="28">
        <f ca="1"/>
        <v>156337.72641342154</v>
      </c>
      <c r="AJ113" s="28">
        <f ca="1"/>
        <v>156897.46571590647</v>
      </c>
      <c r="AK113" s="29">
        <f ca="1"/>
        <v>157508.9539659041</v>
      </c>
      <c r="AL113" s="3"/>
    </row>
    <row r="114" spans="2:38">
      <c r="B114" s="3"/>
      <c r="C114" s="27" t="str">
        <f>INDEX(_fuel,1)</f>
        <v>Electricity</v>
      </c>
      <c r="D114" s="16" t="str">
        <f>_yearDol &amp; "$"</f>
        <v>2013$</v>
      </c>
      <c r="E114" s="141">
        <f ca="1">SUMPRODUCT(dFactor,tpSurvCnH,INDEX(tEIdxElec,1)*INDEX(elecCnH,1,2)*allOnes,OFFSET(tPrcElec,0,0,1,_maxLT))</f>
        <v>139010.43870687546</v>
      </c>
      <c r="F114" s="28">
        <f ca="1">SUMPRODUCT(dFactor,tpSurvCnH,INDEX(tEIdxElec,2)*INDEX(elecCnH,1,2)*allOnes,OFFSET(tPrcElec,0,1,1,_maxLT))</f>
        <v>139622.67345007925</v>
      </c>
      <c r="G114" s="28">
        <f ca="1">SUMPRODUCT(dFactor,tpSurvCnH,INDEX(tEIdxElec,3)*INDEX(elecCnH,1,2)*allOnes,OFFSET(tPrcElec,0,2,1,_maxLT))</f>
        <v>140164.58690632545</v>
      </c>
      <c r="H114" s="28">
        <f ca="1">SUMPRODUCT(dFactor,tpSurvCnH,INDEX(tEIdxElec,4)*INDEX(elecCnH,1,2)*allOnes,OFFSET(tPrcElec,0,3,1,_maxLT))</f>
        <v>140755.33007466869</v>
      </c>
      <c r="I114" s="28">
        <f ca="1">SUMPRODUCT(dFactor,tpSurvCnH,INDEX(tEIdxElec,5)*INDEX(elecCnH,1,2)*allOnes,OFFSET(tPrcElec,0,4,1,_maxLT))</f>
        <v>141274.02120712012</v>
      </c>
      <c r="J114" s="28">
        <f ca="1">SUMPRODUCT(dFactor,tpSurvCnH,INDEX(tEIdxElec,6)*INDEX(elecCnH,1,2)*allOnes,OFFSET(tPrcElec,0,5,1,_maxLT))</f>
        <v>141840.3876794315</v>
      </c>
      <c r="K114" s="28">
        <f ca="1">SUMPRODUCT(dFactor,tpSurvCnH,INDEX(tEIdxElec,7)*INDEX(elecCnH,1,2)*allOnes,OFFSET(tPrcElec,0,6,1,_maxLT))</f>
        <v>142332.92686418665</v>
      </c>
      <c r="L114" s="28">
        <f ca="1">SUMPRODUCT(dFactor,tpSurvCnH,INDEX(tEIdxElec,8)*INDEX(elecCnH,1,2)*allOnes,OFFSET(tPrcElec,0,7,1,_maxLT))</f>
        <v>142871.53869020587</v>
      </c>
      <c r="M114" s="28">
        <f ca="1">SUMPRODUCT(dFactor,tpSurvCnH,INDEX(tEIdxElec,9)*INDEX(elecCnH,1,2)*allOnes,OFFSET(tPrcElec,0,8,1,_maxLT))</f>
        <v>143458.99071975102</v>
      </c>
      <c r="N114" s="28">
        <f ca="1">SUMPRODUCT(dFactor,tpSurvCnH,INDEX(tEIdxElec,10)*INDEX(elecCnH,1,2)*allOnes,OFFSET(tPrcElec,0,9,1,_maxLT))</f>
        <v>143974.33740978019</v>
      </c>
      <c r="O114" s="28">
        <f ca="1">SUMPRODUCT(dFactor,tpSurvCnH,INDEX(tEIdxElec,11)*INDEX(elecCnH,1,2)*allOnes,OFFSET(tPrcElec,0,10,1,_maxLT))</f>
        <v>144537.27007063091</v>
      </c>
      <c r="P114" s="28">
        <f ca="1">SUMPRODUCT(dFactor,tpSurvCnH,INDEX(tEIdxElec,12)*INDEX(elecCnH,1,2)*allOnes,OFFSET(tPrcElec,0,11,1,_maxLT))</f>
        <v>145151.19152861738</v>
      </c>
      <c r="Q114" s="28">
        <f ca="1">SUMPRODUCT(dFactor,tpSurvCnH,INDEX(tEIdxElec,13)*INDEX(elecCnH,1,2)*allOnes,OFFSET(tPrcElec,0,12,1,_maxLT))</f>
        <v>145695.25912406054</v>
      </c>
      <c r="R114" s="28">
        <f ca="1">SUMPRODUCT(dFactor,tpSurvCnH,INDEX(tEIdxElec,14)*INDEX(elecCnH,1,2)*allOnes,OFFSET(tPrcElec,0,13,1,_maxLT))</f>
        <v>146288.77775272282</v>
      </c>
      <c r="S114" s="28">
        <f ca="1">SUMPRODUCT(dFactor,tpSurvCnH,INDEX(tEIdxElec,15)*INDEX(elecCnH,1,2)*allOnes,OFFSET(tPrcElec,0,14,1,_maxLT))</f>
        <v>146810.88490687509</v>
      </c>
      <c r="T114" s="28">
        <f ca="1">SUMPRODUCT(dFactor,tpSurvCnH,INDEX(tEIdxElec,16)*INDEX(elecCnH,1,2)*allOnes,OFFSET(tPrcElec,0,15,1,_maxLT))</f>
        <v>147381.22046671706</v>
      </c>
      <c r="U114" s="28">
        <f ca="1">SUMPRODUCT(dFactor,tpSurvCnH,INDEX(tEIdxElec,17)*INDEX(elecCnH,1,2)*allOnes,OFFSET(tPrcElec,0,16,1,_maxLT))</f>
        <v>148003.4423528568</v>
      </c>
      <c r="V114" s="28">
        <f ca="1">SUMPRODUCT(dFactor,tpSurvCnH,INDEX(tEIdxElec,18)*INDEX(elecCnH,1,2)*allOnes,OFFSET(tPrcElec,0,17,1,_maxLT))</f>
        <v>148556.42559630747</v>
      </c>
      <c r="W114" s="28">
        <f ca="1">SUMPRODUCT(dFactor,tpSurvCnH,INDEX(tEIdxElec,19)*INDEX(elecCnH,1,2)*allOnes,OFFSET(tPrcElec,0,18,1,_maxLT))</f>
        <v>149160.01491594326</v>
      </c>
      <c r="X114" s="28">
        <f ca="1">SUMPRODUCT(dFactor,tpSurvCnH,INDEX(tEIdxElec,20)*INDEX(elecCnH,1,2)*allOnes,OFFSET(tPrcElec,0,19,1,_maxLT))</f>
        <v>149693.32720328262</v>
      </c>
      <c r="Y114" s="28">
        <f ca="1">SUMPRODUCT(dFactor,tpSurvCnH,INDEX(tEIdxElec,21)*INDEX(elecCnH,1,2)*allOnes,OFFSET(tPrcElec,0,20,1,_maxLT))</f>
        <v>150275.84606204578</v>
      </c>
      <c r="Z114" s="28">
        <f ca="1">SUMPRODUCT(dFactor,tpSurvCnH,INDEX(tEIdxElec,22)*INDEX(elecCnH,1,2)*allOnes,OFFSET(tPrcElec,0,21,1,_maxLT))</f>
        <v>150911.40365094156</v>
      </c>
      <c r="AA114" s="28">
        <f ca="1">SUMPRODUCT(dFactor,tpSurvCnH,INDEX(tEIdxElec,23)*INDEX(elecCnH,1,2)*allOnes,OFFSET(tPrcElec,0,22,1,_maxLT))</f>
        <v>151478.73025429054</v>
      </c>
      <c r="AB114" s="28">
        <f ca="1">SUMPRODUCT(dFactor,tpSurvCnH,INDEX(tEIdxElec,24)*INDEX(elecCnH,1,2)*allOnes,OFFSET(tPrcElec,0,23,1,_maxLT))</f>
        <v>152097.92644997285</v>
      </c>
      <c r="AC114" s="28">
        <f ca="1">SUMPRODUCT(dFactor,tpSurvCnH,INDEX(tEIdxElec,25)*INDEX(elecCnH,1,2)*allOnes,OFFSET(tPrcElec,0,24,1,_maxLT))</f>
        <v>152648.01887618133</v>
      </c>
      <c r="AD114" s="28">
        <f ca="1">SUMPRODUCT(dFactor,tpSurvCnH,INDEX(tEIdxElec,26)*INDEX(elecCnH,1,2)*allOnes,OFFSET(tPrcElec,0,25,1,_maxLT))</f>
        <v>153248.63190128902</v>
      </c>
      <c r="AE114" s="28">
        <f ca="1">SUMPRODUCT(dFactor,tpSurvCnH,INDEX(tEIdxElec,27)*INDEX(elecCnH,1,2)*allOnes,OFFSET(tPrcElec,0,26,1,_maxLT))</f>
        <v>153903.77183723595</v>
      </c>
      <c r="AF114" s="28">
        <f ca="1">SUMPRODUCT(dFactor,tpSurvCnH,INDEX(tEIdxElec,28)*INDEX(elecCnH,1,2)*allOnes,OFFSET(tPrcElec,0,27,1,_maxLT))</f>
        <v>154492.34307617965</v>
      </c>
      <c r="AG114" s="28">
        <f ca="1">SUMPRODUCT(dFactor,tpSurvCnH,INDEX(tEIdxElec,29)*INDEX(elecCnH,1,2)*allOnes,OFFSET(tPrcElec,0,28,1,_maxLT))</f>
        <v>155134.80984621184</v>
      </c>
      <c r="AH114" s="28">
        <f ca="1">SUMPRODUCT(dFactor,tpSurvCnH,INDEX(tEIdxElec,30)*INDEX(elecCnH,1,2)*allOnes,OFFSET(tPrcElec,0,29,1,_maxLT))</f>
        <v>155709.84963089938</v>
      </c>
      <c r="AI114" s="28">
        <f ca="1">SUMPRODUCT(dFactor,tpSurvCnH,INDEX(tEIdxElec,31)*INDEX(elecCnH,1,2)*allOnes,OFFSET(tPrcElec,0,30,1,_maxLT))</f>
        <v>156337.72641342154</v>
      </c>
      <c r="AJ114" s="28">
        <f ca="1">SUMPRODUCT(dFactor,tpSurvCnH,INDEX(tEIdxElec,32)*INDEX(elecCnH,1,2)*allOnes,OFFSET(tPrcElec,0,31,1,_maxLT))</f>
        <v>156897.46571590647</v>
      </c>
      <c r="AK114" s="29">
        <f ca="1">SUMPRODUCT(dFactor,tpSurvCnH,INDEX(tEIdxElec,33)*INDEX(elecCnH,1,2)*allOnes,OFFSET(tPrcElec,0,32,1,_maxLT))</f>
        <v>157508.9539659041</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ts2bElec*SUMPRODUCT(tpSurvCnH,INDEX(tEIdxElec,1)*INDEX(elecCnH,1,2)*convFactor)</f>
        <v>29592.367669165815</v>
      </c>
      <c r="F116" s="22">
        <f ca="1">ts2bElec*SUMPRODUCT(tpSurvCnH,INDEX(tEIdxElec,2)*INDEX(elecCnH,1,2)*convFactor)</f>
        <v>29371.169857148245</v>
      </c>
      <c r="G116" s="22">
        <f ca="1">ts2bElec*SUMPRODUCT(tpSurvCnH,INDEX(tEIdxElec,3)*INDEX(elecCnH,1,2)*convFactor)</f>
        <v>29148.3047495725</v>
      </c>
      <c r="H116" s="22">
        <f ca="1">ts2bElec*SUMPRODUCT(tpSurvCnH,INDEX(tEIdxElec,4)*INDEX(elecCnH,1,2)*convFactor)</f>
        <v>28952.567808881384</v>
      </c>
      <c r="I116" s="22">
        <f ca="1">ts2bElec*SUMPRODUCT(tpSurvCnH,INDEX(tEIdxElec,5)*INDEX(elecCnH,1,2)*convFactor)</f>
        <v>28766.966125836774</v>
      </c>
      <c r="J116" s="22">
        <f ca="1">ts2bElec*SUMPRODUCT(tpSurvCnH,INDEX(tEIdxElec,6)*INDEX(elecCnH,1,2)*convFactor)</f>
        <v>28605.329104376924</v>
      </c>
      <c r="K116" s="22">
        <f ca="1">ts2bElec*SUMPRODUCT(tpSurvCnH,INDEX(tEIdxElec,7)*INDEX(elecCnH,1,2)*convFactor)</f>
        <v>28479.978347499909</v>
      </c>
      <c r="L116" s="22">
        <f ca="1">ts2bElec*SUMPRODUCT(tpSurvCnH,INDEX(tEIdxElec,8)*INDEX(elecCnH,1,2)*convFactor)</f>
        <v>28376.068587323662</v>
      </c>
      <c r="M116" s="22">
        <f ca="1">ts2bElec*SUMPRODUCT(tpSurvCnH,INDEX(tEIdxElec,9)*INDEX(elecCnH,1,2)*convFactor)</f>
        <v>28271.709917297067</v>
      </c>
      <c r="N116" s="22">
        <f ca="1">ts2bElec*SUMPRODUCT(tpSurvCnH,INDEX(tEIdxElec,10)*INDEX(elecCnH,1,2)*convFactor)</f>
        <v>28188.248943350864</v>
      </c>
      <c r="O116" s="22">
        <f ca="1">ts2bElec*SUMPRODUCT(tpSurvCnH,INDEX(tEIdxElec,11)*INDEX(elecCnH,1,2)*convFactor)</f>
        <v>28130.770780271032</v>
      </c>
      <c r="P116" s="22">
        <f ca="1">ts2bElec*SUMPRODUCT(tpSurvCnH,INDEX(tEIdxElec,12)*INDEX(elecCnH,1,2)*convFactor)</f>
        <v>28088.716895498426</v>
      </c>
      <c r="Q116" s="22">
        <f ca="1">ts2bElec*SUMPRODUCT(tpSurvCnH,INDEX(tEIdxElec,13)*INDEX(elecCnH,1,2)*convFactor)</f>
        <v>28053.334716069807</v>
      </c>
      <c r="R116" s="22">
        <f ca="1">ts2bElec*SUMPRODUCT(tpSurvCnH,INDEX(tEIdxElec,14)*INDEX(elecCnH,1,2)*convFactor)</f>
        <v>28027.236752030996</v>
      </c>
      <c r="S116" s="22">
        <f ca="1">ts2bElec*SUMPRODUCT(tpSurvCnH,INDEX(tEIdxElec,15)*INDEX(elecCnH,1,2)*convFactor)</f>
        <v>28007.343591977242</v>
      </c>
      <c r="T116" s="22">
        <f ca="1">ts2bElec*SUMPRODUCT(tpSurvCnH,INDEX(tEIdxElec,16)*INDEX(elecCnH,1,2)*convFactor)</f>
        <v>28004.851766963006</v>
      </c>
      <c r="U116" s="22">
        <f ca="1">ts2bElec*SUMPRODUCT(tpSurvCnH,INDEX(tEIdxElec,17)*INDEX(elecCnH,1,2)*convFactor)</f>
        <v>28009.959508406184</v>
      </c>
      <c r="V116" s="22">
        <f ca="1">ts2bElec*SUMPRODUCT(tpSurvCnH,INDEX(tEIdxElec,18)*INDEX(elecCnH,1,2)*convFactor)</f>
        <v>28017.463592421791</v>
      </c>
      <c r="W116" s="22">
        <f ca="1">ts2bElec*SUMPRODUCT(tpSurvCnH,INDEX(tEIdxElec,19)*INDEX(elecCnH,1,2)*convFactor)</f>
        <v>28028.195472242474</v>
      </c>
      <c r="X116" s="22">
        <f ca="1">ts2bElec*SUMPRODUCT(tpSurvCnH,INDEX(tEIdxElec,20)*INDEX(elecCnH,1,2)*convFactor)</f>
        <v>28038.33698339092</v>
      </c>
      <c r="Y116" s="22">
        <f ca="1">ts2bElec*SUMPRODUCT(tpSurvCnH,INDEX(tEIdxElec,21)*INDEX(elecCnH,1,2)*convFactor)</f>
        <v>28046.739767607705</v>
      </c>
      <c r="Z116" s="22">
        <f ca="1">ts2bElec*SUMPRODUCT(tpSurvCnH,INDEX(tEIdxElec,22)*INDEX(elecCnH,1,2)*convFactor)</f>
        <v>28052.370821081084</v>
      </c>
      <c r="AA116" s="22">
        <f ca="1">ts2bElec*SUMPRODUCT(tpSurvCnH,INDEX(tEIdxElec,23)*INDEX(elecCnH,1,2)*convFactor)</f>
        <v>28056.08206016017</v>
      </c>
      <c r="AB116" s="22">
        <f ca="1">ts2bElec*SUMPRODUCT(tpSurvCnH,INDEX(tEIdxElec,24)*INDEX(elecCnH,1,2)*convFactor)</f>
        <v>28056.08206016017</v>
      </c>
      <c r="AC116" s="22">
        <f ca="1">ts2bElec*SUMPRODUCT(tpSurvCnH,INDEX(tEIdxElec,25)*INDEX(elecCnH,1,2)*convFactor)</f>
        <v>28056.08206016017</v>
      </c>
      <c r="AD116" s="22">
        <f ca="1">ts2bElec*SUMPRODUCT(tpSurvCnH,INDEX(tEIdxElec,26)*INDEX(elecCnH,1,2)*convFactor)</f>
        <v>28056.08206016017</v>
      </c>
      <c r="AE116" s="22">
        <f ca="1">ts2bElec*SUMPRODUCT(tpSurvCnH,INDEX(tEIdxElec,27)*INDEX(elecCnH,1,2)*convFactor)</f>
        <v>28056.08206016017</v>
      </c>
      <c r="AF116" s="22">
        <f ca="1">ts2bElec*SUMPRODUCT(tpSurvCnH,INDEX(tEIdxElec,28)*INDEX(elecCnH,1,2)*convFactor)</f>
        <v>28056.08206016017</v>
      </c>
      <c r="AG116" s="22">
        <f ca="1">ts2bElec*SUMPRODUCT(tpSurvCnH,INDEX(tEIdxElec,29)*INDEX(elecCnH,1,2)*convFactor)</f>
        <v>28056.08206016017</v>
      </c>
      <c r="AH116" s="22">
        <f ca="1">ts2bElec*SUMPRODUCT(tpSurvCnH,INDEX(tEIdxElec,30)*INDEX(elecCnH,1,2)*convFactor)</f>
        <v>28056.08206016017</v>
      </c>
      <c r="AI116" s="22">
        <f ca="1">ts2bElec*SUMPRODUCT(tpSurvCnH,INDEX(tEIdxElec,31)*INDEX(elecCnH,1,2)*convFactor)</f>
        <v>28056.08206016017</v>
      </c>
      <c r="AJ116" s="22">
        <f ca="1">ts2bElec*SUMPRODUCT(tpSurvCnH,INDEX(tEIdxElec,32)*INDEX(elecCnH,1,2)*convFactor)</f>
        <v>28056.08206016017</v>
      </c>
      <c r="AK116" s="25">
        <f ca="1">ts2bElec*SUMPRODUCT(tpSurvCnH,INDEX(tEIdxElec,33)*INDEX(elecCnH,1,2)*convFactor)</f>
        <v>28056.08206016017</v>
      </c>
      <c r="AL116" s="3"/>
    </row>
    <row r="117" spans="2:38">
      <c r="B117" s="3"/>
      <c r="C117" s="30" t="str">
        <f>"EL 2: " &amp; INDEX(_doName,3,3)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(1+INDEX(vadCnH,1,3))*INDEX(mspCnH,1,3)*tPIdxAll + INDEX(instCnH,1,3) + SUMPRODUCT(dFactor,tpSurvCnH,INDEX(mrCnH,1,3)*allOnes)</f>
        <v>1392.4454940000001</v>
      </c>
      <c r="F118" s="28">
        <f ca="1"/>
        <v>1392.4454940000001</v>
      </c>
      <c r="G118" s="28">
        <f ca="1"/>
        <v>1392.4454940000001</v>
      </c>
      <c r="H118" s="28">
        <f ca="1"/>
        <v>1392.4454940000001</v>
      </c>
      <c r="I118" s="28">
        <f ca="1"/>
        <v>1392.4454940000001</v>
      </c>
      <c r="J118" s="28">
        <f ca="1"/>
        <v>1392.4454940000001</v>
      </c>
      <c r="K118" s="28">
        <f ca="1"/>
        <v>1392.4454940000001</v>
      </c>
      <c r="L118" s="28">
        <f ca="1"/>
        <v>1392.4454940000001</v>
      </c>
      <c r="M118" s="28">
        <f ca="1"/>
        <v>1392.4454940000001</v>
      </c>
      <c r="N118" s="28">
        <f ca="1"/>
        <v>1392.4454940000001</v>
      </c>
      <c r="O118" s="28">
        <f ca="1"/>
        <v>1392.4454940000001</v>
      </c>
      <c r="P118" s="28">
        <f ca="1"/>
        <v>1392.4454940000001</v>
      </c>
      <c r="Q118" s="28">
        <f ca="1"/>
        <v>1392.4454940000001</v>
      </c>
      <c r="R118" s="28">
        <f ca="1"/>
        <v>1392.4454940000001</v>
      </c>
      <c r="S118" s="28">
        <f ca="1"/>
        <v>1392.4454940000001</v>
      </c>
      <c r="T118" s="28">
        <f ca="1"/>
        <v>1392.4454940000001</v>
      </c>
      <c r="U118" s="28">
        <f ca="1"/>
        <v>1392.4454940000001</v>
      </c>
      <c r="V118" s="28">
        <f ca="1"/>
        <v>1392.4454940000001</v>
      </c>
      <c r="W118" s="28">
        <f ca="1"/>
        <v>1392.4454940000001</v>
      </c>
      <c r="X118" s="28">
        <f ca="1"/>
        <v>1392.4454940000001</v>
      </c>
      <c r="Y118" s="28">
        <f ca="1"/>
        <v>1392.4454940000001</v>
      </c>
      <c r="Z118" s="28">
        <f ca="1"/>
        <v>1392.4454940000001</v>
      </c>
      <c r="AA118" s="28">
        <f ca="1"/>
        <v>1392.4454940000001</v>
      </c>
      <c r="AB118" s="28">
        <f ca="1"/>
        <v>1392.4454940000001</v>
      </c>
      <c r="AC118" s="28">
        <f ca="1"/>
        <v>1392.4454940000001</v>
      </c>
      <c r="AD118" s="28">
        <f ca="1"/>
        <v>1392.4454940000001</v>
      </c>
      <c r="AE118" s="28">
        <f ca="1"/>
        <v>1392.4454940000001</v>
      </c>
      <c r="AF118" s="28">
        <f ca="1"/>
        <v>1392.4454940000001</v>
      </c>
      <c r="AG118" s="28">
        <f ca="1"/>
        <v>1392.4454940000001</v>
      </c>
      <c r="AH118" s="28">
        <f ca="1"/>
        <v>1392.4454940000001</v>
      </c>
      <c r="AI118" s="28">
        <f ca="1"/>
        <v>1392.4454940000001</v>
      </c>
      <c r="AJ118" s="28">
        <f ca="1"/>
        <v>1392.4454940000001</v>
      </c>
      <c r="AK118" s="29">
        <f ca="1"/>
        <v>1392.4454940000001</v>
      </c>
      <c r="AL118" s="3"/>
    </row>
    <row r="119" spans="2:38">
      <c r="B119" s="3"/>
      <c r="C119" s="23" t="s">
        <v>47</v>
      </c>
      <c r="D119" s="16" t="str">
        <f>_yearDol &amp; "$"</f>
        <v>2013$</v>
      </c>
      <c r="E119" s="141">
        <f t="array" aca="1" ref="E119:AK119" ca="1">(tlccEFubcElec2)</f>
        <v>65391.041469831398</v>
      </c>
      <c r="F119" s="28">
        <f ca="1"/>
        <v>65679.039032133369</v>
      </c>
      <c r="G119" s="28">
        <f ca="1"/>
        <v>65933.957192381582</v>
      </c>
      <c r="H119" s="28">
        <f ca="1"/>
        <v>66211.845035758641</v>
      </c>
      <c r="I119" s="28">
        <f ca="1"/>
        <v>66455.839326170855</v>
      </c>
      <c r="J119" s="28">
        <f ca="1"/>
        <v>66722.260278601127</v>
      </c>
      <c r="K119" s="28">
        <f ca="1"/>
        <v>66953.952592900954</v>
      </c>
      <c r="L119" s="28">
        <f ca="1"/>
        <v>67207.317653676248</v>
      </c>
      <c r="M119" s="28">
        <f ca="1"/>
        <v>67483.657332788614</v>
      </c>
      <c r="N119" s="28">
        <f ca="1"/>
        <v>67726.078384707595</v>
      </c>
      <c r="O119" s="28">
        <f ca="1"/>
        <v>67990.88405910763</v>
      </c>
      <c r="P119" s="28">
        <f ca="1"/>
        <v>68279.675058487628</v>
      </c>
      <c r="Q119" s="28">
        <f ca="1"/>
        <v>68535.606534044171</v>
      </c>
      <c r="R119" s="28">
        <f ca="1"/>
        <v>68814.799964559163</v>
      </c>
      <c r="S119" s="28">
        <f ca="1"/>
        <v>69060.401164630632</v>
      </c>
      <c r="T119" s="28">
        <f ca="1"/>
        <v>69328.689190999503</v>
      </c>
      <c r="U119" s="28">
        <f ca="1"/>
        <v>69621.384743495306</v>
      </c>
      <c r="V119" s="28">
        <f ca="1"/>
        <v>69881.510173937655</v>
      </c>
      <c r="W119" s="28">
        <f ca="1"/>
        <v>70165.440895962704</v>
      </c>
      <c r="X119" s="28">
        <f ca="1"/>
        <v>70416.313033495622</v>
      </c>
      <c r="Y119" s="28">
        <f ca="1"/>
        <v>70690.332130224459</v>
      </c>
      <c r="Z119" s="28">
        <f ca="1"/>
        <v>70989.300848247047</v>
      </c>
      <c r="AA119" s="28">
        <f ca="1"/>
        <v>71256.173449985741</v>
      </c>
      <c r="AB119" s="28">
        <f ca="1"/>
        <v>71547.445706130427</v>
      </c>
      <c r="AC119" s="28">
        <f ca="1"/>
        <v>71806.211285097394</v>
      </c>
      <c r="AD119" s="28">
        <f ca="1"/>
        <v>72088.741946805152</v>
      </c>
      <c r="AE119" s="28">
        <f ca="1"/>
        <v>72396.922275696765</v>
      </c>
      <c r="AF119" s="28">
        <f ca="1"/>
        <v>72673.788435186216</v>
      </c>
      <c r="AG119" s="28">
        <f ca="1"/>
        <v>72976.007258412516</v>
      </c>
      <c r="AH119" s="28">
        <f ca="1"/>
        <v>73246.50817012167</v>
      </c>
      <c r="AI119" s="28">
        <f ca="1"/>
        <v>73541.863807480884</v>
      </c>
      <c r="AJ119" s="28">
        <f ca="1"/>
        <v>73805.167313905113</v>
      </c>
      <c r="AK119" s="29">
        <f ca="1"/>
        <v>74092.813722950857</v>
      </c>
      <c r="AL119" s="3"/>
    </row>
    <row r="120" spans="2:38">
      <c r="B120" s="3"/>
      <c r="C120" s="27" t="str">
        <f>INDEX(_fuel,1)</f>
        <v>Electricity</v>
      </c>
      <c r="D120" s="16" t="str">
        <f>_yearDol &amp; "$"</f>
        <v>2013$</v>
      </c>
      <c r="E120" s="141">
        <f ca="1">SUMPRODUCT(dFactor,tpSurvCnH,INDEX(tEIdxElec,1)*INDEX(elecCnH,1,3)*allOnes,OFFSET(tPrcElec,0,0,1,_maxLT))</f>
        <v>65391.041469831398</v>
      </c>
      <c r="F120" s="28">
        <f ca="1">SUMPRODUCT(dFactor,tpSurvCnH,INDEX(tEIdxElec,2)*INDEX(elecCnH,1,3)*allOnes,OFFSET(tPrcElec,0,1,1,_maxLT))</f>
        <v>65679.039032133369</v>
      </c>
      <c r="G120" s="28">
        <f ca="1">SUMPRODUCT(dFactor,tpSurvCnH,INDEX(tEIdxElec,3)*INDEX(elecCnH,1,3)*allOnes,OFFSET(tPrcElec,0,2,1,_maxLT))</f>
        <v>65933.957192381582</v>
      </c>
      <c r="H120" s="28">
        <f ca="1">SUMPRODUCT(dFactor,tpSurvCnH,INDEX(tEIdxElec,4)*INDEX(elecCnH,1,3)*allOnes,OFFSET(tPrcElec,0,3,1,_maxLT))</f>
        <v>66211.845035758641</v>
      </c>
      <c r="I120" s="28">
        <f ca="1">SUMPRODUCT(dFactor,tpSurvCnH,INDEX(tEIdxElec,5)*INDEX(elecCnH,1,3)*allOnes,OFFSET(tPrcElec,0,4,1,_maxLT))</f>
        <v>66455.839326170855</v>
      </c>
      <c r="J120" s="28">
        <f ca="1">SUMPRODUCT(dFactor,tpSurvCnH,INDEX(tEIdxElec,6)*INDEX(elecCnH,1,3)*allOnes,OFFSET(tPrcElec,0,5,1,_maxLT))</f>
        <v>66722.260278601127</v>
      </c>
      <c r="K120" s="28">
        <f ca="1">SUMPRODUCT(dFactor,tpSurvCnH,INDEX(tEIdxElec,7)*INDEX(elecCnH,1,3)*allOnes,OFFSET(tPrcElec,0,6,1,_maxLT))</f>
        <v>66953.952592900954</v>
      </c>
      <c r="L120" s="28">
        <f ca="1">SUMPRODUCT(dFactor,tpSurvCnH,INDEX(tEIdxElec,8)*INDEX(elecCnH,1,3)*allOnes,OFFSET(tPrcElec,0,7,1,_maxLT))</f>
        <v>67207.317653676248</v>
      </c>
      <c r="M120" s="28">
        <f ca="1">SUMPRODUCT(dFactor,tpSurvCnH,INDEX(tEIdxElec,9)*INDEX(elecCnH,1,3)*allOnes,OFFSET(tPrcElec,0,8,1,_maxLT))</f>
        <v>67483.657332788614</v>
      </c>
      <c r="N120" s="28">
        <f ca="1">SUMPRODUCT(dFactor,tpSurvCnH,INDEX(tEIdxElec,10)*INDEX(elecCnH,1,3)*allOnes,OFFSET(tPrcElec,0,9,1,_maxLT))</f>
        <v>67726.078384707595</v>
      </c>
      <c r="O120" s="28">
        <f ca="1">SUMPRODUCT(dFactor,tpSurvCnH,INDEX(tEIdxElec,11)*INDEX(elecCnH,1,3)*allOnes,OFFSET(tPrcElec,0,10,1,_maxLT))</f>
        <v>67990.88405910763</v>
      </c>
      <c r="P120" s="28">
        <f ca="1">SUMPRODUCT(dFactor,tpSurvCnH,INDEX(tEIdxElec,12)*INDEX(elecCnH,1,3)*allOnes,OFFSET(tPrcElec,0,11,1,_maxLT))</f>
        <v>68279.675058487628</v>
      </c>
      <c r="Q120" s="28">
        <f ca="1">SUMPRODUCT(dFactor,tpSurvCnH,INDEX(tEIdxElec,13)*INDEX(elecCnH,1,3)*allOnes,OFFSET(tPrcElec,0,12,1,_maxLT))</f>
        <v>68535.606534044171</v>
      </c>
      <c r="R120" s="28">
        <f ca="1">SUMPRODUCT(dFactor,tpSurvCnH,INDEX(tEIdxElec,14)*INDEX(elecCnH,1,3)*allOnes,OFFSET(tPrcElec,0,13,1,_maxLT))</f>
        <v>68814.799964559163</v>
      </c>
      <c r="S120" s="28">
        <f ca="1">SUMPRODUCT(dFactor,tpSurvCnH,INDEX(tEIdxElec,15)*INDEX(elecCnH,1,3)*allOnes,OFFSET(tPrcElec,0,14,1,_maxLT))</f>
        <v>69060.401164630632</v>
      </c>
      <c r="T120" s="28">
        <f ca="1">SUMPRODUCT(dFactor,tpSurvCnH,INDEX(tEIdxElec,16)*INDEX(elecCnH,1,3)*allOnes,OFFSET(tPrcElec,0,15,1,_maxLT))</f>
        <v>69328.689190999503</v>
      </c>
      <c r="U120" s="28">
        <f ca="1">SUMPRODUCT(dFactor,tpSurvCnH,INDEX(tEIdxElec,17)*INDEX(elecCnH,1,3)*allOnes,OFFSET(tPrcElec,0,16,1,_maxLT))</f>
        <v>69621.384743495306</v>
      </c>
      <c r="V120" s="28">
        <f ca="1">SUMPRODUCT(dFactor,tpSurvCnH,INDEX(tEIdxElec,18)*INDEX(elecCnH,1,3)*allOnes,OFFSET(tPrcElec,0,17,1,_maxLT))</f>
        <v>69881.510173937655</v>
      </c>
      <c r="W120" s="28">
        <f ca="1">SUMPRODUCT(dFactor,tpSurvCnH,INDEX(tEIdxElec,19)*INDEX(elecCnH,1,3)*allOnes,OFFSET(tPrcElec,0,18,1,_maxLT))</f>
        <v>70165.440895962704</v>
      </c>
      <c r="X120" s="28">
        <f ca="1">SUMPRODUCT(dFactor,tpSurvCnH,INDEX(tEIdxElec,20)*INDEX(elecCnH,1,3)*allOnes,OFFSET(tPrcElec,0,19,1,_maxLT))</f>
        <v>70416.313033495622</v>
      </c>
      <c r="Y120" s="28">
        <f ca="1">SUMPRODUCT(dFactor,tpSurvCnH,INDEX(tEIdxElec,21)*INDEX(elecCnH,1,3)*allOnes,OFFSET(tPrcElec,0,20,1,_maxLT))</f>
        <v>70690.332130224459</v>
      </c>
      <c r="Z120" s="28">
        <f ca="1">SUMPRODUCT(dFactor,tpSurvCnH,INDEX(tEIdxElec,22)*INDEX(elecCnH,1,3)*allOnes,OFFSET(tPrcElec,0,21,1,_maxLT))</f>
        <v>70989.300848247047</v>
      </c>
      <c r="AA120" s="28">
        <f ca="1">SUMPRODUCT(dFactor,tpSurvCnH,INDEX(tEIdxElec,23)*INDEX(elecCnH,1,3)*allOnes,OFFSET(tPrcElec,0,22,1,_maxLT))</f>
        <v>71256.173449985741</v>
      </c>
      <c r="AB120" s="28">
        <f ca="1">SUMPRODUCT(dFactor,tpSurvCnH,INDEX(tEIdxElec,24)*INDEX(elecCnH,1,3)*allOnes,OFFSET(tPrcElec,0,23,1,_maxLT))</f>
        <v>71547.445706130427</v>
      </c>
      <c r="AC120" s="28">
        <f ca="1">SUMPRODUCT(dFactor,tpSurvCnH,INDEX(tEIdxElec,25)*INDEX(elecCnH,1,3)*allOnes,OFFSET(tPrcElec,0,24,1,_maxLT))</f>
        <v>71806.211285097394</v>
      </c>
      <c r="AD120" s="28">
        <f ca="1">SUMPRODUCT(dFactor,tpSurvCnH,INDEX(tEIdxElec,26)*INDEX(elecCnH,1,3)*allOnes,OFFSET(tPrcElec,0,25,1,_maxLT))</f>
        <v>72088.741946805152</v>
      </c>
      <c r="AE120" s="28">
        <f ca="1">SUMPRODUCT(dFactor,tpSurvCnH,INDEX(tEIdxElec,27)*INDEX(elecCnH,1,3)*allOnes,OFFSET(tPrcElec,0,26,1,_maxLT))</f>
        <v>72396.922275696765</v>
      </c>
      <c r="AF120" s="28">
        <f ca="1">SUMPRODUCT(dFactor,tpSurvCnH,INDEX(tEIdxElec,28)*INDEX(elecCnH,1,3)*allOnes,OFFSET(tPrcElec,0,27,1,_maxLT))</f>
        <v>72673.788435186216</v>
      </c>
      <c r="AG120" s="28">
        <f ca="1">SUMPRODUCT(dFactor,tpSurvCnH,INDEX(tEIdxElec,29)*INDEX(elecCnH,1,3)*allOnes,OFFSET(tPrcElec,0,28,1,_maxLT))</f>
        <v>72976.007258412516</v>
      </c>
      <c r="AH120" s="28">
        <f ca="1">SUMPRODUCT(dFactor,tpSurvCnH,INDEX(tEIdxElec,30)*INDEX(elecCnH,1,3)*allOnes,OFFSET(tPrcElec,0,29,1,_maxLT))</f>
        <v>73246.50817012167</v>
      </c>
      <c r="AI120" s="28">
        <f ca="1">SUMPRODUCT(dFactor,tpSurvCnH,INDEX(tEIdxElec,31)*INDEX(elecCnH,1,3)*allOnes,OFFSET(tPrcElec,0,30,1,_maxLT))</f>
        <v>73541.863807480884</v>
      </c>
      <c r="AJ120" s="28">
        <f ca="1">SUMPRODUCT(dFactor,tpSurvCnH,INDEX(tEIdxElec,32)*INDEX(elecCnH,1,3)*allOnes,OFFSET(tPrcElec,0,31,1,_maxLT))</f>
        <v>73805.167313905113</v>
      </c>
      <c r="AK120" s="29">
        <f ca="1">SUMPRODUCT(dFactor,tpSurvCnH,INDEX(tEIdxElec,33)*INDEX(elecCnH,1,3)*allOnes,OFFSET(tPrcElec,0,32,1,_maxLT))</f>
        <v>74092.813722950857</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ts2bElec*SUMPRODUCT(tpSurvCnH,INDEX(tEIdxElec,1)*INDEX(elecCnH,1,3)*convFactor)</f>
        <v>13920.362811927522</v>
      </c>
      <c r="F122" s="22">
        <f ca="1">ts2bElec*SUMPRODUCT(tpSurvCnH,INDEX(tEIdxElec,2)*INDEX(elecCnH,1,3)*convFactor)</f>
        <v>13816.310516047955</v>
      </c>
      <c r="G122" s="22">
        <f ca="1">ts2bElec*SUMPRODUCT(tpSurvCnH,INDEX(tEIdxElec,3)*INDEX(elecCnH,1,3)*convFactor)</f>
        <v>13711.473917967762</v>
      </c>
      <c r="H122" s="22">
        <f ca="1">ts2bElec*SUMPRODUCT(tpSurvCnH,INDEX(tEIdxElec,4)*INDEX(elecCnH,1,3)*convFactor)</f>
        <v>13619.398513235747</v>
      </c>
      <c r="I122" s="22">
        <f ca="1">ts2bElec*SUMPRODUCT(tpSurvCnH,INDEX(tEIdxElec,5)*INDEX(elecCnH,1,3)*convFactor)</f>
        <v>13532.090772423328</v>
      </c>
      <c r="J122" s="22">
        <f ca="1">ts2bElec*SUMPRODUCT(tpSurvCnH,INDEX(tEIdxElec,6)*INDEX(elecCnH,1,3)*convFactor)</f>
        <v>13456.056099979562</v>
      </c>
      <c r="K122" s="22">
        <f ca="1">ts2bElec*SUMPRODUCT(tpSurvCnH,INDEX(tEIdxElec,7)*INDEX(elecCnH,1,3)*convFactor)</f>
        <v>13397.090625030569</v>
      </c>
      <c r="L122" s="22">
        <f ca="1">ts2bElec*SUMPRODUCT(tpSurvCnH,INDEX(tEIdxElec,8)*INDEX(elecCnH,1,3)*convFactor)</f>
        <v>13348.211076846901</v>
      </c>
      <c r="M122" s="22">
        <f ca="1">ts2bElec*SUMPRODUCT(tpSurvCnH,INDEX(tEIdxElec,9)*INDEX(elecCnH,1,3)*convFactor)</f>
        <v>13299.12035975453</v>
      </c>
      <c r="N122" s="22">
        <f ca="1">ts2bElec*SUMPRODUCT(tpSurvCnH,INDEX(tEIdxElec,10)*INDEX(elecCnH,1,3)*convFactor)</f>
        <v>13259.859998739938</v>
      </c>
      <c r="O122" s="22">
        <f ca="1">ts2bElec*SUMPRODUCT(tpSurvCnH,INDEX(tEIdxElec,11)*INDEX(elecCnH,1,3)*convFactor)</f>
        <v>13232.8220512266</v>
      </c>
      <c r="P122" s="22">
        <f ca="1">ts2bElec*SUMPRODUCT(tpSurvCnH,INDEX(tEIdxElec,12)*INDEX(elecCnH,1,3)*convFactor)</f>
        <v>13213.039743158844</v>
      </c>
      <c r="Q122" s="22">
        <f ca="1">ts2bElec*SUMPRODUCT(tpSurvCnH,INDEX(tEIdxElec,13)*INDEX(elecCnH,1,3)*convFactor)</f>
        <v>13196.395830774765</v>
      </c>
      <c r="R122" s="22">
        <f ca="1">ts2bElec*SUMPRODUCT(tpSurvCnH,INDEX(tEIdxElec,14)*INDEX(elecCnH,1,3)*convFactor)</f>
        <v>13184.119248781246</v>
      </c>
      <c r="S122" s="22">
        <f ca="1">ts2bElec*SUMPRODUCT(tpSurvCnH,INDEX(tEIdxElec,15)*INDEX(elecCnH,1,3)*convFactor)</f>
        <v>13174.761430288318</v>
      </c>
      <c r="T122" s="22">
        <f ca="1">ts2bElec*SUMPRODUCT(tpSurvCnH,INDEX(tEIdxElec,16)*INDEX(elecCnH,1,3)*convFactor)</f>
        <v>13173.589266281377</v>
      </c>
      <c r="U122" s="22">
        <f ca="1">ts2bElec*SUMPRODUCT(tpSurvCnH,INDEX(tEIdxElec,17)*INDEX(elecCnH,1,3)*convFactor)</f>
        <v>13175.991967370841</v>
      </c>
      <c r="V122" s="22">
        <f ca="1">ts2bElec*SUMPRODUCT(tpSurvCnH,INDEX(tEIdxElec,18)*INDEX(elecCnH,1,3)*convFactor)</f>
        <v>13179.521917161821</v>
      </c>
      <c r="W122" s="22">
        <f ca="1">ts2bElec*SUMPRODUCT(tpSurvCnH,INDEX(tEIdxElec,19)*INDEX(elecCnH,1,3)*convFactor)</f>
        <v>13184.570234431603</v>
      </c>
      <c r="X122" s="22">
        <f ca="1">ts2bElec*SUMPRODUCT(tpSurvCnH,INDEX(tEIdxElec,20)*INDEX(elecCnH,1,3)*convFactor)</f>
        <v>13189.340840022405</v>
      </c>
      <c r="Y122" s="22">
        <f ca="1">ts2bElec*SUMPRODUCT(tpSurvCnH,INDEX(tEIdxElec,21)*INDEX(elecCnH,1,3)*convFactor)</f>
        <v>13193.293541821587</v>
      </c>
      <c r="Z122" s="22">
        <f ca="1">ts2bElec*SUMPRODUCT(tpSurvCnH,INDEX(tEIdxElec,22)*INDEX(elecCnH,1,3)*convFactor)</f>
        <v>13195.942410889422</v>
      </c>
      <c r="AA122" s="22">
        <f ca="1">ts2bElec*SUMPRODUCT(tpSurvCnH,INDEX(tEIdxElec,23)*INDEX(elecCnH,1,3)*convFactor)</f>
        <v>13197.688191931351</v>
      </c>
      <c r="AB122" s="22">
        <f ca="1">ts2bElec*SUMPRODUCT(tpSurvCnH,INDEX(tEIdxElec,24)*INDEX(elecCnH,1,3)*convFactor)</f>
        <v>13197.688191931351</v>
      </c>
      <c r="AC122" s="22">
        <f ca="1">ts2bElec*SUMPRODUCT(tpSurvCnH,INDEX(tEIdxElec,25)*INDEX(elecCnH,1,3)*convFactor)</f>
        <v>13197.688191931351</v>
      </c>
      <c r="AD122" s="22">
        <f ca="1">ts2bElec*SUMPRODUCT(tpSurvCnH,INDEX(tEIdxElec,26)*INDEX(elecCnH,1,3)*convFactor)</f>
        <v>13197.688191931351</v>
      </c>
      <c r="AE122" s="22">
        <f ca="1">ts2bElec*SUMPRODUCT(tpSurvCnH,INDEX(tEIdxElec,27)*INDEX(elecCnH,1,3)*convFactor)</f>
        <v>13197.688191931351</v>
      </c>
      <c r="AF122" s="22">
        <f ca="1">ts2bElec*SUMPRODUCT(tpSurvCnH,INDEX(tEIdxElec,28)*INDEX(elecCnH,1,3)*convFactor)</f>
        <v>13197.688191931351</v>
      </c>
      <c r="AG122" s="22">
        <f ca="1">ts2bElec*SUMPRODUCT(tpSurvCnH,INDEX(tEIdxElec,29)*INDEX(elecCnH,1,3)*convFactor)</f>
        <v>13197.688191931351</v>
      </c>
      <c r="AH122" s="22">
        <f ca="1">ts2bElec*SUMPRODUCT(tpSurvCnH,INDEX(tEIdxElec,30)*INDEX(elecCnH,1,3)*convFactor)</f>
        <v>13197.688191931351</v>
      </c>
      <c r="AI122" s="22">
        <f ca="1">ts2bElec*SUMPRODUCT(tpSurvCnH,INDEX(tEIdxElec,31)*INDEX(elecCnH,1,3)*convFactor)</f>
        <v>13197.688191931351</v>
      </c>
      <c r="AJ122" s="22">
        <f ca="1">ts2bElec*SUMPRODUCT(tpSurvCnH,INDEX(tEIdxElec,32)*INDEX(elecCnH,1,3)*convFactor)</f>
        <v>13197.688191931351</v>
      </c>
      <c r="AK122" s="25">
        <f ca="1">ts2bElec*SUMPRODUCT(tpSurvCnH,INDEX(tEIdxElec,33)*INDEX(elecCnH,1,3)*convFactor)</f>
        <v>13197.688191931351</v>
      </c>
      <c r="AL122" s="3"/>
    </row>
    <row r="123" spans="2:38">
      <c r="B123" s="3"/>
      <c r="C123" s="30" t="str">
        <f>"EL 3: " &amp; INDEX(_doName,3,4)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(1+INDEX(vadCnH,1,4))*INDEX(mspCnH,1,4)*tPIdxAll + INDEX(instCnH,1,4) + SUMPRODUCT(dFactor,tpSurvCnH,INDEX(mrCnH,1,4)*allOnes)</f>
        <v>1730.180828</v>
      </c>
      <c r="F124" s="28">
        <f ca="1"/>
        <v>1730.180828</v>
      </c>
      <c r="G124" s="28">
        <f ca="1"/>
        <v>1730.180828</v>
      </c>
      <c r="H124" s="28">
        <f ca="1"/>
        <v>1730.180828</v>
      </c>
      <c r="I124" s="28">
        <f ca="1"/>
        <v>1730.180828</v>
      </c>
      <c r="J124" s="28">
        <f ca="1"/>
        <v>1730.180828</v>
      </c>
      <c r="K124" s="28">
        <f ca="1"/>
        <v>1730.180828</v>
      </c>
      <c r="L124" s="28">
        <f ca="1"/>
        <v>1730.180828</v>
      </c>
      <c r="M124" s="28">
        <f ca="1"/>
        <v>1730.180828</v>
      </c>
      <c r="N124" s="28">
        <f ca="1"/>
        <v>1730.180828</v>
      </c>
      <c r="O124" s="28">
        <f ca="1"/>
        <v>1730.180828</v>
      </c>
      <c r="P124" s="28">
        <f ca="1"/>
        <v>1730.180828</v>
      </c>
      <c r="Q124" s="28">
        <f ca="1"/>
        <v>1730.180828</v>
      </c>
      <c r="R124" s="28">
        <f ca="1"/>
        <v>1730.180828</v>
      </c>
      <c r="S124" s="28">
        <f ca="1"/>
        <v>1730.180828</v>
      </c>
      <c r="T124" s="28">
        <f ca="1"/>
        <v>1730.180828</v>
      </c>
      <c r="U124" s="28">
        <f ca="1"/>
        <v>1730.180828</v>
      </c>
      <c r="V124" s="28">
        <f ca="1"/>
        <v>1730.180828</v>
      </c>
      <c r="W124" s="28">
        <f ca="1"/>
        <v>1730.180828</v>
      </c>
      <c r="X124" s="28">
        <f ca="1"/>
        <v>1730.180828</v>
      </c>
      <c r="Y124" s="28">
        <f ca="1"/>
        <v>1730.180828</v>
      </c>
      <c r="Z124" s="28">
        <f ca="1"/>
        <v>1730.180828</v>
      </c>
      <c r="AA124" s="28">
        <f ca="1"/>
        <v>1730.180828</v>
      </c>
      <c r="AB124" s="28">
        <f ca="1"/>
        <v>1730.180828</v>
      </c>
      <c r="AC124" s="28">
        <f ca="1"/>
        <v>1730.180828</v>
      </c>
      <c r="AD124" s="28">
        <f ca="1"/>
        <v>1730.180828</v>
      </c>
      <c r="AE124" s="28">
        <f ca="1"/>
        <v>1730.180828</v>
      </c>
      <c r="AF124" s="28">
        <f ca="1"/>
        <v>1730.180828</v>
      </c>
      <c r="AG124" s="28">
        <f ca="1"/>
        <v>1730.180828</v>
      </c>
      <c r="AH124" s="28">
        <f ca="1"/>
        <v>1730.180828</v>
      </c>
      <c r="AI124" s="28">
        <f ca="1"/>
        <v>1730.180828</v>
      </c>
      <c r="AJ124" s="28">
        <f ca="1"/>
        <v>1730.180828</v>
      </c>
      <c r="AK124" s="29">
        <f ca="1"/>
        <v>1730.180828</v>
      </c>
      <c r="AL124" s="3"/>
    </row>
    <row r="125" spans="2:38">
      <c r="B125" s="3"/>
      <c r="C125" s="23" t="s">
        <v>47</v>
      </c>
      <c r="D125" s="16" t="str">
        <f>_yearDol &amp; "$"</f>
        <v>2013$</v>
      </c>
      <c r="E125" s="141">
        <f t="array" aca="1" ref="E125:AK125" ca="1">(tlccEFubcElec3)</f>
        <v>64744.403215205923</v>
      </c>
      <c r="F125" s="28">
        <f ca="1"/>
        <v>65029.552830192231</v>
      </c>
      <c r="G125" s="28">
        <f ca="1"/>
        <v>65281.950158373707</v>
      </c>
      <c r="H125" s="28">
        <f ca="1"/>
        <v>65557.09002731902</v>
      </c>
      <c r="I125" s="28">
        <f ca="1"/>
        <v>65798.671509515509</v>
      </c>
      <c r="J125" s="28">
        <f ca="1"/>
        <v>66062.457881186652</v>
      </c>
      <c r="K125" s="28">
        <f ca="1"/>
        <v>66291.859038924958</v>
      </c>
      <c r="L125" s="28">
        <f ca="1"/>
        <v>66542.718625907524</v>
      </c>
      <c r="M125" s="28">
        <f ca="1"/>
        <v>66816.32564005896</v>
      </c>
      <c r="N125" s="28">
        <f ca="1"/>
        <v>67056.349441186772</v>
      </c>
      <c r="O125" s="28">
        <f ca="1"/>
        <v>67318.536507972341</v>
      </c>
      <c r="P125" s="28">
        <f ca="1"/>
        <v>67604.471713904306</v>
      </c>
      <c r="Q125" s="28">
        <f ca="1"/>
        <v>67857.872336932123</v>
      </c>
      <c r="R125" s="28">
        <f ca="1"/>
        <v>68134.304882338765</v>
      </c>
      <c r="S125" s="28">
        <f ca="1"/>
        <v>68377.477383802965</v>
      </c>
      <c r="T125" s="28">
        <f ca="1"/>
        <v>68643.112366311325</v>
      </c>
      <c r="U125" s="28">
        <f ca="1"/>
        <v>68932.913514054642</v>
      </c>
      <c r="V125" s="28">
        <f ca="1"/>
        <v>69190.466618830586</v>
      </c>
      <c r="W125" s="28">
        <f ca="1"/>
        <v>69471.589609667935</v>
      </c>
      <c r="X125" s="28">
        <f ca="1"/>
        <v>69719.980925401702</v>
      </c>
      <c r="Y125" s="28">
        <f ca="1"/>
        <v>69991.29030492068</v>
      </c>
      <c r="Z125" s="28">
        <f ca="1"/>
        <v>70287.30258417633</v>
      </c>
      <c r="AA125" s="28">
        <f ca="1"/>
        <v>70551.536138890908</v>
      </c>
      <c r="AB125" s="28">
        <f ca="1"/>
        <v>70839.928064961379</v>
      </c>
      <c r="AC125" s="28">
        <f ca="1"/>
        <v>71096.134765547118</v>
      </c>
      <c r="AD125" s="28">
        <f ca="1"/>
        <v>71375.871540969238</v>
      </c>
      <c r="AE125" s="28">
        <f ca="1"/>
        <v>71681.004339411636</v>
      </c>
      <c r="AF125" s="28">
        <f ca="1"/>
        <v>71955.132627686427</v>
      </c>
      <c r="AG125" s="28">
        <f ca="1"/>
        <v>72254.362872539117</v>
      </c>
      <c r="AH125" s="28">
        <f ca="1"/>
        <v>72522.188857630041</v>
      </c>
      <c r="AI125" s="28">
        <f ca="1"/>
        <v>72814.623785217045</v>
      </c>
      <c r="AJ125" s="28">
        <f ca="1"/>
        <v>73075.323538649958</v>
      </c>
      <c r="AK125" s="29">
        <f ca="1"/>
        <v>73360.12547286076</v>
      </c>
      <c r="AL125" s="3"/>
    </row>
    <row r="126" spans="2:38">
      <c r="B126" s="3"/>
      <c r="C126" s="27" t="str">
        <f>INDEX(_fuel,1)</f>
        <v>Electricity</v>
      </c>
      <c r="D126" s="16" t="str">
        <f>_yearDol &amp; "$"</f>
        <v>2013$</v>
      </c>
      <c r="E126" s="141">
        <f ca="1">SUMPRODUCT(dFactor,tpSurvCnH,INDEX(tEIdxElec,1)*INDEX(elecCnH,1,4)*allOnes,OFFSET(tPrcElec,0,0,1,_maxLT))</f>
        <v>64744.403215205923</v>
      </c>
      <c r="F126" s="28">
        <f ca="1">SUMPRODUCT(dFactor,tpSurvCnH,INDEX(tEIdxElec,2)*INDEX(elecCnH,1,4)*allOnes,OFFSET(tPrcElec,0,1,1,_maxLT))</f>
        <v>65029.552830192231</v>
      </c>
      <c r="G126" s="28">
        <f ca="1">SUMPRODUCT(dFactor,tpSurvCnH,INDEX(tEIdxElec,3)*INDEX(elecCnH,1,4)*allOnes,OFFSET(tPrcElec,0,2,1,_maxLT))</f>
        <v>65281.950158373707</v>
      </c>
      <c r="H126" s="28">
        <f ca="1">SUMPRODUCT(dFactor,tpSurvCnH,INDEX(tEIdxElec,4)*INDEX(elecCnH,1,4)*allOnes,OFFSET(tPrcElec,0,3,1,_maxLT))</f>
        <v>65557.09002731902</v>
      </c>
      <c r="I126" s="28">
        <f ca="1">SUMPRODUCT(dFactor,tpSurvCnH,INDEX(tEIdxElec,5)*INDEX(elecCnH,1,4)*allOnes,OFFSET(tPrcElec,0,4,1,_maxLT))</f>
        <v>65798.671509515509</v>
      </c>
      <c r="J126" s="28">
        <f ca="1">SUMPRODUCT(dFactor,tpSurvCnH,INDEX(tEIdxElec,6)*INDEX(elecCnH,1,4)*allOnes,OFFSET(tPrcElec,0,5,1,_maxLT))</f>
        <v>66062.457881186652</v>
      </c>
      <c r="K126" s="28">
        <f ca="1">SUMPRODUCT(dFactor,tpSurvCnH,INDEX(tEIdxElec,7)*INDEX(elecCnH,1,4)*allOnes,OFFSET(tPrcElec,0,6,1,_maxLT))</f>
        <v>66291.859038924958</v>
      </c>
      <c r="L126" s="28">
        <f ca="1">SUMPRODUCT(dFactor,tpSurvCnH,INDEX(tEIdxElec,8)*INDEX(elecCnH,1,4)*allOnes,OFFSET(tPrcElec,0,7,1,_maxLT))</f>
        <v>66542.718625907524</v>
      </c>
      <c r="M126" s="28">
        <f ca="1">SUMPRODUCT(dFactor,tpSurvCnH,INDEX(tEIdxElec,9)*INDEX(elecCnH,1,4)*allOnes,OFFSET(tPrcElec,0,8,1,_maxLT))</f>
        <v>66816.32564005896</v>
      </c>
      <c r="N126" s="28">
        <f ca="1">SUMPRODUCT(dFactor,tpSurvCnH,INDEX(tEIdxElec,10)*INDEX(elecCnH,1,4)*allOnes,OFFSET(tPrcElec,0,9,1,_maxLT))</f>
        <v>67056.349441186772</v>
      </c>
      <c r="O126" s="28">
        <f ca="1">SUMPRODUCT(dFactor,tpSurvCnH,INDEX(tEIdxElec,11)*INDEX(elecCnH,1,4)*allOnes,OFFSET(tPrcElec,0,10,1,_maxLT))</f>
        <v>67318.536507972341</v>
      </c>
      <c r="P126" s="28">
        <f ca="1">SUMPRODUCT(dFactor,tpSurvCnH,INDEX(tEIdxElec,12)*INDEX(elecCnH,1,4)*allOnes,OFFSET(tPrcElec,0,11,1,_maxLT))</f>
        <v>67604.471713904306</v>
      </c>
      <c r="Q126" s="28">
        <f ca="1">SUMPRODUCT(dFactor,tpSurvCnH,INDEX(tEIdxElec,13)*INDEX(elecCnH,1,4)*allOnes,OFFSET(tPrcElec,0,12,1,_maxLT))</f>
        <v>67857.872336932123</v>
      </c>
      <c r="R126" s="28">
        <f ca="1">SUMPRODUCT(dFactor,tpSurvCnH,INDEX(tEIdxElec,14)*INDEX(elecCnH,1,4)*allOnes,OFFSET(tPrcElec,0,13,1,_maxLT))</f>
        <v>68134.304882338765</v>
      </c>
      <c r="S126" s="28">
        <f ca="1">SUMPRODUCT(dFactor,tpSurvCnH,INDEX(tEIdxElec,15)*INDEX(elecCnH,1,4)*allOnes,OFFSET(tPrcElec,0,14,1,_maxLT))</f>
        <v>68377.477383802965</v>
      </c>
      <c r="T126" s="28">
        <f ca="1">SUMPRODUCT(dFactor,tpSurvCnH,INDEX(tEIdxElec,16)*INDEX(elecCnH,1,4)*allOnes,OFFSET(tPrcElec,0,15,1,_maxLT))</f>
        <v>68643.112366311325</v>
      </c>
      <c r="U126" s="28">
        <f ca="1">SUMPRODUCT(dFactor,tpSurvCnH,INDEX(tEIdxElec,17)*INDEX(elecCnH,1,4)*allOnes,OFFSET(tPrcElec,0,16,1,_maxLT))</f>
        <v>68932.913514054642</v>
      </c>
      <c r="V126" s="28">
        <f ca="1">SUMPRODUCT(dFactor,tpSurvCnH,INDEX(tEIdxElec,18)*INDEX(elecCnH,1,4)*allOnes,OFFSET(tPrcElec,0,17,1,_maxLT))</f>
        <v>69190.466618830586</v>
      </c>
      <c r="W126" s="28">
        <f ca="1">SUMPRODUCT(dFactor,tpSurvCnH,INDEX(tEIdxElec,19)*INDEX(elecCnH,1,4)*allOnes,OFFSET(tPrcElec,0,18,1,_maxLT))</f>
        <v>69471.589609667935</v>
      </c>
      <c r="X126" s="28">
        <f ca="1">SUMPRODUCT(dFactor,tpSurvCnH,INDEX(tEIdxElec,20)*INDEX(elecCnH,1,4)*allOnes,OFFSET(tPrcElec,0,19,1,_maxLT))</f>
        <v>69719.980925401702</v>
      </c>
      <c r="Y126" s="28">
        <f ca="1">SUMPRODUCT(dFactor,tpSurvCnH,INDEX(tEIdxElec,21)*INDEX(elecCnH,1,4)*allOnes,OFFSET(tPrcElec,0,20,1,_maxLT))</f>
        <v>69991.29030492068</v>
      </c>
      <c r="Z126" s="28">
        <f ca="1">SUMPRODUCT(dFactor,tpSurvCnH,INDEX(tEIdxElec,22)*INDEX(elecCnH,1,4)*allOnes,OFFSET(tPrcElec,0,21,1,_maxLT))</f>
        <v>70287.30258417633</v>
      </c>
      <c r="AA126" s="28">
        <f ca="1">SUMPRODUCT(dFactor,tpSurvCnH,INDEX(tEIdxElec,23)*INDEX(elecCnH,1,4)*allOnes,OFFSET(tPrcElec,0,22,1,_maxLT))</f>
        <v>70551.536138890908</v>
      </c>
      <c r="AB126" s="28">
        <f ca="1">SUMPRODUCT(dFactor,tpSurvCnH,INDEX(tEIdxElec,24)*INDEX(elecCnH,1,4)*allOnes,OFFSET(tPrcElec,0,23,1,_maxLT))</f>
        <v>70839.928064961379</v>
      </c>
      <c r="AC126" s="28">
        <f ca="1">SUMPRODUCT(dFactor,tpSurvCnH,INDEX(tEIdxElec,25)*INDEX(elecCnH,1,4)*allOnes,OFFSET(tPrcElec,0,24,1,_maxLT))</f>
        <v>71096.134765547118</v>
      </c>
      <c r="AD126" s="28">
        <f ca="1">SUMPRODUCT(dFactor,tpSurvCnH,INDEX(tEIdxElec,26)*INDEX(elecCnH,1,4)*allOnes,OFFSET(tPrcElec,0,25,1,_maxLT))</f>
        <v>71375.871540969238</v>
      </c>
      <c r="AE126" s="28">
        <f ca="1">SUMPRODUCT(dFactor,tpSurvCnH,INDEX(tEIdxElec,27)*INDEX(elecCnH,1,4)*allOnes,OFFSET(tPrcElec,0,26,1,_maxLT))</f>
        <v>71681.004339411636</v>
      </c>
      <c r="AF126" s="28">
        <f ca="1">SUMPRODUCT(dFactor,tpSurvCnH,INDEX(tEIdxElec,28)*INDEX(elecCnH,1,4)*allOnes,OFFSET(tPrcElec,0,27,1,_maxLT))</f>
        <v>71955.132627686427</v>
      </c>
      <c r="AG126" s="28">
        <f ca="1">SUMPRODUCT(dFactor,tpSurvCnH,INDEX(tEIdxElec,29)*INDEX(elecCnH,1,4)*allOnes,OFFSET(tPrcElec,0,28,1,_maxLT))</f>
        <v>72254.362872539117</v>
      </c>
      <c r="AH126" s="28">
        <f ca="1">SUMPRODUCT(dFactor,tpSurvCnH,INDEX(tEIdxElec,30)*INDEX(elecCnH,1,4)*allOnes,OFFSET(tPrcElec,0,29,1,_maxLT))</f>
        <v>72522.188857630041</v>
      </c>
      <c r="AI126" s="28">
        <f ca="1">SUMPRODUCT(dFactor,tpSurvCnH,INDEX(tEIdxElec,31)*INDEX(elecCnH,1,4)*allOnes,OFFSET(tPrcElec,0,30,1,_maxLT))</f>
        <v>72814.623785217045</v>
      </c>
      <c r="AJ126" s="28">
        <f ca="1">SUMPRODUCT(dFactor,tpSurvCnH,INDEX(tEIdxElec,32)*INDEX(elecCnH,1,4)*allOnes,OFFSET(tPrcElec,0,31,1,_maxLT))</f>
        <v>73075.323538649958</v>
      </c>
      <c r="AK126" s="29">
        <f ca="1">SUMPRODUCT(dFactor,tpSurvCnH,INDEX(tEIdxElec,33)*INDEX(elecCnH,1,4)*allOnes,OFFSET(tPrcElec,0,32,1,_maxLT))</f>
        <v>73360.12547286076</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ts2bElec*SUMPRODUCT(tpSurvCnH,INDEX(tEIdxElec,1)*INDEX(elecCnH,1,4)*convFactor)</f>
        <v>13782.707272114607</v>
      </c>
      <c r="F128" s="22">
        <f ca="1">ts2bElec*SUMPRODUCT(tpSurvCnH,INDEX(tEIdxElec,2)*INDEX(elecCnH,1,4)*convFactor)</f>
        <v>13679.683927502443</v>
      </c>
      <c r="G128" s="22">
        <f ca="1">ts2bElec*SUMPRODUCT(tpSurvCnH,INDEX(tEIdxElec,3)*INDEX(elecCnH,1,4)*convFactor)</f>
        <v>13575.884036489144</v>
      </c>
      <c r="H128" s="22">
        <f ca="1">ts2bElec*SUMPRODUCT(tpSurvCnH,INDEX(tEIdxElec,4)*INDEX(elecCnH,1,4)*convFactor)</f>
        <v>13484.719146067215</v>
      </c>
      <c r="I128" s="22">
        <f ca="1">ts2bElec*SUMPRODUCT(tpSurvCnH,INDEX(tEIdxElec,5)*INDEX(elecCnH,1,4)*convFactor)</f>
        <v>13398.274773139223</v>
      </c>
      <c r="J128" s="22">
        <f ca="1">ts2bElec*SUMPRODUCT(tpSurvCnH,INDEX(tEIdxElec,6)*INDEX(elecCnH,1,4)*convFactor)</f>
        <v>13322.991991577983</v>
      </c>
      <c r="K128" s="22">
        <f ca="1">ts2bElec*SUMPRODUCT(tpSurvCnH,INDEX(tEIdxElec,7)*INDEX(elecCnH,1,4)*convFactor)</f>
        <v>13264.609613807852</v>
      </c>
      <c r="L128" s="22">
        <f ca="1">ts2bElec*SUMPRODUCT(tpSurvCnH,INDEX(tEIdxElec,8)*INDEX(elecCnH,1,4)*convFactor)</f>
        <v>13216.213425194765</v>
      </c>
      <c r="M128" s="22">
        <f ca="1">ts2bElec*SUMPRODUCT(tpSurvCnH,INDEX(tEIdxElec,9)*INDEX(elecCnH,1,4)*convFactor)</f>
        <v>13167.608155877891</v>
      </c>
      <c r="N128" s="22">
        <f ca="1">ts2bElec*SUMPRODUCT(tpSurvCnH,INDEX(tEIdxElec,10)*INDEX(elecCnH,1,4)*convFactor)</f>
        <v>13128.736032315275</v>
      </c>
      <c r="O128" s="22">
        <f ca="1">ts2bElec*SUMPRODUCT(tpSurvCnH,INDEX(tEIdxElec,11)*INDEX(elecCnH,1,4)*convFactor)</f>
        <v>13101.965457377684</v>
      </c>
      <c r="P128" s="22">
        <f ca="1">ts2bElec*SUMPRODUCT(tpSurvCnH,INDEX(tEIdxElec,12)*INDEX(elecCnH,1,4)*convFactor)</f>
        <v>13082.378772393367</v>
      </c>
      <c r="Q128" s="22">
        <f ca="1">ts2bElec*SUMPRODUCT(tpSurvCnH,INDEX(tEIdxElec,13)*INDEX(elecCnH,1,4)*convFactor)</f>
        <v>13065.899448157943</v>
      </c>
      <c r="R128" s="22">
        <f ca="1">ts2bElec*SUMPRODUCT(tpSurvCnH,INDEX(tEIdxElec,14)*INDEX(elecCnH,1,4)*convFactor)</f>
        <v>13053.74426670148</v>
      </c>
      <c r="S128" s="22">
        <f ca="1">ts2bElec*SUMPRODUCT(tpSurvCnH,INDEX(tEIdxElec,15)*INDEX(elecCnH,1,4)*convFactor)</f>
        <v>13044.478985707288</v>
      </c>
      <c r="T128" s="22">
        <f ca="1">ts2bElec*SUMPRODUCT(tpSurvCnH,INDEX(tEIdxElec,16)*INDEX(elecCnH,1,4)*convFactor)</f>
        <v>13043.318412983654</v>
      </c>
      <c r="U128" s="22">
        <f ca="1">ts2bElec*SUMPRODUCT(tpSurvCnH,INDEX(tEIdxElec,17)*INDEX(elecCnH,1,4)*convFactor)</f>
        <v>13045.697354267435</v>
      </c>
      <c r="V128" s="22">
        <f ca="1">ts2bElec*SUMPRODUCT(tpSurvCnH,INDEX(tEIdxElec,18)*INDEX(elecCnH,1,4)*convFactor)</f>
        <v>13049.192397127428</v>
      </c>
      <c r="W128" s="22">
        <f ca="1">ts2bElec*SUMPRODUCT(tpSurvCnH,INDEX(tEIdxElec,19)*INDEX(elecCnH,1,4)*convFactor)</f>
        <v>13054.190792649599</v>
      </c>
      <c r="X128" s="22">
        <f ca="1">ts2bElec*SUMPRODUCT(tpSurvCnH,INDEX(tEIdxElec,20)*INDEX(elecCnH,1,4)*convFactor)</f>
        <v>13058.914222725172</v>
      </c>
      <c r="Y128" s="22">
        <f ca="1">ts2bElec*SUMPRODUCT(tpSurvCnH,INDEX(tEIdxElec,21)*INDEX(elecCnH,1,4)*convFactor)</f>
        <v>13062.82783708768</v>
      </c>
      <c r="Z128" s="22">
        <f ca="1">ts2bElec*SUMPRODUCT(tpSurvCnH,INDEX(tEIdxElec,22)*INDEX(elecCnH,1,4)*convFactor)</f>
        <v>13065.450512046471</v>
      </c>
      <c r="AA128" s="22">
        <f ca="1">ts2bElec*SUMPRODUCT(tpSurvCnH,INDEX(tEIdxElec,23)*INDEX(elecCnH,1,4)*convFactor)</f>
        <v>13067.179029426887</v>
      </c>
      <c r="AB128" s="22">
        <f ca="1">ts2bElec*SUMPRODUCT(tpSurvCnH,INDEX(tEIdxElec,24)*INDEX(elecCnH,1,4)*convFactor)</f>
        <v>13067.179029426887</v>
      </c>
      <c r="AC128" s="22">
        <f ca="1">ts2bElec*SUMPRODUCT(tpSurvCnH,INDEX(tEIdxElec,25)*INDEX(elecCnH,1,4)*convFactor)</f>
        <v>13067.179029426887</v>
      </c>
      <c r="AD128" s="22">
        <f ca="1">ts2bElec*SUMPRODUCT(tpSurvCnH,INDEX(tEIdxElec,26)*INDEX(elecCnH,1,4)*convFactor)</f>
        <v>13067.179029426887</v>
      </c>
      <c r="AE128" s="22">
        <f ca="1">ts2bElec*SUMPRODUCT(tpSurvCnH,INDEX(tEIdxElec,27)*INDEX(elecCnH,1,4)*convFactor)</f>
        <v>13067.179029426887</v>
      </c>
      <c r="AF128" s="22">
        <f ca="1">ts2bElec*SUMPRODUCT(tpSurvCnH,INDEX(tEIdxElec,28)*INDEX(elecCnH,1,4)*convFactor)</f>
        <v>13067.179029426887</v>
      </c>
      <c r="AG128" s="22">
        <f ca="1">ts2bElec*SUMPRODUCT(tpSurvCnH,INDEX(tEIdxElec,29)*INDEX(elecCnH,1,4)*convFactor)</f>
        <v>13067.179029426887</v>
      </c>
      <c r="AH128" s="22">
        <f ca="1">ts2bElec*SUMPRODUCT(tpSurvCnH,INDEX(tEIdxElec,30)*INDEX(elecCnH,1,4)*convFactor)</f>
        <v>13067.179029426887</v>
      </c>
      <c r="AI128" s="22">
        <f ca="1">ts2bElec*SUMPRODUCT(tpSurvCnH,INDEX(tEIdxElec,31)*INDEX(elecCnH,1,4)*convFactor)</f>
        <v>13067.179029426887</v>
      </c>
      <c r="AJ128" s="22">
        <f ca="1">ts2bElec*SUMPRODUCT(tpSurvCnH,INDEX(tEIdxElec,32)*INDEX(elecCnH,1,4)*convFactor)</f>
        <v>13067.179029426887</v>
      </c>
      <c r="AK128" s="25">
        <f ca="1">ts2bElec*SUMPRODUCT(tpSurvCnH,INDEX(tEIdxElec,33)*INDEX(elecCnH,1,4)*convFactor)</f>
        <v>13067.179029426887</v>
      </c>
      <c r="AL128" s="3"/>
    </row>
    <row r="129" spans="2:38">
      <c r="B129" s="3"/>
      <c r="C129" s="30" t="str">
        <f>"EL 4: " &amp; INDEX(_doName,3,5)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(1+INDEX(vadCnH,1,5))*INDEX(mspCnH,1,5)*tPIdxAll + INDEX(instCnH,1,5) + SUMPRODUCT(dFactor,tpSurvCnH,INDEX(mrCnH,1,5)*allOnes)</f>
        <v>1940.017004</v>
      </c>
      <c r="F130" s="28">
        <f ca="1"/>
        <v>1940.017004</v>
      </c>
      <c r="G130" s="28">
        <f ca="1"/>
        <v>1940.017004</v>
      </c>
      <c r="H130" s="28">
        <f ca="1"/>
        <v>1940.017004</v>
      </c>
      <c r="I130" s="28">
        <f ca="1"/>
        <v>1940.017004</v>
      </c>
      <c r="J130" s="28">
        <f ca="1"/>
        <v>1940.017004</v>
      </c>
      <c r="K130" s="28">
        <f ca="1"/>
        <v>1940.017004</v>
      </c>
      <c r="L130" s="28">
        <f ca="1"/>
        <v>1940.017004</v>
      </c>
      <c r="M130" s="28">
        <f ca="1"/>
        <v>1940.017004</v>
      </c>
      <c r="N130" s="28">
        <f ca="1"/>
        <v>1940.017004</v>
      </c>
      <c r="O130" s="28">
        <f ca="1"/>
        <v>1940.017004</v>
      </c>
      <c r="P130" s="28">
        <f ca="1"/>
        <v>1940.017004</v>
      </c>
      <c r="Q130" s="28">
        <f ca="1"/>
        <v>1940.017004</v>
      </c>
      <c r="R130" s="28">
        <f ca="1"/>
        <v>1940.017004</v>
      </c>
      <c r="S130" s="28">
        <f ca="1"/>
        <v>1940.017004</v>
      </c>
      <c r="T130" s="28">
        <f ca="1"/>
        <v>1940.017004</v>
      </c>
      <c r="U130" s="28">
        <f ca="1"/>
        <v>1940.017004</v>
      </c>
      <c r="V130" s="28">
        <f ca="1"/>
        <v>1940.017004</v>
      </c>
      <c r="W130" s="28">
        <f ca="1"/>
        <v>1940.017004</v>
      </c>
      <c r="X130" s="28">
        <f ca="1"/>
        <v>1940.017004</v>
      </c>
      <c r="Y130" s="28">
        <f ca="1"/>
        <v>1940.017004</v>
      </c>
      <c r="Z130" s="28">
        <f ca="1"/>
        <v>1940.017004</v>
      </c>
      <c r="AA130" s="28">
        <f ca="1"/>
        <v>1940.017004</v>
      </c>
      <c r="AB130" s="28">
        <f ca="1"/>
        <v>1940.017004</v>
      </c>
      <c r="AC130" s="28">
        <f ca="1"/>
        <v>1940.017004</v>
      </c>
      <c r="AD130" s="28">
        <f ca="1"/>
        <v>1940.017004</v>
      </c>
      <c r="AE130" s="28">
        <f ca="1"/>
        <v>1940.017004</v>
      </c>
      <c r="AF130" s="28">
        <f ca="1"/>
        <v>1940.017004</v>
      </c>
      <c r="AG130" s="28">
        <f ca="1"/>
        <v>1940.017004</v>
      </c>
      <c r="AH130" s="28">
        <f ca="1"/>
        <v>1940.017004</v>
      </c>
      <c r="AI130" s="28">
        <f ca="1"/>
        <v>1940.017004</v>
      </c>
      <c r="AJ130" s="28">
        <f ca="1"/>
        <v>1940.017004</v>
      </c>
      <c r="AK130" s="29">
        <f ca="1"/>
        <v>1940.017004</v>
      </c>
      <c r="AL130" s="3"/>
    </row>
    <row r="131" spans="2:38">
      <c r="B131" s="3"/>
      <c r="C131" s="23" t="s">
        <v>47</v>
      </c>
      <c r="D131" s="16" t="str">
        <f>_yearDol &amp; "$"</f>
        <v>2013$</v>
      </c>
      <c r="E131" s="141">
        <f t="array" aca="1" ref="E131:AK131" ca="1">(tlccEFubcElec4)</f>
        <v>95325.593069134775</v>
      </c>
      <c r="F131" s="28">
        <f ca="1"/>
        <v>95745.42945362741</v>
      </c>
      <c r="G131" s="28">
        <f ca="1"/>
        <v>96117.043428012039</v>
      </c>
      <c r="H131" s="28">
        <f ca="1"/>
        <v>96522.142091088695</v>
      </c>
      <c r="I131" s="28">
        <f ca="1"/>
        <v>96877.831493126345</v>
      </c>
      <c r="J131" s="28">
        <f ca="1"/>
        <v>97266.213979864595</v>
      </c>
      <c r="K131" s="28">
        <f ca="1"/>
        <v>97603.969837146462</v>
      </c>
      <c r="L131" s="28">
        <f ca="1"/>
        <v>97973.319737966522</v>
      </c>
      <c r="M131" s="28">
        <f ca="1"/>
        <v>98376.161521914488</v>
      </c>
      <c r="N131" s="28">
        <f ca="1"/>
        <v>98729.557492175663</v>
      </c>
      <c r="O131" s="28">
        <f ca="1"/>
        <v>99115.585262843611</v>
      </c>
      <c r="P131" s="28">
        <f ca="1"/>
        <v>99536.578302106078</v>
      </c>
      <c r="Q131" s="28">
        <f ca="1"/>
        <v>99909.669464811304</v>
      </c>
      <c r="R131" s="28">
        <f ca="1"/>
        <v>100316.6713835241</v>
      </c>
      <c r="S131" s="28">
        <f ca="1"/>
        <v>100674.70330240871</v>
      </c>
      <c r="T131" s="28">
        <f ca="1"/>
        <v>101065.80756764307</v>
      </c>
      <c r="U131" s="28">
        <f ca="1"/>
        <v>101492.49257683093</v>
      </c>
      <c r="V131" s="28">
        <f ca="1"/>
        <v>101871.69759286843</v>
      </c>
      <c r="W131" s="28">
        <f ca="1"/>
        <v>102285.60542885338</v>
      </c>
      <c r="X131" s="28">
        <f ca="1"/>
        <v>102651.32120210469</v>
      </c>
      <c r="Y131" s="28">
        <f ca="1"/>
        <v>103050.78009312109</v>
      </c>
      <c r="Z131" s="28">
        <f ca="1"/>
        <v>103486.60998226225</v>
      </c>
      <c r="AA131" s="28">
        <f ca="1"/>
        <v>103875.65087322866</v>
      </c>
      <c r="AB131" s="28">
        <f ca="1"/>
        <v>104300.26103293062</v>
      </c>
      <c r="AC131" s="28">
        <f ca="1"/>
        <v>104677.48368799849</v>
      </c>
      <c r="AD131" s="28">
        <f ca="1"/>
        <v>105089.35054746624</v>
      </c>
      <c r="AE131" s="28">
        <f ca="1"/>
        <v>105538.60891625041</v>
      </c>
      <c r="AF131" s="28">
        <f ca="1"/>
        <v>105942.21819147935</v>
      </c>
      <c r="AG131" s="28">
        <f ca="1"/>
        <v>106382.78601106355</v>
      </c>
      <c r="AH131" s="28">
        <f ca="1"/>
        <v>106777.11617089619</v>
      </c>
      <c r="AI131" s="28">
        <f ca="1"/>
        <v>107207.67899211333</v>
      </c>
      <c r="AJ131" s="28">
        <f ca="1"/>
        <v>107591.51693601036</v>
      </c>
      <c r="AK131" s="29">
        <f ca="1"/>
        <v>108010.84141716498</v>
      </c>
      <c r="AL131" s="3"/>
    </row>
    <row r="132" spans="2:38">
      <c r="B132" s="3"/>
      <c r="C132" s="27" t="str">
        <f>INDEX(_fuel,1)</f>
        <v>Electricity</v>
      </c>
      <c r="D132" s="16" t="str">
        <f>_yearDol &amp; "$"</f>
        <v>2013$</v>
      </c>
      <c r="E132" s="141">
        <f ca="1">SUMPRODUCT(dFactor,tpSurvCnH,INDEX(tEIdxElec,1)*INDEX(elecCnH,1,5)*allOnes,OFFSET(tPrcElec,0,0,1,_maxLT))</f>
        <v>95325.593069134775</v>
      </c>
      <c r="F132" s="28">
        <f ca="1">SUMPRODUCT(dFactor,tpSurvCnH,INDEX(tEIdxElec,2)*INDEX(elecCnH,1,5)*allOnes,OFFSET(tPrcElec,0,1,1,_maxLT))</f>
        <v>95745.42945362741</v>
      </c>
      <c r="G132" s="28">
        <f ca="1">SUMPRODUCT(dFactor,tpSurvCnH,INDEX(tEIdxElec,3)*INDEX(elecCnH,1,5)*allOnes,OFFSET(tPrcElec,0,2,1,_maxLT))</f>
        <v>96117.043428012039</v>
      </c>
      <c r="H132" s="28">
        <f ca="1">SUMPRODUCT(dFactor,tpSurvCnH,INDEX(tEIdxElec,4)*INDEX(elecCnH,1,5)*allOnes,OFFSET(tPrcElec,0,3,1,_maxLT))</f>
        <v>96522.142091088695</v>
      </c>
      <c r="I132" s="28">
        <f ca="1">SUMPRODUCT(dFactor,tpSurvCnH,INDEX(tEIdxElec,5)*INDEX(elecCnH,1,5)*allOnes,OFFSET(tPrcElec,0,4,1,_maxLT))</f>
        <v>96877.831493126345</v>
      </c>
      <c r="J132" s="28">
        <f ca="1">SUMPRODUCT(dFactor,tpSurvCnH,INDEX(tEIdxElec,6)*INDEX(elecCnH,1,5)*allOnes,OFFSET(tPrcElec,0,5,1,_maxLT))</f>
        <v>97266.213979864595</v>
      </c>
      <c r="K132" s="28">
        <f ca="1">SUMPRODUCT(dFactor,tpSurvCnH,INDEX(tEIdxElec,7)*INDEX(elecCnH,1,5)*allOnes,OFFSET(tPrcElec,0,6,1,_maxLT))</f>
        <v>97603.969837146462</v>
      </c>
      <c r="L132" s="28">
        <f ca="1">SUMPRODUCT(dFactor,tpSurvCnH,INDEX(tEIdxElec,8)*INDEX(elecCnH,1,5)*allOnes,OFFSET(tPrcElec,0,7,1,_maxLT))</f>
        <v>97973.319737966522</v>
      </c>
      <c r="M132" s="28">
        <f ca="1">SUMPRODUCT(dFactor,tpSurvCnH,INDEX(tEIdxElec,9)*INDEX(elecCnH,1,5)*allOnes,OFFSET(tPrcElec,0,8,1,_maxLT))</f>
        <v>98376.161521914488</v>
      </c>
      <c r="N132" s="28">
        <f ca="1">SUMPRODUCT(dFactor,tpSurvCnH,INDEX(tEIdxElec,10)*INDEX(elecCnH,1,5)*allOnes,OFFSET(tPrcElec,0,9,1,_maxLT))</f>
        <v>98729.557492175663</v>
      </c>
      <c r="O132" s="28">
        <f ca="1">SUMPRODUCT(dFactor,tpSurvCnH,INDEX(tEIdxElec,11)*INDEX(elecCnH,1,5)*allOnes,OFFSET(tPrcElec,0,10,1,_maxLT))</f>
        <v>99115.585262843611</v>
      </c>
      <c r="P132" s="28">
        <f ca="1">SUMPRODUCT(dFactor,tpSurvCnH,INDEX(tEIdxElec,12)*INDEX(elecCnH,1,5)*allOnes,OFFSET(tPrcElec,0,11,1,_maxLT))</f>
        <v>99536.578302106078</v>
      </c>
      <c r="Q132" s="28">
        <f ca="1">SUMPRODUCT(dFactor,tpSurvCnH,INDEX(tEIdxElec,13)*INDEX(elecCnH,1,5)*allOnes,OFFSET(tPrcElec,0,12,1,_maxLT))</f>
        <v>99909.669464811304</v>
      </c>
      <c r="R132" s="28">
        <f ca="1">SUMPRODUCT(dFactor,tpSurvCnH,INDEX(tEIdxElec,14)*INDEX(elecCnH,1,5)*allOnes,OFFSET(tPrcElec,0,13,1,_maxLT))</f>
        <v>100316.6713835241</v>
      </c>
      <c r="S132" s="28">
        <f ca="1">SUMPRODUCT(dFactor,tpSurvCnH,INDEX(tEIdxElec,15)*INDEX(elecCnH,1,5)*allOnes,OFFSET(tPrcElec,0,14,1,_maxLT))</f>
        <v>100674.70330240871</v>
      </c>
      <c r="T132" s="28">
        <f ca="1">SUMPRODUCT(dFactor,tpSurvCnH,INDEX(tEIdxElec,16)*INDEX(elecCnH,1,5)*allOnes,OFFSET(tPrcElec,0,15,1,_maxLT))</f>
        <v>101065.80756764307</v>
      </c>
      <c r="U132" s="28">
        <f ca="1">SUMPRODUCT(dFactor,tpSurvCnH,INDEX(tEIdxElec,17)*INDEX(elecCnH,1,5)*allOnes,OFFSET(tPrcElec,0,16,1,_maxLT))</f>
        <v>101492.49257683093</v>
      </c>
      <c r="V132" s="28">
        <f ca="1">SUMPRODUCT(dFactor,tpSurvCnH,INDEX(tEIdxElec,18)*INDEX(elecCnH,1,5)*allOnes,OFFSET(tPrcElec,0,17,1,_maxLT))</f>
        <v>101871.69759286843</v>
      </c>
      <c r="W132" s="28">
        <f ca="1">SUMPRODUCT(dFactor,tpSurvCnH,INDEX(tEIdxElec,19)*INDEX(elecCnH,1,5)*allOnes,OFFSET(tPrcElec,0,18,1,_maxLT))</f>
        <v>102285.60542885338</v>
      </c>
      <c r="X132" s="28">
        <f ca="1">SUMPRODUCT(dFactor,tpSurvCnH,INDEX(tEIdxElec,20)*INDEX(elecCnH,1,5)*allOnes,OFFSET(tPrcElec,0,19,1,_maxLT))</f>
        <v>102651.32120210469</v>
      </c>
      <c r="Y132" s="28">
        <f ca="1">SUMPRODUCT(dFactor,tpSurvCnH,INDEX(tEIdxElec,21)*INDEX(elecCnH,1,5)*allOnes,OFFSET(tPrcElec,0,20,1,_maxLT))</f>
        <v>103050.78009312109</v>
      </c>
      <c r="Z132" s="28">
        <f ca="1">SUMPRODUCT(dFactor,tpSurvCnH,INDEX(tEIdxElec,22)*INDEX(elecCnH,1,5)*allOnes,OFFSET(tPrcElec,0,21,1,_maxLT))</f>
        <v>103486.60998226225</v>
      </c>
      <c r="AA132" s="28">
        <f ca="1">SUMPRODUCT(dFactor,tpSurvCnH,INDEX(tEIdxElec,23)*INDEX(elecCnH,1,5)*allOnes,OFFSET(tPrcElec,0,22,1,_maxLT))</f>
        <v>103875.65087322866</v>
      </c>
      <c r="AB132" s="28">
        <f ca="1">SUMPRODUCT(dFactor,tpSurvCnH,INDEX(tEIdxElec,24)*INDEX(elecCnH,1,5)*allOnes,OFFSET(tPrcElec,0,23,1,_maxLT))</f>
        <v>104300.26103293062</v>
      </c>
      <c r="AC132" s="28">
        <f ca="1">SUMPRODUCT(dFactor,tpSurvCnH,INDEX(tEIdxElec,25)*INDEX(elecCnH,1,5)*allOnes,OFFSET(tPrcElec,0,24,1,_maxLT))</f>
        <v>104677.48368799849</v>
      </c>
      <c r="AD132" s="28">
        <f ca="1">SUMPRODUCT(dFactor,tpSurvCnH,INDEX(tEIdxElec,26)*INDEX(elecCnH,1,5)*allOnes,OFFSET(tPrcElec,0,25,1,_maxLT))</f>
        <v>105089.35054746624</v>
      </c>
      <c r="AE132" s="28">
        <f ca="1">SUMPRODUCT(dFactor,tpSurvCnH,INDEX(tEIdxElec,27)*INDEX(elecCnH,1,5)*allOnes,OFFSET(tPrcElec,0,26,1,_maxLT))</f>
        <v>105538.60891625041</v>
      </c>
      <c r="AF132" s="28">
        <f ca="1">SUMPRODUCT(dFactor,tpSurvCnH,INDEX(tEIdxElec,28)*INDEX(elecCnH,1,5)*allOnes,OFFSET(tPrcElec,0,27,1,_maxLT))</f>
        <v>105942.21819147935</v>
      </c>
      <c r="AG132" s="28">
        <f ca="1">SUMPRODUCT(dFactor,tpSurvCnH,INDEX(tEIdxElec,29)*INDEX(elecCnH,1,5)*allOnes,OFFSET(tPrcElec,0,28,1,_maxLT))</f>
        <v>106382.78601106355</v>
      </c>
      <c r="AH132" s="28">
        <f ca="1">SUMPRODUCT(dFactor,tpSurvCnH,INDEX(tEIdxElec,30)*INDEX(elecCnH,1,5)*allOnes,OFFSET(tPrcElec,0,29,1,_maxLT))</f>
        <v>106777.11617089619</v>
      </c>
      <c r="AI132" s="28">
        <f ca="1">SUMPRODUCT(dFactor,tpSurvCnH,INDEX(tEIdxElec,31)*INDEX(elecCnH,1,5)*allOnes,OFFSET(tPrcElec,0,30,1,_maxLT))</f>
        <v>107207.67899211333</v>
      </c>
      <c r="AJ132" s="28">
        <f ca="1">SUMPRODUCT(dFactor,tpSurvCnH,INDEX(tEIdxElec,32)*INDEX(elecCnH,1,5)*allOnes,OFFSET(tPrcElec,0,31,1,_maxLT))</f>
        <v>107591.51693601036</v>
      </c>
      <c r="AK132" s="29">
        <f ca="1">SUMPRODUCT(dFactor,tpSurvCnH,INDEX(tEIdxElec,33)*INDEX(elecCnH,1,5)*allOnes,OFFSET(tPrcElec,0,32,1,_maxLT))</f>
        <v>108010.84141716498</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ts2bElec*SUMPRODUCT(tpSurvCnH,INDEX(tEIdxElec,1)*INDEX(elecCnH,1,5)*convFactor)</f>
        <v>20292.792574602518</v>
      </c>
      <c r="F134" s="22">
        <f ca="1">ts2bElec*SUMPRODUCT(tpSurvCnH,INDEX(tEIdxElec,2)*INDEX(elecCnH,1,5)*convFactor)</f>
        <v>20141.10747230145</v>
      </c>
      <c r="G134" s="22">
        <f ca="1">ts2bElec*SUMPRODUCT(tpSurvCnH,INDEX(tEIdxElec,3)*INDEX(elecCnH,1,5)*convFactor)</f>
        <v>19988.279031849772</v>
      </c>
      <c r="H134" s="22">
        <f ca="1">ts2bElec*SUMPRODUCT(tpSurvCnH,INDEX(tEIdxElec,4)*INDEX(elecCnH,1,5)*convFactor)</f>
        <v>19854.053572736855</v>
      </c>
      <c r="I134" s="22">
        <f ca="1">ts2bElec*SUMPRODUCT(tpSurvCnH,INDEX(tEIdxElec,5)*INDEX(elecCnH,1,5)*convFactor)</f>
        <v>19726.778307113353</v>
      </c>
      <c r="J134" s="22">
        <f ca="1">ts2bElec*SUMPRODUCT(tpSurvCnH,INDEX(tEIdxElec,6)*INDEX(elecCnH,1,5)*convFactor)</f>
        <v>19615.936667622675</v>
      </c>
      <c r="K134" s="22">
        <f ca="1">ts2bElec*SUMPRODUCT(tpSurvCnH,INDEX(tEIdxElec,7)*INDEX(elecCnH,1,5)*convFactor)</f>
        <v>19529.978121256507</v>
      </c>
      <c r="L134" s="22">
        <f ca="1">ts2bElec*SUMPRODUCT(tpSurvCnH,INDEX(tEIdxElec,8)*INDEX(elecCnH,1,5)*convFactor)</f>
        <v>19458.722612629859</v>
      </c>
      <c r="M134" s="22">
        <f ca="1">ts2bElec*SUMPRODUCT(tpSurvCnH,INDEX(tEIdxElec,9)*INDEX(elecCnH,1,5)*convFactor)</f>
        <v>19387.15926670612</v>
      </c>
      <c r="N134" s="22">
        <f ca="1">ts2bElec*SUMPRODUCT(tpSurvCnH,INDEX(tEIdxElec,10)*INDEX(elecCnH,1,5)*convFactor)</f>
        <v>19329.92639330784</v>
      </c>
      <c r="O134" s="22">
        <f ca="1">ts2bElec*SUMPRODUCT(tpSurvCnH,INDEX(tEIdxElec,11)*INDEX(elecCnH,1,5)*convFactor)</f>
        <v>19290.511080076129</v>
      </c>
      <c r="P134" s="22">
        <f ca="1">ts2bElec*SUMPRODUCT(tpSurvCnH,INDEX(tEIdxElec,12)*INDEX(elecCnH,1,5)*convFactor)</f>
        <v>19261.672875232656</v>
      </c>
      <c r="Q134" s="22">
        <f ca="1">ts2bElec*SUMPRODUCT(tpSurvCnH,INDEX(tEIdxElec,13)*INDEX(elecCnH,1,5)*convFactor)</f>
        <v>19237.409753200336</v>
      </c>
      <c r="R134" s="22">
        <f ca="1">ts2bElec*SUMPRODUCT(tpSurvCnH,INDEX(tEIdxElec,14)*INDEX(elecCnH,1,5)*convFactor)</f>
        <v>19219.513227421128</v>
      </c>
      <c r="S134" s="22">
        <f ca="1">ts2bElec*SUMPRODUCT(tpSurvCnH,INDEX(tEIdxElec,15)*INDEX(elecCnH,1,5)*convFactor)</f>
        <v>19205.871609584483</v>
      </c>
      <c r="T134" s="22">
        <f ca="1">ts2bElec*SUMPRODUCT(tpSurvCnH,INDEX(tEIdxElec,16)*INDEX(elecCnH,1,5)*convFactor)</f>
        <v>19204.162855195125</v>
      </c>
      <c r="U134" s="22">
        <f ca="1">ts2bElec*SUMPRODUCT(tpSurvCnH,INDEX(tEIdxElec,17)*INDEX(elecCnH,1,5)*convFactor)</f>
        <v>19207.665458933694</v>
      </c>
      <c r="V134" s="22">
        <f ca="1">ts2bElec*SUMPRODUCT(tpSurvCnH,INDEX(tEIdxElec,18)*INDEX(elecCnH,1,5)*convFactor)</f>
        <v>19212.811340537137</v>
      </c>
      <c r="W134" s="22">
        <f ca="1">ts2bElec*SUMPRODUCT(tpSurvCnH,INDEX(tEIdxElec,19)*INDEX(elecCnH,1,5)*convFactor)</f>
        <v>19220.170664183403</v>
      </c>
      <c r="X134" s="22">
        <f ca="1">ts2bElec*SUMPRODUCT(tpSurvCnH,INDEX(tEIdxElec,20)*INDEX(elecCnH,1,5)*convFactor)</f>
        <v>19227.1251459751</v>
      </c>
      <c r="Y134" s="22">
        <f ca="1">ts2bElec*SUMPRODUCT(tpSurvCnH,INDEX(tEIdxElec,21)*INDEX(elecCnH,1,5)*convFactor)</f>
        <v>19232.887305970769</v>
      </c>
      <c r="Z134" s="22">
        <f ca="1">ts2bElec*SUMPRODUCT(tpSurvCnH,INDEX(tEIdxElec,22)*INDEX(elecCnH,1,5)*convFactor)</f>
        <v>19236.748767864909</v>
      </c>
      <c r="AA134" s="22">
        <f ca="1">ts2bElec*SUMPRODUCT(tpSurvCnH,INDEX(tEIdxElec,23)*INDEX(elecCnH,1,5)*convFactor)</f>
        <v>19239.293728297562</v>
      </c>
      <c r="AB134" s="22">
        <f ca="1">ts2bElec*SUMPRODUCT(tpSurvCnH,INDEX(tEIdxElec,24)*INDEX(elecCnH,1,5)*convFactor)</f>
        <v>19239.293728297562</v>
      </c>
      <c r="AC134" s="22">
        <f ca="1">ts2bElec*SUMPRODUCT(tpSurvCnH,INDEX(tEIdxElec,25)*INDEX(elecCnH,1,5)*convFactor)</f>
        <v>19239.293728297562</v>
      </c>
      <c r="AD134" s="22">
        <f ca="1">ts2bElec*SUMPRODUCT(tpSurvCnH,INDEX(tEIdxElec,26)*INDEX(elecCnH,1,5)*convFactor)</f>
        <v>19239.293728297562</v>
      </c>
      <c r="AE134" s="22">
        <f ca="1">ts2bElec*SUMPRODUCT(tpSurvCnH,INDEX(tEIdxElec,27)*INDEX(elecCnH,1,5)*convFactor)</f>
        <v>19239.293728297562</v>
      </c>
      <c r="AF134" s="22">
        <f ca="1">ts2bElec*SUMPRODUCT(tpSurvCnH,INDEX(tEIdxElec,28)*INDEX(elecCnH,1,5)*convFactor)</f>
        <v>19239.293728297562</v>
      </c>
      <c r="AG134" s="22">
        <f ca="1">ts2bElec*SUMPRODUCT(tpSurvCnH,INDEX(tEIdxElec,29)*INDEX(elecCnH,1,5)*convFactor)</f>
        <v>19239.293728297562</v>
      </c>
      <c r="AH134" s="22">
        <f ca="1">ts2bElec*SUMPRODUCT(tpSurvCnH,INDEX(tEIdxElec,30)*INDEX(elecCnH,1,5)*convFactor)</f>
        <v>19239.293728297562</v>
      </c>
      <c r="AI134" s="22">
        <f ca="1">ts2bElec*SUMPRODUCT(tpSurvCnH,INDEX(tEIdxElec,31)*INDEX(elecCnH,1,5)*convFactor)</f>
        <v>19239.293728297562</v>
      </c>
      <c r="AJ134" s="22">
        <f ca="1">ts2bElec*SUMPRODUCT(tpSurvCnH,INDEX(tEIdxElec,32)*INDEX(elecCnH,1,5)*convFactor)</f>
        <v>19239.293728297562</v>
      </c>
      <c r="AK134" s="25">
        <f ca="1">ts2bElec*SUMPRODUCT(tpSurvCnH,INDEX(tEIdxElec,33)*INDEX(elecCnH,1,5)*convFactor)</f>
        <v>19239.293728297562</v>
      </c>
      <c r="AL134" s="3"/>
    </row>
    <row r="135" spans="2:38">
      <c r="B135" s="3"/>
      <c r="C135" s="30" t="str">
        <f>"EL 5: " &amp; INDEX(_doName,3,6)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(1+INDEX(vadCnH,1,6))*INDEX(mspCnH,1,6)*tPIdxAll + INDEX(instCnH,1,6) + SUMPRODUCT(dFactor,tpSurvCnH,INDEX(mrCnH,1,6)*allOnes)</f>
        <v>2394.9557949999999</v>
      </c>
      <c r="F136" s="28">
        <f ca="1"/>
        <v>2394.9557949999999</v>
      </c>
      <c r="G136" s="28">
        <f ca="1"/>
        <v>2394.9557949999999</v>
      </c>
      <c r="H136" s="28">
        <f ca="1"/>
        <v>2394.9557949999999</v>
      </c>
      <c r="I136" s="28">
        <f ca="1"/>
        <v>2394.9557949999999</v>
      </c>
      <c r="J136" s="28">
        <f ca="1"/>
        <v>2394.9557949999999</v>
      </c>
      <c r="K136" s="28">
        <f ca="1"/>
        <v>2394.9557949999999</v>
      </c>
      <c r="L136" s="28">
        <f ca="1"/>
        <v>2394.9557949999999</v>
      </c>
      <c r="M136" s="28">
        <f ca="1"/>
        <v>2394.9557949999999</v>
      </c>
      <c r="N136" s="28">
        <f ca="1"/>
        <v>2394.9557949999999</v>
      </c>
      <c r="O136" s="28">
        <f ca="1"/>
        <v>2394.9557949999999</v>
      </c>
      <c r="P136" s="28">
        <f ca="1"/>
        <v>2394.9557949999999</v>
      </c>
      <c r="Q136" s="28">
        <f ca="1"/>
        <v>2394.9557949999999</v>
      </c>
      <c r="R136" s="28">
        <f ca="1"/>
        <v>2394.9557949999999</v>
      </c>
      <c r="S136" s="28">
        <f ca="1"/>
        <v>2394.9557949999999</v>
      </c>
      <c r="T136" s="28">
        <f ca="1"/>
        <v>2394.9557949999999</v>
      </c>
      <c r="U136" s="28">
        <f ca="1"/>
        <v>2394.9557949999999</v>
      </c>
      <c r="V136" s="28">
        <f ca="1"/>
        <v>2394.9557949999999</v>
      </c>
      <c r="W136" s="28">
        <f ca="1"/>
        <v>2394.9557949999999</v>
      </c>
      <c r="X136" s="28">
        <f ca="1"/>
        <v>2394.9557949999999</v>
      </c>
      <c r="Y136" s="28">
        <f ca="1"/>
        <v>2394.9557949999999</v>
      </c>
      <c r="Z136" s="28">
        <f ca="1"/>
        <v>2394.9557949999999</v>
      </c>
      <c r="AA136" s="28">
        <f ca="1"/>
        <v>2394.9557949999999</v>
      </c>
      <c r="AB136" s="28">
        <f ca="1"/>
        <v>2394.9557949999999</v>
      </c>
      <c r="AC136" s="28">
        <f ca="1"/>
        <v>2394.9557949999999</v>
      </c>
      <c r="AD136" s="28">
        <f ca="1"/>
        <v>2394.9557949999999</v>
      </c>
      <c r="AE136" s="28">
        <f ca="1"/>
        <v>2394.9557949999999</v>
      </c>
      <c r="AF136" s="28">
        <f ca="1"/>
        <v>2394.9557949999999</v>
      </c>
      <c r="AG136" s="28">
        <f ca="1"/>
        <v>2394.9557949999999</v>
      </c>
      <c r="AH136" s="28">
        <f ca="1"/>
        <v>2394.9557949999999</v>
      </c>
      <c r="AI136" s="28">
        <f ca="1"/>
        <v>2394.9557949999999</v>
      </c>
      <c r="AJ136" s="28">
        <f ca="1"/>
        <v>2394.9557949999999</v>
      </c>
      <c r="AK136" s="29">
        <f ca="1"/>
        <v>2394.9557949999999</v>
      </c>
      <c r="AL136" s="3"/>
    </row>
    <row r="137" spans="2:38">
      <c r="B137" s="3"/>
      <c r="C137" s="23" t="s">
        <v>47</v>
      </c>
      <c r="D137" s="16" t="str">
        <f>_yearDol &amp; "$"</f>
        <v>2013$</v>
      </c>
      <c r="E137" s="141">
        <f t="array" aca="1" ref="E137:AK137" ca="1">(tlccEFubcElec5)</f>
        <v>74428.252800356553</v>
      </c>
      <c r="F137" s="28">
        <f ca="1"/>
        <v>74756.052371843514</v>
      </c>
      <c r="G137" s="28">
        <f ca="1"/>
        <v>75046.200882218734</v>
      </c>
      <c r="H137" s="28">
        <f ca="1"/>
        <v>75362.493545435558</v>
      </c>
      <c r="I137" s="28">
        <f ca="1"/>
        <v>75640.208478864442</v>
      </c>
      <c r="J137" s="28">
        <f ca="1"/>
        <v>75943.449497099908</v>
      </c>
      <c r="K137" s="28">
        <f ca="1"/>
        <v>76207.162289448752</v>
      </c>
      <c r="L137" s="28">
        <f ca="1"/>
        <v>76495.543057980482</v>
      </c>
      <c r="M137" s="28">
        <f ca="1"/>
        <v>76810.07359662067</v>
      </c>
      <c r="N137" s="28">
        <f ca="1"/>
        <v>77085.997865921076</v>
      </c>
      <c r="O137" s="28">
        <f ca="1"/>
        <v>77387.400370518051</v>
      </c>
      <c r="P137" s="28">
        <f ca="1"/>
        <v>77716.103034142638</v>
      </c>
      <c r="Q137" s="28">
        <f ca="1"/>
        <v>78007.404902626833</v>
      </c>
      <c r="R137" s="28">
        <f ca="1"/>
        <v>78325.183588506246</v>
      </c>
      <c r="S137" s="28">
        <f ca="1"/>
        <v>78604.727510672179</v>
      </c>
      <c r="T137" s="28">
        <f ca="1"/>
        <v>78910.093637301441</v>
      </c>
      <c r="U137" s="28">
        <f ca="1"/>
        <v>79243.240473397498</v>
      </c>
      <c r="V137" s="28">
        <f ca="1"/>
        <v>79539.315912197431</v>
      </c>
      <c r="W137" s="28">
        <f ca="1"/>
        <v>79862.486595545692</v>
      </c>
      <c r="X137" s="28">
        <f ca="1"/>
        <v>80148.029912384925</v>
      </c>
      <c r="Y137" s="28">
        <f ca="1"/>
        <v>80459.919158144563</v>
      </c>
      <c r="Z137" s="28">
        <f ca="1"/>
        <v>80800.206127494108</v>
      </c>
      <c r="AA137" s="28">
        <f ca="1"/>
        <v>81103.961214142444</v>
      </c>
      <c r="AB137" s="28">
        <f ca="1"/>
        <v>81435.488050644562</v>
      </c>
      <c r="AC137" s="28">
        <f ca="1"/>
        <v>81730.015702972451</v>
      </c>
      <c r="AD137" s="28">
        <f ca="1"/>
        <v>82051.592834040726</v>
      </c>
      <c r="AE137" s="28">
        <f ca="1"/>
        <v>82402.364482744684</v>
      </c>
      <c r="AF137" s="28">
        <f ca="1"/>
        <v>82717.49426271391</v>
      </c>
      <c r="AG137" s="28">
        <f ca="1"/>
        <v>83061.480510225985</v>
      </c>
      <c r="AH137" s="28">
        <f ca="1"/>
        <v>83369.365348682171</v>
      </c>
      <c r="AI137" s="28">
        <f ca="1"/>
        <v>83705.539900260788</v>
      </c>
      <c r="AJ137" s="28">
        <f ca="1"/>
        <v>84005.232633376203</v>
      </c>
      <c r="AK137" s="29">
        <f ca="1"/>
        <v>84332.632521317282</v>
      </c>
      <c r="AL137" s="3"/>
    </row>
    <row r="138" spans="2:38">
      <c r="B138" s="3"/>
      <c r="C138" s="27" t="str">
        <f>INDEX(_fuel,1)</f>
        <v>Electricity</v>
      </c>
      <c r="D138" s="16" t="str">
        <f>_yearDol &amp; "$"</f>
        <v>2013$</v>
      </c>
      <c r="E138" s="141">
        <f ca="1">SUMPRODUCT(dFactor,tpSurvCnH,INDEX(tEIdxElec,1)*INDEX(elecCnH,1,6)*allOnes,OFFSET(tPrcElec,0,0,1,_maxLT))</f>
        <v>74428.252800356553</v>
      </c>
      <c r="F138" s="28">
        <f ca="1">SUMPRODUCT(dFactor,tpSurvCnH,INDEX(tEIdxElec,2)*INDEX(elecCnH,1,6)*allOnes,OFFSET(tPrcElec,0,1,1,_maxLT))</f>
        <v>74756.052371843514</v>
      </c>
      <c r="G138" s="28">
        <f ca="1">SUMPRODUCT(dFactor,tpSurvCnH,INDEX(tEIdxElec,3)*INDEX(elecCnH,1,6)*allOnes,OFFSET(tPrcElec,0,2,1,_maxLT))</f>
        <v>75046.200882218734</v>
      </c>
      <c r="H138" s="28">
        <f ca="1">SUMPRODUCT(dFactor,tpSurvCnH,INDEX(tEIdxElec,4)*INDEX(elecCnH,1,6)*allOnes,OFFSET(tPrcElec,0,3,1,_maxLT))</f>
        <v>75362.493545435558</v>
      </c>
      <c r="I138" s="28">
        <f ca="1">SUMPRODUCT(dFactor,tpSurvCnH,INDEX(tEIdxElec,5)*INDEX(elecCnH,1,6)*allOnes,OFFSET(tPrcElec,0,4,1,_maxLT))</f>
        <v>75640.208478864442</v>
      </c>
      <c r="J138" s="28">
        <f ca="1">SUMPRODUCT(dFactor,tpSurvCnH,INDEX(tEIdxElec,6)*INDEX(elecCnH,1,6)*allOnes,OFFSET(tPrcElec,0,5,1,_maxLT))</f>
        <v>75943.449497099908</v>
      </c>
      <c r="K138" s="28">
        <f ca="1">SUMPRODUCT(dFactor,tpSurvCnH,INDEX(tEIdxElec,7)*INDEX(elecCnH,1,6)*allOnes,OFFSET(tPrcElec,0,6,1,_maxLT))</f>
        <v>76207.162289448752</v>
      </c>
      <c r="L138" s="28">
        <f ca="1">SUMPRODUCT(dFactor,tpSurvCnH,INDEX(tEIdxElec,8)*INDEX(elecCnH,1,6)*allOnes,OFFSET(tPrcElec,0,7,1,_maxLT))</f>
        <v>76495.543057980482</v>
      </c>
      <c r="M138" s="28">
        <f ca="1">SUMPRODUCT(dFactor,tpSurvCnH,INDEX(tEIdxElec,9)*INDEX(elecCnH,1,6)*allOnes,OFFSET(tPrcElec,0,8,1,_maxLT))</f>
        <v>76810.07359662067</v>
      </c>
      <c r="N138" s="28">
        <f ca="1">SUMPRODUCT(dFactor,tpSurvCnH,INDEX(tEIdxElec,10)*INDEX(elecCnH,1,6)*allOnes,OFFSET(tPrcElec,0,9,1,_maxLT))</f>
        <v>77085.997865921076</v>
      </c>
      <c r="O138" s="28">
        <f ca="1">SUMPRODUCT(dFactor,tpSurvCnH,INDEX(tEIdxElec,11)*INDEX(elecCnH,1,6)*allOnes,OFFSET(tPrcElec,0,10,1,_maxLT))</f>
        <v>77387.400370518051</v>
      </c>
      <c r="P138" s="28">
        <f ca="1">SUMPRODUCT(dFactor,tpSurvCnH,INDEX(tEIdxElec,12)*INDEX(elecCnH,1,6)*allOnes,OFFSET(tPrcElec,0,11,1,_maxLT))</f>
        <v>77716.103034142638</v>
      </c>
      <c r="Q138" s="28">
        <f ca="1">SUMPRODUCT(dFactor,tpSurvCnH,INDEX(tEIdxElec,13)*INDEX(elecCnH,1,6)*allOnes,OFFSET(tPrcElec,0,12,1,_maxLT))</f>
        <v>78007.404902626833</v>
      </c>
      <c r="R138" s="28">
        <f ca="1">SUMPRODUCT(dFactor,tpSurvCnH,INDEX(tEIdxElec,14)*INDEX(elecCnH,1,6)*allOnes,OFFSET(tPrcElec,0,13,1,_maxLT))</f>
        <v>78325.183588506246</v>
      </c>
      <c r="S138" s="28">
        <f ca="1">SUMPRODUCT(dFactor,tpSurvCnH,INDEX(tEIdxElec,15)*INDEX(elecCnH,1,6)*allOnes,OFFSET(tPrcElec,0,14,1,_maxLT))</f>
        <v>78604.727510672179</v>
      </c>
      <c r="T138" s="28">
        <f ca="1">SUMPRODUCT(dFactor,tpSurvCnH,INDEX(tEIdxElec,16)*INDEX(elecCnH,1,6)*allOnes,OFFSET(tPrcElec,0,15,1,_maxLT))</f>
        <v>78910.093637301441</v>
      </c>
      <c r="U138" s="28">
        <f ca="1">SUMPRODUCT(dFactor,tpSurvCnH,INDEX(tEIdxElec,17)*INDEX(elecCnH,1,6)*allOnes,OFFSET(tPrcElec,0,16,1,_maxLT))</f>
        <v>79243.240473397498</v>
      </c>
      <c r="V138" s="28">
        <f ca="1">SUMPRODUCT(dFactor,tpSurvCnH,INDEX(tEIdxElec,18)*INDEX(elecCnH,1,6)*allOnes,OFFSET(tPrcElec,0,17,1,_maxLT))</f>
        <v>79539.315912197431</v>
      </c>
      <c r="W138" s="28">
        <f ca="1">SUMPRODUCT(dFactor,tpSurvCnH,INDEX(tEIdxElec,19)*INDEX(elecCnH,1,6)*allOnes,OFFSET(tPrcElec,0,18,1,_maxLT))</f>
        <v>79862.486595545692</v>
      </c>
      <c r="X138" s="28">
        <f ca="1">SUMPRODUCT(dFactor,tpSurvCnH,INDEX(tEIdxElec,20)*INDEX(elecCnH,1,6)*allOnes,OFFSET(tPrcElec,0,19,1,_maxLT))</f>
        <v>80148.029912384925</v>
      </c>
      <c r="Y138" s="28">
        <f ca="1">SUMPRODUCT(dFactor,tpSurvCnH,INDEX(tEIdxElec,21)*INDEX(elecCnH,1,6)*allOnes,OFFSET(tPrcElec,0,20,1,_maxLT))</f>
        <v>80459.919158144563</v>
      </c>
      <c r="Z138" s="28">
        <f ca="1">SUMPRODUCT(dFactor,tpSurvCnH,INDEX(tEIdxElec,22)*INDEX(elecCnH,1,6)*allOnes,OFFSET(tPrcElec,0,21,1,_maxLT))</f>
        <v>80800.206127494108</v>
      </c>
      <c r="AA138" s="28">
        <f ca="1">SUMPRODUCT(dFactor,tpSurvCnH,INDEX(tEIdxElec,23)*INDEX(elecCnH,1,6)*allOnes,OFFSET(tPrcElec,0,22,1,_maxLT))</f>
        <v>81103.961214142444</v>
      </c>
      <c r="AB138" s="28">
        <f ca="1">SUMPRODUCT(dFactor,tpSurvCnH,INDEX(tEIdxElec,24)*INDEX(elecCnH,1,6)*allOnes,OFFSET(tPrcElec,0,23,1,_maxLT))</f>
        <v>81435.488050644562</v>
      </c>
      <c r="AC138" s="28">
        <f ca="1">SUMPRODUCT(dFactor,tpSurvCnH,INDEX(tEIdxElec,25)*INDEX(elecCnH,1,6)*allOnes,OFFSET(tPrcElec,0,24,1,_maxLT))</f>
        <v>81730.015702972451</v>
      </c>
      <c r="AD138" s="28">
        <f ca="1">SUMPRODUCT(dFactor,tpSurvCnH,INDEX(tEIdxElec,26)*INDEX(elecCnH,1,6)*allOnes,OFFSET(tPrcElec,0,25,1,_maxLT))</f>
        <v>82051.592834040726</v>
      </c>
      <c r="AE138" s="28">
        <f ca="1">SUMPRODUCT(dFactor,tpSurvCnH,INDEX(tEIdxElec,27)*INDEX(elecCnH,1,6)*allOnes,OFFSET(tPrcElec,0,26,1,_maxLT))</f>
        <v>82402.364482744684</v>
      </c>
      <c r="AF138" s="28">
        <f ca="1">SUMPRODUCT(dFactor,tpSurvCnH,INDEX(tEIdxElec,28)*INDEX(elecCnH,1,6)*allOnes,OFFSET(tPrcElec,0,27,1,_maxLT))</f>
        <v>82717.49426271391</v>
      </c>
      <c r="AG138" s="28">
        <f ca="1">SUMPRODUCT(dFactor,tpSurvCnH,INDEX(tEIdxElec,29)*INDEX(elecCnH,1,6)*allOnes,OFFSET(tPrcElec,0,28,1,_maxLT))</f>
        <v>83061.480510225985</v>
      </c>
      <c r="AH138" s="28">
        <f ca="1">SUMPRODUCT(dFactor,tpSurvCnH,INDEX(tEIdxElec,30)*INDEX(elecCnH,1,6)*allOnes,OFFSET(tPrcElec,0,29,1,_maxLT))</f>
        <v>83369.365348682171</v>
      </c>
      <c r="AI138" s="28">
        <f ca="1">SUMPRODUCT(dFactor,tpSurvCnH,INDEX(tEIdxElec,31)*INDEX(elecCnH,1,6)*allOnes,OFFSET(tPrcElec,0,30,1,_maxLT))</f>
        <v>83705.539900260788</v>
      </c>
      <c r="AJ138" s="28">
        <f ca="1">SUMPRODUCT(dFactor,tpSurvCnH,INDEX(tEIdxElec,32)*INDEX(elecCnH,1,6)*allOnes,OFFSET(tPrcElec,0,31,1,_maxLT))</f>
        <v>84005.232633376203</v>
      </c>
      <c r="AK138" s="29">
        <f ca="1">SUMPRODUCT(dFactor,tpSurvCnH,INDEX(tEIdxElec,33)*INDEX(elecCnH,1,6)*allOnes,OFFSET(tPrcElec,0,32,1,_maxLT))</f>
        <v>84332.632521317282</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ts2bElec*SUMPRODUCT(tpSurvCnH,INDEX(tEIdxElec,1)*INDEX(elecCnH,1,6)*convFactor)</f>
        <v>15844.193014066319</v>
      </c>
      <c r="F140" s="22">
        <f ca="1">ts2bElec*SUMPRODUCT(tpSurvCnH,INDEX(tEIdxElec,2)*INDEX(elecCnH,1,6)*convFactor)</f>
        <v>15725.760421342518</v>
      </c>
      <c r="G140" s="22">
        <f ca="1">ts2bElec*SUMPRODUCT(tpSurvCnH,INDEX(tEIdxElec,3)*INDEX(elecCnH,1,6)*convFactor)</f>
        <v>15606.43513382218</v>
      </c>
      <c r="H140" s="22">
        <f ca="1">ts2bElec*SUMPRODUCT(tpSurvCnH,INDEX(tEIdxElec,4)*INDEX(elecCnH,1,6)*convFactor)</f>
        <v>15501.634669629369</v>
      </c>
      <c r="I140" s="22">
        <f ca="1">ts2bElec*SUMPRODUCT(tpSurvCnH,INDEX(tEIdxElec,5)*INDEX(elecCnH,1,6)*convFactor)</f>
        <v>15402.260772860762</v>
      </c>
      <c r="J140" s="22">
        <f ca="1">ts2bElec*SUMPRODUCT(tpSurvCnH,INDEX(tEIdxElec,6)*INDEX(elecCnH,1,6)*convFactor)</f>
        <v>15315.717911712913</v>
      </c>
      <c r="K140" s="22">
        <f ca="1">ts2bElec*SUMPRODUCT(tpSurvCnH,INDEX(tEIdxElec,7)*INDEX(elecCnH,1,6)*convFactor)</f>
        <v>15248.603255372384</v>
      </c>
      <c r="L140" s="22">
        <f ca="1">ts2bElec*SUMPRODUCT(tpSurvCnH,INDEX(tEIdxElec,8)*INDEX(elecCnH,1,6)*convFactor)</f>
        <v>15192.968427004351</v>
      </c>
      <c r="M140" s="22">
        <f ca="1">ts2bElec*SUMPRODUCT(tpSurvCnH,INDEX(tEIdxElec,9)*INDEX(elecCnH,1,6)*convFactor)</f>
        <v>15137.093245637383</v>
      </c>
      <c r="N140" s="22">
        <f ca="1">ts2bElec*SUMPRODUCT(tpSurvCnH,INDEX(tEIdxElec,10)*INDEX(elecCnH,1,6)*convFactor)</f>
        <v>15092.407001024265</v>
      </c>
      <c r="O140" s="22">
        <f ca="1">ts2bElec*SUMPRODUCT(tpSurvCnH,INDEX(tEIdxElec,11)*INDEX(elecCnH,1,6)*convFactor)</f>
        <v>15061.632339121164</v>
      </c>
      <c r="P140" s="22">
        <f ca="1">ts2bElec*SUMPRODUCT(tpSurvCnH,INDEX(tEIdxElec,12)*INDEX(elecCnH,1,6)*convFactor)</f>
        <v>15039.1160648312</v>
      </c>
      <c r="Q140" s="22">
        <f ca="1">ts2bElec*SUMPRODUCT(tpSurvCnH,INDEX(tEIdxElec,13)*INDEX(elecCnH,1,6)*convFactor)</f>
        <v>15020.171920638593</v>
      </c>
      <c r="R140" s="22">
        <f ca="1">ts2bElec*SUMPRODUCT(tpSurvCnH,INDEX(tEIdxElec,14)*INDEX(elecCnH,1,6)*convFactor)</f>
        <v>15006.198683210352</v>
      </c>
      <c r="S140" s="22">
        <f ca="1">ts2bElec*SUMPRODUCT(tpSurvCnH,INDEX(tEIdxElec,15)*INDEX(elecCnH,1,6)*convFactor)</f>
        <v>14995.547589959715</v>
      </c>
      <c r="T140" s="22">
        <f ca="1">ts2bElec*SUMPRODUCT(tpSurvCnH,INDEX(tEIdxElec,16)*INDEX(elecCnH,1,6)*convFactor)</f>
        <v>14994.213429850452</v>
      </c>
      <c r="U140" s="22">
        <f ca="1">ts2bElec*SUMPRODUCT(tpSurvCnH,INDEX(tEIdxElec,17)*INDEX(elecCnH,1,6)*convFactor)</f>
        <v>14996.948190454821</v>
      </c>
      <c r="V140" s="22">
        <f ca="1">ts2bElec*SUMPRODUCT(tpSurvCnH,INDEX(tEIdxElec,18)*INDEX(elecCnH,1,6)*convFactor)</f>
        <v>15000.96598845146</v>
      </c>
      <c r="W140" s="22">
        <f ca="1">ts2bElec*SUMPRODUCT(tpSurvCnH,INDEX(tEIdxElec,19)*INDEX(elecCnH,1,6)*convFactor)</f>
        <v>15006.711996245893</v>
      </c>
      <c r="X140" s="22">
        <f ca="1">ts2bElec*SUMPRODUCT(tpSurvCnH,INDEX(tEIdxElec,20)*INDEX(elecCnH,1,6)*convFactor)</f>
        <v>15012.141911887882</v>
      </c>
      <c r="Y140" s="22">
        <f ca="1">ts2bElec*SUMPRODUCT(tpSurvCnH,INDEX(tEIdxElec,21)*INDEX(elecCnH,1,6)*convFactor)</f>
        <v>15016.640887315421</v>
      </c>
      <c r="Z140" s="22">
        <f ca="1">ts2bElec*SUMPRODUCT(tpSurvCnH,INDEX(tEIdxElec,22)*INDEX(elecCnH,1,6)*convFactor)</f>
        <v>15019.655836950482</v>
      </c>
      <c r="AA140" s="22">
        <f ca="1">ts2bElec*SUMPRODUCT(tpSurvCnH,INDEX(tEIdxElec,23)*INDEX(elecCnH,1,6)*convFactor)</f>
        <v>15021.642889454957</v>
      </c>
      <c r="AB140" s="22">
        <f ca="1">ts2bElec*SUMPRODUCT(tpSurvCnH,INDEX(tEIdxElec,24)*INDEX(elecCnH,1,6)*convFactor)</f>
        <v>15021.642889454957</v>
      </c>
      <c r="AC140" s="22">
        <f ca="1">ts2bElec*SUMPRODUCT(tpSurvCnH,INDEX(tEIdxElec,25)*INDEX(elecCnH,1,6)*convFactor)</f>
        <v>15021.642889454957</v>
      </c>
      <c r="AD140" s="22">
        <f ca="1">ts2bElec*SUMPRODUCT(tpSurvCnH,INDEX(tEIdxElec,26)*INDEX(elecCnH,1,6)*convFactor)</f>
        <v>15021.642889454957</v>
      </c>
      <c r="AE140" s="22">
        <f ca="1">ts2bElec*SUMPRODUCT(tpSurvCnH,INDEX(tEIdxElec,27)*INDEX(elecCnH,1,6)*convFactor)</f>
        <v>15021.642889454957</v>
      </c>
      <c r="AF140" s="22">
        <f ca="1">ts2bElec*SUMPRODUCT(tpSurvCnH,INDEX(tEIdxElec,28)*INDEX(elecCnH,1,6)*convFactor)</f>
        <v>15021.642889454957</v>
      </c>
      <c r="AG140" s="22">
        <f ca="1">ts2bElec*SUMPRODUCT(tpSurvCnH,INDEX(tEIdxElec,29)*INDEX(elecCnH,1,6)*convFactor)</f>
        <v>15021.642889454957</v>
      </c>
      <c r="AH140" s="22">
        <f ca="1">ts2bElec*SUMPRODUCT(tpSurvCnH,INDEX(tEIdxElec,30)*INDEX(elecCnH,1,6)*convFactor)</f>
        <v>15021.642889454957</v>
      </c>
      <c r="AI140" s="22">
        <f ca="1">ts2bElec*SUMPRODUCT(tpSurvCnH,INDEX(tEIdxElec,31)*INDEX(elecCnH,1,6)*convFactor)</f>
        <v>15021.642889454957</v>
      </c>
      <c r="AJ140" s="22">
        <f ca="1">ts2bElec*SUMPRODUCT(tpSurvCnH,INDEX(tEIdxElec,32)*INDEX(elecCnH,1,6)*convFactor)</f>
        <v>15021.642889454957</v>
      </c>
      <c r="AK140" s="25">
        <f ca="1">ts2bElec*SUMPRODUCT(tpSurvCnH,INDEX(tEIdxElec,33)*INDEX(elecCnH,1,6)*convFactor)</f>
        <v>15021.642889454957</v>
      </c>
      <c r="AL140" s="3"/>
    </row>
    <row r="141" spans="2:38">
      <c r="B141" s="3"/>
      <c r="C141" s="30" t="str">
        <f>"EL 6: " &amp; INDEX(_doName,3,7)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(1+INDEX(vadCnH,1,7))*INDEX(mspCnH,1,7)*tPIdxAll + INDEX(instCnH,1,7) + SUMPRODUCT(dFactor,tpSurvCnH,INDEX(mrCnH,1,7)*allOnes)</f>
        <v>2539.857489</v>
      </c>
      <c r="F142" s="28">
        <f ca="1"/>
        <v>2539.857489</v>
      </c>
      <c r="G142" s="28">
        <f ca="1"/>
        <v>2539.857489</v>
      </c>
      <c r="H142" s="28">
        <f ca="1"/>
        <v>2539.857489</v>
      </c>
      <c r="I142" s="28">
        <f ca="1"/>
        <v>2539.857489</v>
      </c>
      <c r="J142" s="28">
        <f ca="1"/>
        <v>2539.857489</v>
      </c>
      <c r="K142" s="28">
        <f ca="1"/>
        <v>2539.857489</v>
      </c>
      <c r="L142" s="28">
        <f ca="1"/>
        <v>2539.857489</v>
      </c>
      <c r="M142" s="28">
        <f ca="1"/>
        <v>2539.857489</v>
      </c>
      <c r="N142" s="28">
        <f ca="1"/>
        <v>2539.857489</v>
      </c>
      <c r="O142" s="28">
        <f ca="1"/>
        <v>2539.857489</v>
      </c>
      <c r="P142" s="28">
        <f ca="1"/>
        <v>2539.857489</v>
      </c>
      <c r="Q142" s="28">
        <f ca="1"/>
        <v>2539.857489</v>
      </c>
      <c r="R142" s="28">
        <f ca="1"/>
        <v>2539.857489</v>
      </c>
      <c r="S142" s="28">
        <f ca="1"/>
        <v>2539.857489</v>
      </c>
      <c r="T142" s="28">
        <f ca="1"/>
        <v>2539.857489</v>
      </c>
      <c r="U142" s="28">
        <f ca="1"/>
        <v>2539.857489</v>
      </c>
      <c r="V142" s="28">
        <f ca="1"/>
        <v>2539.857489</v>
      </c>
      <c r="W142" s="28">
        <f ca="1"/>
        <v>2539.857489</v>
      </c>
      <c r="X142" s="28">
        <f ca="1"/>
        <v>2539.857489</v>
      </c>
      <c r="Y142" s="28">
        <f ca="1"/>
        <v>2539.857489</v>
      </c>
      <c r="Z142" s="28">
        <f ca="1"/>
        <v>2539.857489</v>
      </c>
      <c r="AA142" s="28">
        <f ca="1"/>
        <v>2539.857489</v>
      </c>
      <c r="AB142" s="28">
        <f ca="1"/>
        <v>2539.857489</v>
      </c>
      <c r="AC142" s="28">
        <f ca="1"/>
        <v>2539.857489</v>
      </c>
      <c r="AD142" s="28">
        <f ca="1"/>
        <v>2539.857489</v>
      </c>
      <c r="AE142" s="28">
        <f ca="1"/>
        <v>2539.857489</v>
      </c>
      <c r="AF142" s="28">
        <f ca="1"/>
        <v>2539.857489</v>
      </c>
      <c r="AG142" s="28">
        <f ca="1"/>
        <v>2539.857489</v>
      </c>
      <c r="AH142" s="28">
        <f ca="1"/>
        <v>2539.857489</v>
      </c>
      <c r="AI142" s="28">
        <f ca="1"/>
        <v>2539.857489</v>
      </c>
      <c r="AJ142" s="28">
        <f ca="1"/>
        <v>2539.857489</v>
      </c>
      <c r="AK142" s="29">
        <f ca="1"/>
        <v>2539.857489</v>
      </c>
      <c r="AL142" s="3"/>
    </row>
    <row r="143" spans="2:38">
      <c r="B143" s="3"/>
      <c r="C143" s="23" t="s">
        <v>47</v>
      </c>
      <c r="D143" s="16" t="str">
        <f>_yearDol &amp; "$"</f>
        <v>2013$</v>
      </c>
      <c r="E143" s="141">
        <f t="array" aca="1" ref="E143:AK143" ca="1">(tlccEFubcElec6)</f>
        <v>83299.834734948628</v>
      </c>
      <c r="F143" s="28">
        <f ca="1"/>
        <v>83666.706844714456</v>
      </c>
      <c r="G143" s="28">
        <f ca="1"/>
        <v>83991.440021344082</v>
      </c>
      <c r="H143" s="28">
        <f ca="1"/>
        <v>84345.433640467556</v>
      </c>
      <c r="I143" s="28">
        <f ca="1"/>
        <v>84656.251202181767</v>
      </c>
      <c r="J143" s="28">
        <f ca="1"/>
        <v>84995.637466852422</v>
      </c>
      <c r="K143" s="28">
        <f ca="1"/>
        <v>85290.783882274452</v>
      </c>
      <c r="L143" s="28">
        <f ca="1"/>
        <v>85613.538608545758</v>
      </c>
      <c r="M143" s="28">
        <f ca="1"/>
        <v>85965.560064135963</v>
      </c>
      <c r="N143" s="28">
        <f ca="1"/>
        <v>86274.373520952358</v>
      </c>
      <c r="O143" s="28">
        <f ca="1"/>
        <v>86611.702127724493</v>
      </c>
      <c r="P143" s="28">
        <f ca="1"/>
        <v>86979.584974985642</v>
      </c>
      <c r="Q143" s="28">
        <f ca="1"/>
        <v>87305.608985891871</v>
      </c>
      <c r="R143" s="28">
        <f ca="1"/>
        <v>87661.265756272463</v>
      </c>
      <c r="S143" s="28">
        <f ca="1"/>
        <v>87974.130315649367</v>
      </c>
      <c r="T143" s="28">
        <f ca="1"/>
        <v>88315.894994045113</v>
      </c>
      <c r="U143" s="28">
        <f ca="1"/>
        <v>88688.751743265238</v>
      </c>
      <c r="V143" s="28">
        <f ca="1"/>
        <v>89020.118317021348</v>
      </c>
      <c r="W143" s="28">
        <f ca="1"/>
        <v>89381.809791713124</v>
      </c>
      <c r="X143" s="28">
        <f ca="1"/>
        <v>89701.388852183256</v>
      </c>
      <c r="Y143" s="28">
        <f ca="1"/>
        <v>90050.454182214206</v>
      </c>
      <c r="Z143" s="28">
        <f ca="1"/>
        <v>90431.302143072782</v>
      </c>
      <c r="AA143" s="28">
        <f ca="1"/>
        <v>90771.26375127527</v>
      </c>
      <c r="AB143" s="28">
        <f ca="1"/>
        <v>91142.307402735212</v>
      </c>
      <c r="AC143" s="28">
        <f ca="1"/>
        <v>91471.941699399293</v>
      </c>
      <c r="AD143" s="28">
        <f ca="1"/>
        <v>91831.849676070124</v>
      </c>
      <c r="AE143" s="28">
        <f ca="1"/>
        <v>92224.432052618999</v>
      </c>
      <c r="AF143" s="28">
        <f ca="1"/>
        <v>92577.124176964746</v>
      </c>
      <c r="AG143" s="28">
        <f ca="1"/>
        <v>92962.112356731814</v>
      </c>
      <c r="AH143" s="28">
        <f ca="1"/>
        <v>93306.695968409316</v>
      </c>
      <c r="AI143" s="28">
        <f ca="1"/>
        <v>93682.941325984881</v>
      </c>
      <c r="AJ143" s="28">
        <f ca="1"/>
        <v>94018.356362620863</v>
      </c>
      <c r="AK143" s="29">
        <f ca="1"/>
        <v>94384.781147989474</v>
      </c>
      <c r="AL143" s="3"/>
    </row>
    <row r="144" spans="2:38">
      <c r="B144" s="3"/>
      <c r="C144" s="27" t="str">
        <f>INDEX(_fuel,1)</f>
        <v>Electricity</v>
      </c>
      <c r="D144" s="16" t="str">
        <f>_yearDol &amp; "$"</f>
        <v>2013$</v>
      </c>
      <c r="E144" s="141">
        <f ca="1">SUMPRODUCT(dFactor,tpSurvCnH,INDEX(tEIdxElec,1)*INDEX(elecCnH,1,7)*allOnes,OFFSET(tPrcElec,0,0,1,_maxLT))</f>
        <v>83299.834734948628</v>
      </c>
      <c r="F144" s="28">
        <f ca="1">SUMPRODUCT(dFactor,tpSurvCnH,INDEX(tEIdxElec,2)*INDEX(elecCnH,1,7)*allOnes,OFFSET(tPrcElec,0,1,1,_maxLT))</f>
        <v>83666.706844714456</v>
      </c>
      <c r="G144" s="28">
        <f ca="1">SUMPRODUCT(dFactor,tpSurvCnH,INDEX(tEIdxElec,3)*INDEX(elecCnH,1,7)*allOnes,OFFSET(tPrcElec,0,2,1,_maxLT))</f>
        <v>83991.440021344082</v>
      </c>
      <c r="H144" s="28">
        <f ca="1">SUMPRODUCT(dFactor,tpSurvCnH,INDEX(tEIdxElec,4)*INDEX(elecCnH,1,7)*allOnes,OFFSET(tPrcElec,0,3,1,_maxLT))</f>
        <v>84345.433640467556</v>
      </c>
      <c r="I144" s="28">
        <f ca="1">SUMPRODUCT(dFactor,tpSurvCnH,INDEX(tEIdxElec,5)*INDEX(elecCnH,1,7)*allOnes,OFFSET(tPrcElec,0,4,1,_maxLT))</f>
        <v>84656.251202181767</v>
      </c>
      <c r="J144" s="28">
        <f ca="1">SUMPRODUCT(dFactor,tpSurvCnH,INDEX(tEIdxElec,6)*INDEX(elecCnH,1,7)*allOnes,OFFSET(tPrcElec,0,5,1,_maxLT))</f>
        <v>84995.637466852422</v>
      </c>
      <c r="K144" s="28">
        <f ca="1">SUMPRODUCT(dFactor,tpSurvCnH,INDEX(tEIdxElec,7)*INDEX(elecCnH,1,7)*allOnes,OFFSET(tPrcElec,0,6,1,_maxLT))</f>
        <v>85290.783882274452</v>
      </c>
      <c r="L144" s="28">
        <f ca="1">SUMPRODUCT(dFactor,tpSurvCnH,INDEX(tEIdxElec,8)*INDEX(elecCnH,1,7)*allOnes,OFFSET(tPrcElec,0,7,1,_maxLT))</f>
        <v>85613.538608545758</v>
      </c>
      <c r="M144" s="28">
        <f ca="1">SUMPRODUCT(dFactor,tpSurvCnH,INDEX(tEIdxElec,9)*INDEX(elecCnH,1,7)*allOnes,OFFSET(tPrcElec,0,8,1,_maxLT))</f>
        <v>85965.560064135963</v>
      </c>
      <c r="N144" s="28">
        <f ca="1">SUMPRODUCT(dFactor,tpSurvCnH,INDEX(tEIdxElec,10)*INDEX(elecCnH,1,7)*allOnes,OFFSET(tPrcElec,0,9,1,_maxLT))</f>
        <v>86274.373520952358</v>
      </c>
      <c r="O144" s="28">
        <f ca="1">SUMPRODUCT(dFactor,tpSurvCnH,INDEX(tEIdxElec,11)*INDEX(elecCnH,1,7)*allOnes,OFFSET(tPrcElec,0,10,1,_maxLT))</f>
        <v>86611.702127724493</v>
      </c>
      <c r="P144" s="28">
        <f ca="1">SUMPRODUCT(dFactor,tpSurvCnH,INDEX(tEIdxElec,12)*INDEX(elecCnH,1,7)*allOnes,OFFSET(tPrcElec,0,11,1,_maxLT))</f>
        <v>86979.584974985642</v>
      </c>
      <c r="Q144" s="28">
        <f ca="1">SUMPRODUCT(dFactor,tpSurvCnH,INDEX(tEIdxElec,13)*INDEX(elecCnH,1,7)*allOnes,OFFSET(tPrcElec,0,12,1,_maxLT))</f>
        <v>87305.608985891871</v>
      </c>
      <c r="R144" s="28">
        <f ca="1">SUMPRODUCT(dFactor,tpSurvCnH,INDEX(tEIdxElec,14)*INDEX(elecCnH,1,7)*allOnes,OFFSET(tPrcElec,0,13,1,_maxLT))</f>
        <v>87661.265756272463</v>
      </c>
      <c r="S144" s="28">
        <f ca="1">SUMPRODUCT(dFactor,tpSurvCnH,INDEX(tEIdxElec,15)*INDEX(elecCnH,1,7)*allOnes,OFFSET(tPrcElec,0,14,1,_maxLT))</f>
        <v>87974.130315649367</v>
      </c>
      <c r="T144" s="28">
        <f ca="1">SUMPRODUCT(dFactor,tpSurvCnH,INDEX(tEIdxElec,16)*INDEX(elecCnH,1,7)*allOnes,OFFSET(tPrcElec,0,15,1,_maxLT))</f>
        <v>88315.894994045113</v>
      </c>
      <c r="U144" s="28">
        <f ca="1">SUMPRODUCT(dFactor,tpSurvCnH,INDEX(tEIdxElec,17)*INDEX(elecCnH,1,7)*allOnes,OFFSET(tPrcElec,0,16,1,_maxLT))</f>
        <v>88688.751743265238</v>
      </c>
      <c r="V144" s="28">
        <f ca="1">SUMPRODUCT(dFactor,tpSurvCnH,INDEX(tEIdxElec,18)*INDEX(elecCnH,1,7)*allOnes,OFFSET(tPrcElec,0,17,1,_maxLT))</f>
        <v>89020.118317021348</v>
      </c>
      <c r="W144" s="28">
        <f ca="1">SUMPRODUCT(dFactor,tpSurvCnH,INDEX(tEIdxElec,19)*INDEX(elecCnH,1,7)*allOnes,OFFSET(tPrcElec,0,18,1,_maxLT))</f>
        <v>89381.809791713124</v>
      </c>
      <c r="X144" s="28">
        <f ca="1">SUMPRODUCT(dFactor,tpSurvCnH,INDEX(tEIdxElec,20)*INDEX(elecCnH,1,7)*allOnes,OFFSET(tPrcElec,0,19,1,_maxLT))</f>
        <v>89701.388852183256</v>
      </c>
      <c r="Y144" s="28">
        <f ca="1">SUMPRODUCT(dFactor,tpSurvCnH,INDEX(tEIdxElec,21)*INDEX(elecCnH,1,7)*allOnes,OFFSET(tPrcElec,0,20,1,_maxLT))</f>
        <v>90050.454182214206</v>
      </c>
      <c r="Z144" s="28">
        <f ca="1">SUMPRODUCT(dFactor,tpSurvCnH,INDEX(tEIdxElec,22)*INDEX(elecCnH,1,7)*allOnes,OFFSET(tPrcElec,0,21,1,_maxLT))</f>
        <v>90431.302143072782</v>
      </c>
      <c r="AA144" s="28">
        <f ca="1">SUMPRODUCT(dFactor,tpSurvCnH,INDEX(tEIdxElec,23)*INDEX(elecCnH,1,7)*allOnes,OFFSET(tPrcElec,0,22,1,_maxLT))</f>
        <v>90771.26375127527</v>
      </c>
      <c r="AB144" s="28">
        <f ca="1">SUMPRODUCT(dFactor,tpSurvCnH,INDEX(tEIdxElec,24)*INDEX(elecCnH,1,7)*allOnes,OFFSET(tPrcElec,0,23,1,_maxLT))</f>
        <v>91142.307402735212</v>
      </c>
      <c r="AC144" s="28">
        <f ca="1">SUMPRODUCT(dFactor,tpSurvCnH,INDEX(tEIdxElec,25)*INDEX(elecCnH,1,7)*allOnes,OFFSET(tPrcElec,0,24,1,_maxLT))</f>
        <v>91471.941699399293</v>
      </c>
      <c r="AD144" s="28">
        <f ca="1">SUMPRODUCT(dFactor,tpSurvCnH,INDEX(tEIdxElec,26)*INDEX(elecCnH,1,7)*allOnes,OFFSET(tPrcElec,0,25,1,_maxLT))</f>
        <v>91831.849676070124</v>
      </c>
      <c r="AE144" s="28">
        <f ca="1">SUMPRODUCT(dFactor,tpSurvCnH,INDEX(tEIdxElec,27)*INDEX(elecCnH,1,7)*allOnes,OFFSET(tPrcElec,0,26,1,_maxLT))</f>
        <v>92224.432052618999</v>
      </c>
      <c r="AF144" s="28">
        <f ca="1">SUMPRODUCT(dFactor,tpSurvCnH,INDEX(tEIdxElec,28)*INDEX(elecCnH,1,7)*allOnes,OFFSET(tPrcElec,0,27,1,_maxLT))</f>
        <v>92577.124176964746</v>
      </c>
      <c r="AG144" s="28">
        <f ca="1">SUMPRODUCT(dFactor,tpSurvCnH,INDEX(tEIdxElec,29)*INDEX(elecCnH,1,7)*allOnes,OFFSET(tPrcElec,0,28,1,_maxLT))</f>
        <v>92962.112356731814</v>
      </c>
      <c r="AH144" s="28">
        <f ca="1">SUMPRODUCT(dFactor,tpSurvCnH,INDEX(tEIdxElec,30)*INDEX(elecCnH,1,7)*allOnes,OFFSET(tPrcElec,0,29,1,_maxLT))</f>
        <v>93306.695968409316</v>
      </c>
      <c r="AI144" s="28">
        <f ca="1">SUMPRODUCT(dFactor,tpSurvCnH,INDEX(tEIdxElec,31)*INDEX(elecCnH,1,7)*allOnes,OFFSET(tPrcElec,0,30,1,_maxLT))</f>
        <v>93682.941325984881</v>
      </c>
      <c r="AJ144" s="28">
        <f ca="1">SUMPRODUCT(dFactor,tpSurvCnH,INDEX(tEIdxElec,32)*INDEX(elecCnH,1,7)*allOnes,OFFSET(tPrcElec,0,31,1,_maxLT))</f>
        <v>94018.356362620863</v>
      </c>
      <c r="AK144" s="29">
        <f ca="1">SUMPRODUCT(dFactor,tpSurvCnH,INDEX(tEIdxElec,33)*INDEX(elecCnH,1,7)*allOnes,OFFSET(tPrcElec,0,32,1,_maxLT))</f>
        <v>94384.781147989474</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ts2bElec*SUMPRODUCT(tpSurvCnH,INDEX(tEIdxElec,1)*INDEX(elecCnH,1,7)*convFactor)</f>
        <v>17732.76423834082</v>
      </c>
      <c r="F146" s="22">
        <f ca="1">ts2bElec*SUMPRODUCT(tpSurvCnH,INDEX(tEIdxElec,2)*INDEX(elecCnH,1,7)*convFactor)</f>
        <v>17600.21490351246</v>
      </c>
      <c r="G146" s="22">
        <f ca="1">ts2bElec*SUMPRODUCT(tpSurvCnH,INDEX(tEIdxElec,3)*INDEX(elecCnH,1,7)*convFactor)</f>
        <v>17466.666467855819</v>
      </c>
      <c r="H146" s="22">
        <f ca="1">ts2bElec*SUMPRODUCT(tpSurvCnH,INDEX(tEIdxElec,4)*INDEX(elecCnH,1,7)*convFactor)</f>
        <v>17349.374162596101</v>
      </c>
      <c r="I146" s="22">
        <f ca="1">ts2bElec*SUMPRODUCT(tpSurvCnH,INDEX(tEIdxElec,5)*INDEX(elecCnH,1,7)*convFactor)</f>
        <v>17238.155252218112</v>
      </c>
      <c r="J146" s="22">
        <f ca="1">ts2bElec*SUMPRODUCT(tpSurvCnH,INDEX(tEIdxElec,6)*INDEX(elecCnH,1,7)*convFactor)</f>
        <v>17141.296791084511</v>
      </c>
      <c r="K146" s="22">
        <f ca="1">ts2bElec*SUMPRODUCT(tpSurvCnH,INDEX(tEIdxElec,7)*INDEX(elecCnH,1,7)*convFactor)</f>
        <v>17066.182307388983</v>
      </c>
      <c r="L146" s="22">
        <f ca="1">ts2bElec*SUMPRODUCT(tpSurvCnH,INDEX(tEIdxElec,8)*INDEX(elecCnH,1,7)*convFactor)</f>
        <v>17003.916006163352</v>
      </c>
      <c r="M146" s="22">
        <f ca="1">ts2bElec*SUMPRODUCT(tpSurvCnH,INDEX(tEIdxElec,9)*INDEX(elecCnH,1,7)*convFactor)</f>
        <v>16941.380702719664</v>
      </c>
      <c r="N146" s="22">
        <f ca="1">ts2bElec*SUMPRODUCT(tpSurvCnH,INDEX(tEIdxElec,10)*INDEX(elecCnH,1,7)*convFactor)</f>
        <v>16891.368017332803</v>
      </c>
      <c r="O146" s="22">
        <f ca="1">ts2bElec*SUMPRODUCT(tpSurvCnH,INDEX(tEIdxElec,11)*INDEX(elecCnH,1,7)*convFactor)</f>
        <v>16856.925125633756</v>
      </c>
      <c r="P146" s="22">
        <f ca="1">ts2bElec*SUMPRODUCT(tpSurvCnH,INDEX(tEIdxElec,12)*INDEX(elecCnH,1,7)*convFactor)</f>
        <v>16831.724991858853</v>
      </c>
      <c r="Q146" s="22">
        <f ca="1">ts2bElec*SUMPRODUCT(tpSurvCnH,INDEX(tEIdxElec,13)*INDEX(elecCnH,1,7)*convFactor)</f>
        <v>16810.522773332079</v>
      </c>
      <c r="R146" s="22">
        <f ca="1">ts2bElec*SUMPRODUCT(tpSurvCnH,INDEX(tEIdxElec,14)*INDEX(elecCnH,1,7)*convFactor)</f>
        <v>16794.883975903813</v>
      </c>
      <c r="S146" s="22">
        <f ca="1">ts2bElec*SUMPRODUCT(tpSurvCnH,INDEX(tEIdxElec,15)*INDEX(elecCnH,1,7)*convFactor)</f>
        <v>16782.963310375031</v>
      </c>
      <c r="T146" s="22">
        <f ca="1">ts2bElec*SUMPRODUCT(tpSurvCnH,INDEX(tEIdxElec,16)*INDEX(elecCnH,1,7)*convFactor)</f>
        <v>16781.470123145315</v>
      </c>
      <c r="U146" s="22">
        <f ca="1">ts2bElec*SUMPRODUCT(tpSurvCnH,INDEX(tEIdxElec,17)*INDEX(elecCnH,1,7)*convFactor)</f>
        <v>16784.530857447309</v>
      </c>
      <c r="V146" s="22">
        <f ca="1">ts2bElec*SUMPRODUCT(tpSurvCnH,INDEX(tEIdxElec,18)*INDEX(elecCnH,1,7)*convFactor)</f>
        <v>16789.027562616731</v>
      </c>
      <c r="W146" s="22">
        <f ca="1">ts2bElec*SUMPRODUCT(tpSurvCnH,INDEX(tEIdxElec,19)*INDEX(elecCnH,1,7)*convFactor)</f>
        <v>16795.458474020037</v>
      </c>
      <c r="X146" s="22">
        <f ca="1">ts2bElec*SUMPRODUCT(tpSurvCnH,INDEX(tEIdxElec,20)*INDEX(elecCnH,1,7)*convFactor)</f>
        <v>16801.535616215162</v>
      </c>
      <c r="Y146" s="22">
        <f ca="1">ts2bElec*SUMPRODUCT(tpSurvCnH,INDEX(tEIdxElec,21)*INDEX(elecCnH,1,7)*convFactor)</f>
        <v>16806.570853446858</v>
      </c>
      <c r="Z146" s="22">
        <f ca="1">ts2bElec*SUMPRODUCT(tpSurvCnH,INDEX(tEIdxElec,22)*INDEX(elecCnH,1,7)*convFactor)</f>
        <v>16809.94517431139</v>
      </c>
      <c r="AA146" s="22">
        <f ca="1">ts2bElec*SUMPRODUCT(tpSurvCnH,INDEX(tEIdxElec,23)*INDEX(elecCnH,1,7)*convFactor)</f>
        <v>16812.16907637821</v>
      </c>
      <c r="AB146" s="22">
        <f ca="1">ts2bElec*SUMPRODUCT(tpSurvCnH,INDEX(tEIdxElec,24)*INDEX(elecCnH,1,7)*convFactor)</f>
        <v>16812.16907637821</v>
      </c>
      <c r="AC146" s="22">
        <f ca="1">ts2bElec*SUMPRODUCT(tpSurvCnH,INDEX(tEIdxElec,25)*INDEX(elecCnH,1,7)*convFactor)</f>
        <v>16812.16907637821</v>
      </c>
      <c r="AD146" s="22">
        <f ca="1">ts2bElec*SUMPRODUCT(tpSurvCnH,INDEX(tEIdxElec,26)*INDEX(elecCnH,1,7)*convFactor)</f>
        <v>16812.16907637821</v>
      </c>
      <c r="AE146" s="22">
        <f ca="1">ts2bElec*SUMPRODUCT(tpSurvCnH,INDEX(tEIdxElec,27)*INDEX(elecCnH,1,7)*convFactor)</f>
        <v>16812.16907637821</v>
      </c>
      <c r="AF146" s="22">
        <f ca="1">ts2bElec*SUMPRODUCT(tpSurvCnH,INDEX(tEIdxElec,28)*INDEX(elecCnH,1,7)*convFactor)</f>
        <v>16812.16907637821</v>
      </c>
      <c r="AG146" s="22">
        <f ca="1">ts2bElec*SUMPRODUCT(tpSurvCnH,INDEX(tEIdxElec,29)*INDEX(elecCnH,1,7)*convFactor)</f>
        <v>16812.16907637821</v>
      </c>
      <c r="AH146" s="22">
        <f ca="1">ts2bElec*SUMPRODUCT(tpSurvCnH,INDEX(tEIdxElec,30)*INDEX(elecCnH,1,7)*convFactor)</f>
        <v>16812.16907637821</v>
      </c>
      <c r="AI146" s="22">
        <f ca="1">ts2bElec*SUMPRODUCT(tpSurvCnH,INDEX(tEIdxElec,31)*INDEX(elecCnH,1,7)*convFactor)</f>
        <v>16812.16907637821</v>
      </c>
      <c r="AJ146" s="22">
        <f ca="1">ts2bElec*SUMPRODUCT(tpSurvCnH,INDEX(tEIdxElec,32)*INDEX(elecCnH,1,7)*convFactor)</f>
        <v>16812.16907637821</v>
      </c>
      <c r="AK146" s="25">
        <f ca="1">ts2bElec*SUMPRODUCT(tpSurvCnH,INDEX(tEIdxElec,33)*INDEX(elecCnH,1,7)*convFactor)</f>
        <v>16812.16907637821</v>
      </c>
      <c r="AL146" s="3"/>
    </row>
    <row r="147" spans="2:38">
      <c r="B147" s="3"/>
      <c r="C147" s="33" t="str">
        <f>"Std (CSL " &amp; stdCSL &amp; "): " &amp; INDEX(_doName,3,stdCSL+1)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INDEX(_doName,3,1)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(1+INDEX(vadCnH,stdCSL+1,1))*INDEX(mspCnH,stdCSL+1,1)*tPIdxAll + INDEX(instCnH,stdCSL+1,1) + SUMPRODUCT(dFactor,tpSurvCnH,INDEX(mrCnH,stdCSL+1,1)*allOnes)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SUMPRODUCT(dFactor,tpSurvCnH,INDEX(tEIdxElec,1)*INDEX(elecCnH,stdCSL+1,1)*allOnes,OFFSET(tPrcElec,0,0,1,_maxLT))</f>
        <v>0</v>
      </c>
      <c r="F151" s="28">
        <f ca="1">SUMPRODUCT(dFactor,tpSurvCnH,INDEX(tEIdxElec,2)*INDEX(elecCnH,stdCSL+1,1)*allOnes,OFFSET(tPrcElec,0,1,1,_maxLT))</f>
        <v>0</v>
      </c>
      <c r="G151" s="28">
        <f ca="1">SUMPRODUCT(dFactor,tpSurvCnH,INDEX(tEIdxElec,3)*INDEX(elecCnH,stdCSL+1,1)*allOnes,OFFSET(tPrcElec,0,2,1,_maxLT))</f>
        <v>0</v>
      </c>
      <c r="H151" s="28">
        <f ca="1">SUMPRODUCT(dFactor,tpSurvCnH,INDEX(tEIdxElec,4)*INDEX(elecCnH,stdCSL+1,1)*allOnes,OFFSET(tPrcElec,0,3,1,_maxLT))</f>
        <v>0</v>
      </c>
      <c r="I151" s="28">
        <f ca="1">SUMPRODUCT(dFactor,tpSurvCnH,INDEX(tEIdxElec,5)*INDEX(elecCnH,stdCSL+1,1)*allOnes,OFFSET(tPrcElec,0,4,1,_maxLT))</f>
        <v>0</v>
      </c>
      <c r="J151" s="28">
        <f ca="1">SUMPRODUCT(dFactor,tpSurvCnH,INDEX(tEIdxElec,6)*INDEX(elecCnH,stdCSL+1,1)*allOnes,OFFSET(tPrcElec,0,5,1,_maxLT))</f>
        <v>0</v>
      </c>
      <c r="K151" s="28">
        <f ca="1">SUMPRODUCT(dFactor,tpSurvCnH,INDEX(tEIdxElec,7)*INDEX(elecCnH,stdCSL+1,1)*allOnes,OFFSET(tPrcElec,0,6,1,_maxLT))</f>
        <v>0</v>
      </c>
      <c r="L151" s="28">
        <f ca="1">SUMPRODUCT(dFactor,tpSurvCnH,INDEX(tEIdxElec,8)*INDEX(elecCnH,stdCSL+1,1)*allOnes,OFFSET(tPrcElec,0,7,1,_maxLT))</f>
        <v>0</v>
      </c>
      <c r="M151" s="28">
        <f ca="1">SUMPRODUCT(dFactor,tpSurvCnH,INDEX(tEIdxElec,9)*INDEX(elecCnH,stdCSL+1,1)*allOnes,OFFSET(tPrcElec,0,8,1,_maxLT))</f>
        <v>0</v>
      </c>
      <c r="N151" s="28">
        <f ca="1">SUMPRODUCT(dFactor,tpSurvCnH,INDEX(tEIdxElec,10)*INDEX(elecCnH,stdCSL+1,1)*allOnes,OFFSET(tPrcElec,0,9,1,_maxLT))</f>
        <v>0</v>
      </c>
      <c r="O151" s="28">
        <f ca="1">SUMPRODUCT(dFactor,tpSurvCnH,INDEX(tEIdxElec,11)*INDEX(elecCnH,stdCSL+1,1)*allOnes,OFFSET(tPrcElec,0,10,1,_maxLT))</f>
        <v>0</v>
      </c>
      <c r="P151" s="28">
        <f ca="1">SUMPRODUCT(dFactor,tpSurvCnH,INDEX(tEIdxElec,12)*INDEX(elecCnH,stdCSL+1,1)*allOnes,OFFSET(tPrcElec,0,11,1,_maxLT))</f>
        <v>0</v>
      </c>
      <c r="Q151" s="28">
        <f ca="1">SUMPRODUCT(dFactor,tpSurvCnH,INDEX(tEIdxElec,13)*INDEX(elecCnH,stdCSL+1,1)*allOnes,OFFSET(tPrcElec,0,12,1,_maxLT))</f>
        <v>0</v>
      </c>
      <c r="R151" s="28">
        <f ca="1">SUMPRODUCT(dFactor,tpSurvCnH,INDEX(tEIdxElec,14)*INDEX(elecCnH,stdCSL+1,1)*allOnes,OFFSET(tPrcElec,0,13,1,_maxLT))</f>
        <v>0</v>
      </c>
      <c r="S151" s="28">
        <f ca="1">SUMPRODUCT(dFactor,tpSurvCnH,INDEX(tEIdxElec,15)*INDEX(elecCnH,stdCSL+1,1)*allOnes,OFFSET(tPrcElec,0,14,1,_maxLT))</f>
        <v>0</v>
      </c>
      <c r="T151" s="28">
        <f ca="1">SUMPRODUCT(dFactor,tpSurvCnH,INDEX(tEIdxElec,16)*INDEX(elecCnH,stdCSL+1,1)*allOnes,OFFSET(tPrcElec,0,15,1,_maxLT))</f>
        <v>0</v>
      </c>
      <c r="U151" s="28">
        <f ca="1">SUMPRODUCT(dFactor,tpSurvCnH,INDEX(tEIdxElec,17)*INDEX(elecCnH,stdCSL+1,1)*allOnes,OFFSET(tPrcElec,0,16,1,_maxLT))</f>
        <v>0</v>
      </c>
      <c r="V151" s="28">
        <f ca="1">SUMPRODUCT(dFactor,tpSurvCnH,INDEX(tEIdxElec,18)*INDEX(elecCnH,stdCSL+1,1)*allOnes,OFFSET(tPrcElec,0,17,1,_maxLT))</f>
        <v>0</v>
      </c>
      <c r="W151" s="28">
        <f ca="1">SUMPRODUCT(dFactor,tpSurvCnH,INDEX(tEIdxElec,19)*INDEX(elecCnH,stdCSL+1,1)*allOnes,OFFSET(tPrcElec,0,18,1,_maxLT))</f>
        <v>0</v>
      </c>
      <c r="X151" s="28">
        <f ca="1">SUMPRODUCT(dFactor,tpSurvCnH,INDEX(tEIdxElec,20)*INDEX(elecCnH,stdCSL+1,1)*allOnes,OFFSET(tPrcElec,0,19,1,_maxLT))</f>
        <v>0</v>
      </c>
      <c r="Y151" s="28">
        <f ca="1">SUMPRODUCT(dFactor,tpSurvCnH,INDEX(tEIdxElec,21)*INDEX(elecCnH,stdCSL+1,1)*allOnes,OFFSET(tPrcElec,0,20,1,_maxLT))</f>
        <v>0</v>
      </c>
      <c r="Z151" s="28">
        <f ca="1">SUMPRODUCT(dFactor,tpSurvCnH,INDEX(tEIdxElec,22)*INDEX(elecCnH,stdCSL+1,1)*allOnes,OFFSET(tPrcElec,0,21,1,_maxLT))</f>
        <v>0</v>
      </c>
      <c r="AA151" s="28">
        <f ca="1">SUMPRODUCT(dFactor,tpSurvCnH,INDEX(tEIdxElec,23)*INDEX(elecCnH,stdCSL+1,1)*allOnes,OFFSET(tPrcElec,0,22,1,_maxLT))</f>
        <v>0</v>
      </c>
      <c r="AB151" s="28">
        <f ca="1">SUMPRODUCT(dFactor,tpSurvCnH,INDEX(tEIdxElec,24)*INDEX(elecCnH,stdCSL+1,1)*allOnes,OFFSET(tPrcElec,0,23,1,_maxLT))</f>
        <v>0</v>
      </c>
      <c r="AC151" s="28">
        <f ca="1">SUMPRODUCT(dFactor,tpSurvCnH,INDEX(tEIdxElec,25)*INDEX(elecCnH,stdCSL+1,1)*allOnes,OFFSET(tPrcElec,0,24,1,_maxLT))</f>
        <v>0</v>
      </c>
      <c r="AD151" s="28">
        <f ca="1">SUMPRODUCT(dFactor,tpSurvCnH,INDEX(tEIdxElec,26)*INDEX(elecCnH,stdCSL+1,1)*allOnes,OFFSET(tPrcElec,0,25,1,_maxLT))</f>
        <v>0</v>
      </c>
      <c r="AE151" s="28">
        <f ca="1">SUMPRODUCT(dFactor,tpSurvCnH,INDEX(tEIdxElec,27)*INDEX(elecCnH,stdCSL+1,1)*allOnes,OFFSET(tPrcElec,0,26,1,_maxLT))</f>
        <v>0</v>
      </c>
      <c r="AF151" s="28">
        <f ca="1">SUMPRODUCT(dFactor,tpSurvCnH,INDEX(tEIdxElec,28)*INDEX(elecCnH,stdCSL+1,1)*allOnes,OFFSET(tPrcElec,0,27,1,_maxLT))</f>
        <v>0</v>
      </c>
      <c r="AG151" s="28">
        <f ca="1">SUMPRODUCT(dFactor,tpSurvCnH,INDEX(tEIdxElec,29)*INDEX(elecCnH,stdCSL+1,1)*allOnes,OFFSET(tPrcElec,0,28,1,_maxLT))</f>
        <v>0</v>
      </c>
      <c r="AH151" s="28">
        <f ca="1">SUMPRODUCT(dFactor,tpSurvCnH,INDEX(tEIdxElec,30)*INDEX(elecCnH,stdCSL+1,1)*allOnes,OFFSET(tPrcElec,0,29,1,_maxLT))</f>
        <v>0</v>
      </c>
      <c r="AI151" s="28">
        <f ca="1">SUMPRODUCT(dFactor,tpSurvCnH,INDEX(tEIdxElec,31)*INDEX(elecCnH,stdCSL+1,1)*allOnes,OFFSET(tPrcElec,0,30,1,_maxLT))</f>
        <v>0</v>
      </c>
      <c r="AJ151" s="28">
        <f ca="1">SUMPRODUCT(dFactor,tpSurvCnH,INDEX(tEIdxElec,32)*INDEX(elecCnH,stdCSL+1,1)*allOnes,OFFSET(tPrcElec,0,31,1,_maxLT))</f>
        <v>0</v>
      </c>
      <c r="AK151" s="29">
        <f ca="1">SUMPRODUCT(dFactor,tpSurvCnH,INDEX(tEIdxElec,33)*INDEX(elecCnH,stdCSL+1,1)*allOnes,OFFSET(tPrcElec,0,32,1,_maxLT))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ts2bElec*SUMPRODUCT(tpSurvCnH,INDEX(tEIdxElec,1)*INDEX(elecCnH,stdCSL+1,1)*convFactor)</f>
        <v>0</v>
      </c>
      <c r="F153" s="22">
        <f ca="1">ts2bElec*SUMPRODUCT(tpSurvCnH,INDEX(tEIdxElec,2)*INDEX(elecCnH,stdCSL+1,1)*convFactor)</f>
        <v>0</v>
      </c>
      <c r="G153" s="22">
        <f ca="1">ts2bElec*SUMPRODUCT(tpSurvCnH,INDEX(tEIdxElec,3)*INDEX(elecCnH,stdCSL+1,1)*convFactor)</f>
        <v>0</v>
      </c>
      <c r="H153" s="22">
        <f ca="1">ts2bElec*SUMPRODUCT(tpSurvCnH,INDEX(tEIdxElec,4)*INDEX(elecCnH,stdCSL+1,1)*convFactor)</f>
        <v>0</v>
      </c>
      <c r="I153" s="22">
        <f ca="1">ts2bElec*SUMPRODUCT(tpSurvCnH,INDEX(tEIdxElec,5)*INDEX(elecCnH,stdCSL+1,1)*convFactor)</f>
        <v>0</v>
      </c>
      <c r="J153" s="22">
        <f ca="1">ts2bElec*SUMPRODUCT(tpSurvCnH,INDEX(tEIdxElec,6)*INDEX(elecCnH,stdCSL+1,1)*convFactor)</f>
        <v>0</v>
      </c>
      <c r="K153" s="22">
        <f ca="1">ts2bElec*SUMPRODUCT(tpSurvCnH,INDEX(tEIdxElec,7)*INDEX(elecCnH,stdCSL+1,1)*convFactor)</f>
        <v>0</v>
      </c>
      <c r="L153" s="22">
        <f ca="1">ts2bElec*SUMPRODUCT(tpSurvCnH,INDEX(tEIdxElec,8)*INDEX(elecCnH,stdCSL+1,1)*convFactor)</f>
        <v>0</v>
      </c>
      <c r="M153" s="22">
        <f ca="1">ts2bElec*SUMPRODUCT(tpSurvCnH,INDEX(tEIdxElec,9)*INDEX(elecCnH,stdCSL+1,1)*convFactor)</f>
        <v>0</v>
      </c>
      <c r="N153" s="22">
        <f ca="1">ts2bElec*SUMPRODUCT(tpSurvCnH,INDEX(tEIdxElec,10)*INDEX(elecCnH,stdCSL+1,1)*convFactor)</f>
        <v>0</v>
      </c>
      <c r="O153" s="22">
        <f ca="1">ts2bElec*SUMPRODUCT(tpSurvCnH,INDEX(tEIdxElec,11)*INDEX(elecCnH,stdCSL+1,1)*convFactor)</f>
        <v>0</v>
      </c>
      <c r="P153" s="22">
        <f ca="1">ts2bElec*SUMPRODUCT(tpSurvCnH,INDEX(tEIdxElec,12)*INDEX(elecCnH,stdCSL+1,1)*convFactor)</f>
        <v>0</v>
      </c>
      <c r="Q153" s="22">
        <f ca="1">ts2bElec*SUMPRODUCT(tpSurvCnH,INDEX(tEIdxElec,13)*INDEX(elecCnH,stdCSL+1,1)*convFactor)</f>
        <v>0</v>
      </c>
      <c r="R153" s="22">
        <f ca="1">ts2bElec*SUMPRODUCT(tpSurvCnH,INDEX(tEIdxElec,14)*INDEX(elecCnH,stdCSL+1,1)*convFactor)</f>
        <v>0</v>
      </c>
      <c r="S153" s="22">
        <f ca="1">ts2bElec*SUMPRODUCT(tpSurvCnH,INDEX(tEIdxElec,15)*INDEX(elecCnH,stdCSL+1,1)*convFactor)</f>
        <v>0</v>
      </c>
      <c r="T153" s="22">
        <f ca="1">ts2bElec*SUMPRODUCT(tpSurvCnH,INDEX(tEIdxElec,16)*INDEX(elecCnH,stdCSL+1,1)*convFactor)</f>
        <v>0</v>
      </c>
      <c r="U153" s="22">
        <f ca="1">ts2bElec*SUMPRODUCT(tpSurvCnH,INDEX(tEIdxElec,17)*INDEX(elecCnH,stdCSL+1,1)*convFactor)</f>
        <v>0</v>
      </c>
      <c r="V153" s="22">
        <f ca="1">ts2bElec*SUMPRODUCT(tpSurvCnH,INDEX(tEIdxElec,18)*INDEX(elecCnH,stdCSL+1,1)*convFactor)</f>
        <v>0</v>
      </c>
      <c r="W153" s="22">
        <f ca="1">ts2bElec*SUMPRODUCT(tpSurvCnH,INDEX(tEIdxElec,19)*INDEX(elecCnH,stdCSL+1,1)*convFactor)</f>
        <v>0</v>
      </c>
      <c r="X153" s="22">
        <f ca="1">ts2bElec*SUMPRODUCT(tpSurvCnH,INDEX(tEIdxElec,20)*INDEX(elecCnH,stdCSL+1,1)*convFactor)</f>
        <v>0</v>
      </c>
      <c r="Y153" s="22">
        <f ca="1">ts2bElec*SUMPRODUCT(tpSurvCnH,INDEX(tEIdxElec,21)*INDEX(elecCnH,stdCSL+1,1)*convFactor)</f>
        <v>0</v>
      </c>
      <c r="Z153" s="22">
        <f ca="1">ts2bElec*SUMPRODUCT(tpSurvCnH,INDEX(tEIdxElec,22)*INDEX(elecCnH,stdCSL+1,1)*convFactor)</f>
        <v>0</v>
      </c>
      <c r="AA153" s="22">
        <f ca="1">ts2bElec*SUMPRODUCT(tpSurvCnH,INDEX(tEIdxElec,23)*INDEX(elecCnH,stdCSL+1,1)*convFactor)</f>
        <v>0</v>
      </c>
      <c r="AB153" s="22">
        <f ca="1">ts2bElec*SUMPRODUCT(tpSurvCnH,INDEX(tEIdxElec,24)*INDEX(elecCnH,stdCSL+1,1)*convFactor)</f>
        <v>0</v>
      </c>
      <c r="AC153" s="22">
        <f ca="1">ts2bElec*SUMPRODUCT(tpSurvCnH,INDEX(tEIdxElec,25)*INDEX(elecCnH,stdCSL+1,1)*convFactor)</f>
        <v>0</v>
      </c>
      <c r="AD153" s="22">
        <f ca="1">ts2bElec*SUMPRODUCT(tpSurvCnH,INDEX(tEIdxElec,26)*INDEX(elecCnH,stdCSL+1,1)*convFactor)</f>
        <v>0</v>
      </c>
      <c r="AE153" s="22">
        <f ca="1">ts2bElec*SUMPRODUCT(tpSurvCnH,INDEX(tEIdxElec,27)*INDEX(elecCnH,stdCSL+1,1)*convFactor)</f>
        <v>0</v>
      </c>
      <c r="AF153" s="22">
        <f ca="1">ts2bElec*SUMPRODUCT(tpSurvCnH,INDEX(tEIdxElec,28)*INDEX(elecCnH,stdCSL+1,1)*convFactor)</f>
        <v>0</v>
      </c>
      <c r="AG153" s="22">
        <f ca="1">ts2bElec*SUMPRODUCT(tpSurvCnH,INDEX(tEIdxElec,29)*INDEX(elecCnH,stdCSL+1,1)*convFactor)</f>
        <v>0</v>
      </c>
      <c r="AH153" s="22">
        <f ca="1">ts2bElec*SUMPRODUCT(tpSurvCnH,INDEX(tEIdxElec,30)*INDEX(elecCnH,stdCSL+1,1)*convFactor)</f>
        <v>0</v>
      </c>
      <c r="AI153" s="22">
        <f ca="1">ts2bElec*SUMPRODUCT(tpSurvCnH,INDEX(tEIdxElec,31)*INDEX(elecCnH,stdCSL+1,1)*convFactor)</f>
        <v>0</v>
      </c>
      <c r="AJ153" s="22">
        <f ca="1">ts2bElec*SUMPRODUCT(tpSurvCnH,INDEX(tEIdxElec,32)*INDEX(elecCnH,stdCSL+1,1)*convFactor)</f>
        <v>0</v>
      </c>
      <c r="AK153" s="25">
        <f ca="1">ts2bElec*SUMPRODUCT(tpSurvCnH,INDEX(tEIdxElec,33)*INDEX(elecCnH,stdCSL+1,1)*convFactor)</f>
        <v>0</v>
      </c>
      <c r="AL153" s="3"/>
    </row>
    <row r="154" spans="2:38">
      <c r="B154" s="3"/>
      <c r="C154" s="30" t="str">
        <f>"EL 1: " &amp; INDEX(_doName,3,2)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(1+INDEX(vadCnH,stdCSL+1,2))*INDEX(mspCnH,stdCSL+1,2)*tPIdxAll + INDEX(instCnH,stdCSL+1,2) + SUMPRODUCT(dFactor,tpSurvCnH,INDEX(mrCnH,stdCSL+1,2)*allOnes)</f>
        <v>1831.7830500000002</v>
      </c>
      <c r="F155" s="28">
        <f ca="1"/>
        <v>1831.7830500000002</v>
      </c>
      <c r="G155" s="28">
        <f ca="1"/>
        <v>1831.7830500000002</v>
      </c>
      <c r="H155" s="28">
        <f ca="1"/>
        <v>1831.7830500000002</v>
      </c>
      <c r="I155" s="28">
        <f ca="1"/>
        <v>1831.7830500000002</v>
      </c>
      <c r="J155" s="28">
        <f ca="1"/>
        <v>1831.7830500000002</v>
      </c>
      <c r="K155" s="28">
        <f ca="1"/>
        <v>1831.7830500000002</v>
      </c>
      <c r="L155" s="28">
        <f ca="1"/>
        <v>1831.7830500000002</v>
      </c>
      <c r="M155" s="28">
        <f ca="1"/>
        <v>1831.7830500000002</v>
      </c>
      <c r="N155" s="28">
        <f ca="1"/>
        <v>1831.7830500000002</v>
      </c>
      <c r="O155" s="28">
        <f ca="1"/>
        <v>1831.7830500000002</v>
      </c>
      <c r="P155" s="28">
        <f ca="1"/>
        <v>1831.7830500000002</v>
      </c>
      <c r="Q155" s="28">
        <f ca="1"/>
        <v>1831.7830500000002</v>
      </c>
      <c r="R155" s="28">
        <f ca="1"/>
        <v>1831.7830500000002</v>
      </c>
      <c r="S155" s="28">
        <f ca="1"/>
        <v>1831.7830500000002</v>
      </c>
      <c r="T155" s="28">
        <f ca="1"/>
        <v>1831.7830500000002</v>
      </c>
      <c r="U155" s="28">
        <f ca="1"/>
        <v>1831.7830500000002</v>
      </c>
      <c r="V155" s="28">
        <f ca="1"/>
        <v>1831.7830500000002</v>
      </c>
      <c r="W155" s="28">
        <f ca="1"/>
        <v>1831.7830500000002</v>
      </c>
      <c r="X155" s="28">
        <f ca="1"/>
        <v>1831.7830500000002</v>
      </c>
      <c r="Y155" s="28">
        <f ca="1"/>
        <v>1831.7830500000002</v>
      </c>
      <c r="Z155" s="28">
        <f ca="1"/>
        <v>1831.7830500000002</v>
      </c>
      <c r="AA155" s="28">
        <f ca="1"/>
        <v>1831.7830500000002</v>
      </c>
      <c r="AB155" s="28">
        <f ca="1"/>
        <v>1831.7830500000002</v>
      </c>
      <c r="AC155" s="28">
        <f ca="1"/>
        <v>1831.7830500000002</v>
      </c>
      <c r="AD155" s="28">
        <f ca="1"/>
        <v>1831.7830500000002</v>
      </c>
      <c r="AE155" s="28">
        <f ca="1"/>
        <v>1831.7830500000002</v>
      </c>
      <c r="AF155" s="28">
        <f ca="1"/>
        <v>1831.7830500000002</v>
      </c>
      <c r="AG155" s="28">
        <f ca="1"/>
        <v>1831.7830500000002</v>
      </c>
      <c r="AH155" s="28">
        <f ca="1"/>
        <v>1831.7830500000002</v>
      </c>
      <c r="AI155" s="28">
        <f ca="1"/>
        <v>1831.7830500000002</v>
      </c>
      <c r="AJ155" s="28">
        <f ca="1"/>
        <v>1831.7830500000002</v>
      </c>
      <c r="AK155" s="29">
        <f ca="1"/>
        <v>1831.7830500000002</v>
      </c>
      <c r="AL155" s="3"/>
    </row>
    <row r="156" spans="2:38">
      <c r="B156" s="3"/>
      <c r="C156" s="23" t="s">
        <v>47</v>
      </c>
      <c r="D156" s="16" t="str">
        <f>_yearDol &amp; "$"</f>
        <v>2013$</v>
      </c>
      <c r="E156" s="141">
        <f t="array" aca="1" ref="E156:AK156" ca="1">(tlccEFupolElec1)</f>
        <v>62767.886060871868</v>
      </c>
      <c r="F156" s="28">
        <f ca="1"/>
        <v>63044.330628354699</v>
      </c>
      <c r="G156" s="28">
        <f ca="1"/>
        <v>63289.022770850846</v>
      </c>
      <c r="H156" s="28">
        <f ca="1"/>
        <v>63555.763169821854</v>
      </c>
      <c r="I156" s="28">
        <f ca="1"/>
        <v>63789.969652481428</v>
      </c>
      <c r="J156" s="28">
        <f ca="1"/>
        <v>64045.703153745271</v>
      </c>
      <c r="K156" s="28">
        <f ca="1"/>
        <v>64268.101152894182</v>
      </c>
      <c r="L156" s="28">
        <f ca="1"/>
        <v>64511.302498355028</v>
      </c>
      <c r="M156" s="28">
        <f ca="1"/>
        <v>64776.556837523574</v>
      </c>
      <c r="N156" s="28">
        <f ca="1"/>
        <v>65009.253192002478</v>
      </c>
      <c r="O156" s="28">
        <f ca="1"/>
        <v>65263.436211960645</v>
      </c>
      <c r="P156" s="28">
        <f ca="1"/>
        <v>65540.642387868589</v>
      </c>
      <c r="Q156" s="28">
        <f ca="1"/>
        <v>65786.307196625799</v>
      </c>
      <c r="R156" s="28">
        <f ca="1"/>
        <v>66054.300809230888</v>
      </c>
      <c r="S156" s="28">
        <f ca="1"/>
        <v>66290.049740521572</v>
      </c>
      <c r="T156" s="28">
        <f ca="1"/>
        <v>66547.575418230699</v>
      </c>
      <c r="U156" s="28">
        <f ca="1"/>
        <v>66828.529516477618</v>
      </c>
      <c r="V156" s="28">
        <f ca="1"/>
        <v>67078.220040019325</v>
      </c>
      <c r="W156" s="28">
        <f ca="1"/>
        <v>67350.760908136013</v>
      </c>
      <c r="X156" s="28">
        <f ca="1"/>
        <v>67591.569333733263</v>
      </c>
      <c r="Y156" s="28">
        <f ca="1"/>
        <v>67854.596180459906</v>
      </c>
      <c r="Z156" s="28">
        <f ca="1"/>
        <v>68141.571796795048</v>
      </c>
      <c r="AA156" s="28">
        <f ca="1"/>
        <v>68397.738829498339</v>
      </c>
      <c r="AB156" s="28">
        <f ca="1"/>
        <v>68677.326726791929</v>
      </c>
      <c r="AC156" s="28">
        <f ca="1"/>
        <v>68925.711949170873</v>
      </c>
      <c r="AD156" s="28">
        <f ca="1"/>
        <v>69196.908920256828</v>
      </c>
      <c r="AE156" s="28">
        <f ca="1"/>
        <v>69492.726624567193</v>
      </c>
      <c r="AF156" s="28">
        <f ca="1"/>
        <v>69758.486324402533</v>
      </c>
      <c r="AG156" s="28">
        <f ca="1"/>
        <v>70048.5816682804</v>
      </c>
      <c r="AH156" s="28">
        <f ca="1"/>
        <v>70308.231461644769</v>
      </c>
      <c r="AI156" s="28">
        <f ca="1"/>
        <v>70591.738935703717</v>
      </c>
      <c r="AJ156" s="28">
        <f ca="1"/>
        <v>70844.480047011544</v>
      </c>
      <c r="AK156" s="29">
        <f ca="1"/>
        <v>71120.587547717674</v>
      </c>
      <c r="AL156" s="3"/>
    </row>
    <row r="157" spans="2:38">
      <c r="B157" s="3"/>
      <c r="C157" s="27" t="str">
        <f>INDEX(_fuel,1)</f>
        <v>Electricity</v>
      </c>
      <c r="D157" s="16" t="str">
        <f>_yearDol &amp; "$"</f>
        <v>2013$</v>
      </c>
      <c r="E157" s="141">
        <f ca="1">SUMPRODUCT(dFactor,tpSurvCnH,INDEX(tEIdxElec,1)*INDEX(elecCnH,stdCSL+1,2)*allOnes,OFFSET(tPrcElec,0,0,1,_maxLT))</f>
        <v>62767.886060871868</v>
      </c>
      <c r="F157" s="28">
        <f ca="1">SUMPRODUCT(dFactor,tpSurvCnH,INDEX(tEIdxElec,2)*INDEX(elecCnH,stdCSL+1,2)*allOnes,OFFSET(tPrcElec,0,1,1,_maxLT))</f>
        <v>63044.330628354699</v>
      </c>
      <c r="G157" s="28">
        <f ca="1">SUMPRODUCT(dFactor,tpSurvCnH,INDEX(tEIdxElec,3)*INDEX(elecCnH,stdCSL+1,2)*allOnes,OFFSET(tPrcElec,0,2,1,_maxLT))</f>
        <v>63289.022770850846</v>
      </c>
      <c r="H157" s="28">
        <f ca="1">SUMPRODUCT(dFactor,tpSurvCnH,INDEX(tEIdxElec,4)*INDEX(elecCnH,stdCSL+1,2)*allOnes,OFFSET(tPrcElec,0,3,1,_maxLT))</f>
        <v>63555.763169821854</v>
      </c>
      <c r="I157" s="28">
        <f ca="1">SUMPRODUCT(dFactor,tpSurvCnH,INDEX(tEIdxElec,5)*INDEX(elecCnH,stdCSL+1,2)*allOnes,OFFSET(tPrcElec,0,4,1,_maxLT))</f>
        <v>63789.969652481428</v>
      </c>
      <c r="J157" s="28">
        <f ca="1">SUMPRODUCT(dFactor,tpSurvCnH,INDEX(tEIdxElec,6)*INDEX(elecCnH,stdCSL+1,2)*allOnes,OFFSET(tPrcElec,0,5,1,_maxLT))</f>
        <v>64045.703153745271</v>
      </c>
      <c r="K157" s="28">
        <f ca="1">SUMPRODUCT(dFactor,tpSurvCnH,INDEX(tEIdxElec,7)*INDEX(elecCnH,stdCSL+1,2)*allOnes,OFFSET(tPrcElec,0,6,1,_maxLT))</f>
        <v>64268.101152894182</v>
      </c>
      <c r="L157" s="28">
        <f ca="1">SUMPRODUCT(dFactor,tpSurvCnH,INDEX(tEIdxElec,8)*INDEX(elecCnH,stdCSL+1,2)*allOnes,OFFSET(tPrcElec,0,7,1,_maxLT))</f>
        <v>64511.302498355028</v>
      </c>
      <c r="M157" s="28">
        <f ca="1">SUMPRODUCT(dFactor,tpSurvCnH,INDEX(tEIdxElec,9)*INDEX(elecCnH,stdCSL+1,2)*allOnes,OFFSET(tPrcElec,0,8,1,_maxLT))</f>
        <v>64776.556837523574</v>
      </c>
      <c r="N157" s="28">
        <f ca="1">SUMPRODUCT(dFactor,tpSurvCnH,INDEX(tEIdxElec,10)*INDEX(elecCnH,stdCSL+1,2)*allOnes,OFFSET(tPrcElec,0,9,1,_maxLT))</f>
        <v>65009.253192002478</v>
      </c>
      <c r="O157" s="28">
        <f ca="1">SUMPRODUCT(dFactor,tpSurvCnH,INDEX(tEIdxElec,11)*INDEX(elecCnH,stdCSL+1,2)*allOnes,OFFSET(tPrcElec,0,10,1,_maxLT))</f>
        <v>65263.436211960645</v>
      </c>
      <c r="P157" s="28">
        <f ca="1">SUMPRODUCT(dFactor,tpSurvCnH,INDEX(tEIdxElec,12)*INDEX(elecCnH,stdCSL+1,2)*allOnes,OFFSET(tPrcElec,0,11,1,_maxLT))</f>
        <v>65540.642387868589</v>
      </c>
      <c r="Q157" s="28">
        <f ca="1">SUMPRODUCT(dFactor,tpSurvCnH,INDEX(tEIdxElec,13)*INDEX(elecCnH,stdCSL+1,2)*allOnes,OFFSET(tPrcElec,0,12,1,_maxLT))</f>
        <v>65786.307196625799</v>
      </c>
      <c r="R157" s="28">
        <f ca="1">SUMPRODUCT(dFactor,tpSurvCnH,INDEX(tEIdxElec,14)*INDEX(elecCnH,stdCSL+1,2)*allOnes,OFFSET(tPrcElec,0,13,1,_maxLT))</f>
        <v>66054.300809230888</v>
      </c>
      <c r="S157" s="28">
        <f ca="1">SUMPRODUCT(dFactor,tpSurvCnH,INDEX(tEIdxElec,15)*INDEX(elecCnH,stdCSL+1,2)*allOnes,OFFSET(tPrcElec,0,14,1,_maxLT))</f>
        <v>66290.049740521572</v>
      </c>
      <c r="T157" s="28">
        <f ca="1">SUMPRODUCT(dFactor,tpSurvCnH,INDEX(tEIdxElec,16)*INDEX(elecCnH,stdCSL+1,2)*allOnes,OFFSET(tPrcElec,0,15,1,_maxLT))</f>
        <v>66547.575418230699</v>
      </c>
      <c r="U157" s="28">
        <f ca="1">SUMPRODUCT(dFactor,tpSurvCnH,INDEX(tEIdxElec,17)*INDEX(elecCnH,stdCSL+1,2)*allOnes,OFFSET(tPrcElec,0,16,1,_maxLT))</f>
        <v>66828.529516477618</v>
      </c>
      <c r="V157" s="28">
        <f ca="1">SUMPRODUCT(dFactor,tpSurvCnH,INDEX(tEIdxElec,18)*INDEX(elecCnH,stdCSL+1,2)*allOnes,OFFSET(tPrcElec,0,17,1,_maxLT))</f>
        <v>67078.220040019325</v>
      </c>
      <c r="W157" s="28">
        <f ca="1">SUMPRODUCT(dFactor,tpSurvCnH,INDEX(tEIdxElec,19)*INDEX(elecCnH,stdCSL+1,2)*allOnes,OFFSET(tPrcElec,0,18,1,_maxLT))</f>
        <v>67350.760908136013</v>
      </c>
      <c r="X157" s="28">
        <f ca="1">SUMPRODUCT(dFactor,tpSurvCnH,INDEX(tEIdxElec,20)*INDEX(elecCnH,stdCSL+1,2)*allOnes,OFFSET(tPrcElec,0,19,1,_maxLT))</f>
        <v>67591.569333733263</v>
      </c>
      <c r="Y157" s="28">
        <f ca="1">SUMPRODUCT(dFactor,tpSurvCnH,INDEX(tEIdxElec,21)*INDEX(elecCnH,stdCSL+1,2)*allOnes,OFFSET(tPrcElec,0,20,1,_maxLT))</f>
        <v>67854.596180459906</v>
      </c>
      <c r="Z157" s="28">
        <f ca="1">SUMPRODUCT(dFactor,tpSurvCnH,INDEX(tEIdxElec,22)*INDEX(elecCnH,stdCSL+1,2)*allOnes,OFFSET(tPrcElec,0,21,1,_maxLT))</f>
        <v>68141.571796795048</v>
      </c>
      <c r="AA157" s="28">
        <f ca="1">SUMPRODUCT(dFactor,tpSurvCnH,INDEX(tEIdxElec,23)*INDEX(elecCnH,stdCSL+1,2)*allOnes,OFFSET(tPrcElec,0,22,1,_maxLT))</f>
        <v>68397.738829498339</v>
      </c>
      <c r="AB157" s="28">
        <f ca="1">SUMPRODUCT(dFactor,tpSurvCnH,INDEX(tEIdxElec,24)*INDEX(elecCnH,stdCSL+1,2)*allOnes,OFFSET(tPrcElec,0,23,1,_maxLT))</f>
        <v>68677.326726791929</v>
      </c>
      <c r="AC157" s="28">
        <f ca="1">SUMPRODUCT(dFactor,tpSurvCnH,INDEX(tEIdxElec,25)*INDEX(elecCnH,stdCSL+1,2)*allOnes,OFFSET(tPrcElec,0,24,1,_maxLT))</f>
        <v>68925.711949170873</v>
      </c>
      <c r="AD157" s="28">
        <f ca="1">SUMPRODUCT(dFactor,tpSurvCnH,INDEX(tEIdxElec,26)*INDEX(elecCnH,stdCSL+1,2)*allOnes,OFFSET(tPrcElec,0,25,1,_maxLT))</f>
        <v>69196.908920256828</v>
      </c>
      <c r="AE157" s="28">
        <f ca="1">SUMPRODUCT(dFactor,tpSurvCnH,INDEX(tEIdxElec,27)*INDEX(elecCnH,stdCSL+1,2)*allOnes,OFFSET(tPrcElec,0,26,1,_maxLT))</f>
        <v>69492.726624567193</v>
      </c>
      <c r="AF157" s="28">
        <f ca="1">SUMPRODUCT(dFactor,tpSurvCnH,INDEX(tEIdxElec,28)*INDEX(elecCnH,stdCSL+1,2)*allOnes,OFFSET(tPrcElec,0,27,1,_maxLT))</f>
        <v>69758.486324402533</v>
      </c>
      <c r="AG157" s="28">
        <f ca="1">SUMPRODUCT(dFactor,tpSurvCnH,INDEX(tEIdxElec,29)*INDEX(elecCnH,stdCSL+1,2)*allOnes,OFFSET(tPrcElec,0,28,1,_maxLT))</f>
        <v>70048.5816682804</v>
      </c>
      <c r="AH157" s="28">
        <f ca="1">SUMPRODUCT(dFactor,tpSurvCnH,INDEX(tEIdxElec,30)*INDEX(elecCnH,stdCSL+1,2)*allOnes,OFFSET(tPrcElec,0,29,1,_maxLT))</f>
        <v>70308.231461644769</v>
      </c>
      <c r="AI157" s="28">
        <f ca="1">SUMPRODUCT(dFactor,tpSurvCnH,INDEX(tEIdxElec,31)*INDEX(elecCnH,stdCSL+1,2)*allOnes,OFFSET(tPrcElec,0,30,1,_maxLT))</f>
        <v>70591.738935703717</v>
      </c>
      <c r="AJ157" s="28">
        <f ca="1">SUMPRODUCT(dFactor,tpSurvCnH,INDEX(tEIdxElec,32)*INDEX(elecCnH,stdCSL+1,2)*allOnes,OFFSET(tPrcElec,0,31,1,_maxLT))</f>
        <v>70844.480047011544</v>
      </c>
      <c r="AK157" s="29">
        <f ca="1">SUMPRODUCT(dFactor,tpSurvCnH,INDEX(tEIdxElec,33)*INDEX(elecCnH,stdCSL+1,2)*allOnes,OFFSET(tPrcElec,0,32,1,_maxLT))</f>
        <v>71120.587547717674</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ts2bElec*SUMPRODUCT(tpSurvCnH,INDEX(tEIdxElec,1)*INDEX(elecCnH,stdCSL+1,2)*convFactor)</f>
        <v>13361.948781748271</v>
      </c>
      <c r="F159" s="22">
        <f ca="1">ts2bElec*SUMPRODUCT(tpSurvCnH,INDEX(tEIdxElec,2)*INDEX(elecCnH,stdCSL+1,2)*convFactor)</f>
        <v>13262.070533821085</v>
      </c>
      <c r="G159" s="22">
        <f ca="1">ts2bElec*SUMPRODUCT(tpSurvCnH,INDEX(tEIdxElec,3)*INDEX(elecCnH,stdCSL+1,2)*convFactor)</f>
        <v>13161.439445901449</v>
      </c>
      <c r="H159" s="22">
        <f ca="1">ts2bElec*SUMPRODUCT(tpSurvCnH,INDEX(tEIdxElec,4)*INDEX(elecCnH,stdCSL+1,2)*convFactor)</f>
        <v>13073.057637272599</v>
      </c>
      <c r="I159" s="22">
        <f ca="1">ts2bElec*SUMPRODUCT(tpSurvCnH,INDEX(tEIdxElec,5)*INDEX(elecCnH,stdCSL+1,2)*convFactor)</f>
        <v>12989.25223817868</v>
      </c>
      <c r="J159" s="22">
        <f ca="1">ts2bElec*SUMPRODUCT(tpSurvCnH,INDEX(tEIdxElec,6)*INDEX(elecCnH,stdCSL+1,2)*convFactor)</f>
        <v>12916.267689388036</v>
      </c>
      <c r="K159" s="22">
        <f ca="1">ts2bElec*SUMPRODUCT(tpSurvCnH,INDEX(tEIdxElec,7)*INDEX(elecCnH,stdCSL+1,2)*convFactor)</f>
        <v>12859.667608858179</v>
      </c>
      <c r="L159" s="22">
        <f ca="1">ts2bElec*SUMPRODUCT(tpSurvCnH,INDEX(tEIdxElec,8)*INDEX(elecCnH,stdCSL+1,2)*convFactor)</f>
        <v>12812.748859100773</v>
      </c>
      <c r="M159" s="22">
        <f ca="1">ts2bElec*SUMPRODUCT(tpSurvCnH,INDEX(tEIdxElec,9)*INDEX(elecCnH,stdCSL+1,2)*convFactor)</f>
        <v>12765.627411455349</v>
      </c>
      <c r="N159" s="22">
        <f ca="1">ts2bElec*SUMPRODUCT(tpSurvCnH,INDEX(tEIdxElec,10)*INDEX(elecCnH,stdCSL+1,2)*convFactor)</f>
        <v>12727.941976088647</v>
      </c>
      <c r="O159" s="22">
        <f ca="1">ts2bElec*SUMPRODUCT(tpSurvCnH,INDEX(tEIdxElec,11)*INDEX(elecCnH,stdCSL+1,2)*convFactor)</f>
        <v>12701.988653268118</v>
      </c>
      <c r="P159" s="22">
        <f ca="1">ts2bElec*SUMPRODUCT(tpSurvCnH,INDEX(tEIdxElec,12)*INDEX(elecCnH,stdCSL+1,2)*convFactor)</f>
        <v>12682.999910606928</v>
      </c>
      <c r="Q159" s="22">
        <f ca="1">ts2bElec*SUMPRODUCT(tpSurvCnH,INDEX(tEIdxElec,13)*INDEX(elecCnH,stdCSL+1,2)*convFactor)</f>
        <v>12667.023667185065</v>
      </c>
      <c r="R159" s="22">
        <f ca="1">ts2bElec*SUMPRODUCT(tpSurvCnH,INDEX(tEIdxElec,14)*INDEX(elecCnH,stdCSL+1,2)*convFactor)</f>
        <v>12655.239559110543</v>
      </c>
      <c r="S159" s="22">
        <f ca="1">ts2bElec*SUMPRODUCT(tpSurvCnH,INDEX(tEIdxElec,15)*INDEX(elecCnH,stdCSL+1,2)*convFactor)</f>
        <v>12646.2571286164</v>
      </c>
      <c r="T159" s="22">
        <f ca="1">ts2bElec*SUMPRODUCT(tpSurvCnH,INDEX(tEIdxElec,16)*INDEX(elecCnH,stdCSL+1,2)*convFactor)</f>
        <v>12645.131985857106</v>
      </c>
      <c r="U159" s="22">
        <f ca="1">ts2bElec*SUMPRODUCT(tpSurvCnH,INDEX(tEIdxElec,17)*INDEX(elecCnH,stdCSL+1,2)*convFactor)</f>
        <v>12647.438302820898</v>
      </c>
      <c r="V159" s="22">
        <f ca="1">ts2bElec*SUMPRODUCT(tpSurvCnH,INDEX(tEIdxElec,18)*INDEX(elecCnH,stdCSL+1,2)*convFactor)</f>
        <v>12650.82664901176</v>
      </c>
      <c r="W159" s="22">
        <f ca="1">ts2bElec*SUMPRODUCT(tpSurvCnH,INDEX(tEIdxElec,19)*INDEX(elecCnH,stdCSL+1,2)*convFactor)</f>
        <v>12655.672453514429</v>
      </c>
      <c r="X159" s="22">
        <f ca="1">ts2bElec*SUMPRODUCT(tpSurvCnH,INDEX(tEIdxElec,20)*INDEX(elecCnH,stdCSL+1,2)*convFactor)</f>
        <v>12660.251686715708</v>
      </c>
      <c r="Y159" s="22">
        <f ca="1">ts2bElec*SUMPRODUCT(tpSurvCnH,INDEX(tEIdxElec,21)*INDEX(elecCnH,stdCSL+1,2)*convFactor)</f>
        <v>12664.045826258172</v>
      </c>
      <c r="Z159" s="22">
        <f ca="1">ts2bElec*SUMPRODUCT(tpSurvCnH,INDEX(tEIdxElec,22)*INDEX(elecCnH,stdCSL+1,2)*convFactor)</f>
        <v>12666.588436195296</v>
      </c>
      <c r="AA159" s="22">
        <f ca="1">ts2bElec*SUMPRODUCT(tpSurvCnH,INDEX(tEIdxElec,23)*INDEX(elecCnH,stdCSL+1,2)*convFactor)</f>
        <v>12668.264185396776</v>
      </c>
      <c r="AB159" s="22">
        <f ca="1">ts2bElec*SUMPRODUCT(tpSurvCnH,INDEX(tEIdxElec,24)*INDEX(elecCnH,stdCSL+1,2)*convFactor)</f>
        <v>12668.264185396776</v>
      </c>
      <c r="AC159" s="22">
        <f ca="1">ts2bElec*SUMPRODUCT(tpSurvCnH,INDEX(tEIdxElec,25)*INDEX(elecCnH,stdCSL+1,2)*convFactor)</f>
        <v>12668.264185396776</v>
      </c>
      <c r="AD159" s="22">
        <f ca="1">ts2bElec*SUMPRODUCT(tpSurvCnH,INDEX(tEIdxElec,26)*INDEX(elecCnH,stdCSL+1,2)*convFactor)</f>
        <v>12668.264185396776</v>
      </c>
      <c r="AE159" s="22">
        <f ca="1">ts2bElec*SUMPRODUCT(tpSurvCnH,INDEX(tEIdxElec,27)*INDEX(elecCnH,stdCSL+1,2)*convFactor)</f>
        <v>12668.264185396776</v>
      </c>
      <c r="AF159" s="22">
        <f ca="1">ts2bElec*SUMPRODUCT(tpSurvCnH,INDEX(tEIdxElec,28)*INDEX(elecCnH,stdCSL+1,2)*convFactor)</f>
        <v>12668.264185396776</v>
      </c>
      <c r="AG159" s="22">
        <f ca="1">ts2bElec*SUMPRODUCT(tpSurvCnH,INDEX(tEIdxElec,29)*INDEX(elecCnH,stdCSL+1,2)*convFactor)</f>
        <v>12668.264185396776</v>
      </c>
      <c r="AH159" s="22">
        <f ca="1">ts2bElec*SUMPRODUCT(tpSurvCnH,INDEX(tEIdxElec,30)*INDEX(elecCnH,stdCSL+1,2)*convFactor)</f>
        <v>12668.264185396776</v>
      </c>
      <c r="AI159" s="22">
        <f ca="1">ts2bElec*SUMPRODUCT(tpSurvCnH,INDEX(tEIdxElec,31)*INDEX(elecCnH,stdCSL+1,2)*convFactor)</f>
        <v>12668.264185396776</v>
      </c>
      <c r="AJ159" s="22">
        <f ca="1">ts2bElec*SUMPRODUCT(tpSurvCnH,INDEX(tEIdxElec,32)*INDEX(elecCnH,stdCSL+1,2)*convFactor)</f>
        <v>12668.264185396776</v>
      </c>
      <c r="AK159" s="25">
        <f ca="1">ts2bElec*SUMPRODUCT(tpSurvCnH,INDEX(tEIdxElec,33)*INDEX(elecCnH,stdCSL+1,2)*convFactor)</f>
        <v>12668.264185396776</v>
      </c>
      <c r="AL159" s="3"/>
    </row>
    <row r="160" spans="2:38">
      <c r="B160" s="3"/>
      <c r="C160" s="30" t="str">
        <f>"EL 2: " &amp; INDEX(_doName,3,3)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(1+INDEX(vadCnH,stdCSL+1,3))*INDEX(mspCnH,stdCSL+1,3)*tPIdxAll + INDEX(instCnH,stdCSL+1,3) + SUMPRODUCT(dFactor,tpSurvCnH,INDEX(mrCnH,stdCSL+1,3)*allOnes)</f>
        <v>1392.4454940000001</v>
      </c>
      <c r="F161" s="28">
        <f ca="1"/>
        <v>1392.4454940000001</v>
      </c>
      <c r="G161" s="28">
        <f ca="1"/>
        <v>1392.4454940000001</v>
      </c>
      <c r="H161" s="28">
        <f ca="1"/>
        <v>1392.4454940000001</v>
      </c>
      <c r="I161" s="28">
        <f ca="1"/>
        <v>1392.4454940000001</v>
      </c>
      <c r="J161" s="28">
        <f ca="1"/>
        <v>1392.4454940000001</v>
      </c>
      <c r="K161" s="28">
        <f ca="1"/>
        <v>1392.4454940000001</v>
      </c>
      <c r="L161" s="28">
        <f ca="1"/>
        <v>1392.4454940000001</v>
      </c>
      <c r="M161" s="28">
        <f ca="1"/>
        <v>1392.4454940000001</v>
      </c>
      <c r="N161" s="28">
        <f ca="1"/>
        <v>1392.4454940000001</v>
      </c>
      <c r="O161" s="28">
        <f ca="1"/>
        <v>1392.4454940000001</v>
      </c>
      <c r="P161" s="28">
        <f ca="1"/>
        <v>1392.4454940000001</v>
      </c>
      <c r="Q161" s="28">
        <f ca="1"/>
        <v>1392.4454940000001</v>
      </c>
      <c r="R161" s="28">
        <f ca="1"/>
        <v>1392.4454940000001</v>
      </c>
      <c r="S161" s="28">
        <f ca="1"/>
        <v>1392.4454940000001</v>
      </c>
      <c r="T161" s="28">
        <f ca="1"/>
        <v>1392.4454940000001</v>
      </c>
      <c r="U161" s="28">
        <f ca="1"/>
        <v>1392.4454940000001</v>
      </c>
      <c r="V161" s="28">
        <f ca="1"/>
        <v>1392.4454940000001</v>
      </c>
      <c r="W161" s="28">
        <f ca="1"/>
        <v>1392.4454940000001</v>
      </c>
      <c r="X161" s="28">
        <f ca="1"/>
        <v>1392.4454940000001</v>
      </c>
      <c r="Y161" s="28">
        <f ca="1"/>
        <v>1392.4454940000001</v>
      </c>
      <c r="Z161" s="28">
        <f ca="1"/>
        <v>1392.4454940000001</v>
      </c>
      <c r="AA161" s="28">
        <f ca="1"/>
        <v>1392.4454940000001</v>
      </c>
      <c r="AB161" s="28">
        <f ca="1"/>
        <v>1392.4454940000001</v>
      </c>
      <c r="AC161" s="28">
        <f ca="1"/>
        <v>1392.4454940000001</v>
      </c>
      <c r="AD161" s="28">
        <f ca="1"/>
        <v>1392.4454940000001</v>
      </c>
      <c r="AE161" s="28">
        <f ca="1"/>
        <v>1392.4454940000001</v>
      </c>
      <c r="AF161" s="28">
        <f ca="1"/>
        <v>1392.4454940000001</v>
      </c>
      <c r="AG161" s="28">
        <f ca="1"/>
        <v>1392.4454940000001</v>
      </c>
      <c r="AH161" s="28">
        <f ca="1"/>
        <v>1392.4454940000001</v>
      </c>
      <c r="AI161" s="28">
        <f ca="1"/>
        <v>1392.4454940000001</v>
      </c>
      <c r="AJ161" s="28">
        <f ca="1"/>
        <v>1392.4454940000001</v>
      </c>
      <c r="AK161" s="29">
        <f ca="1"/>
        <v>1392.4454940000001</v>
      </c>
      <c r="AL161" s="3"/>
    </row>
    <row r="162" spans="2:38">
      <c r="B162" s="3"/>
      <c r="C162" s="23" t="s">
        <v>47</v>
      </c>
      <c r="D162" s="16" t="str">
        <f>_yearDol &amp; "$"</f>
        <v>2013$</v>
      </c>
      <c r="E162" s="141">
        <f t="array" aca="1" ref="E162:AK162" ca="1">(tlccEFupolElec2)</f>
        <v>65391.041469831398</v>
      </c>
      <c r="F162" s="28">
        <f ca="1"/>
        <v>65679.039032133369</v>
      </c>
      <c r="G162" s="28">
        <f ca="1"/>
        <v>65933.957192381582</v>
      </c>
      <c r="H162" s="28">
        <f ca="1"/>
        <v>66211.845035758641</v>
      </c>
      <c r="I162" s="28">
        <f ca="1"/>
        <v>66455.839326170855</v>
      </c>
      <c r="J162" s="28">
        <f ca="1"/>
        <v>66722.260278601127</v>
      </c>
      <c r="K162" s="28">
        <f ca="1"/>
        <v>66953.952592900954</v>
      </c>
      <c r="L162" s="28">
        <f ca="1"/>
        <v>67207.317653676248</v>
      </c>
      <c r="M162" s="28">
        <f ca="1"/>
        <v>67483.657332788614</v>
      </c>
      <c r="N162" s="28">
        <f ca="1"/>
        <v>67726.078384707595</v>
      </c>
      <c r="O162" s="28">
        <f ca="1"/>
        <v>67990.88405910763</v>
      </c>
      <c r="P162" s="28">
        <f ca="1"/>
        <v>68279.675058487628</v>
      </c>
      <c r="Q162" s="28">
        <f ca="1"/>
        <v>68535.606534044171</v>
      </c>
      <c r="R162" s="28">
        <f ca="1"/>
        <v>68814.799964559163</v>
      </c>
      <c r="S162" s="28">
        <f ca="1"/>
        <v>69060.401164630632</v>
      </c>
      <c r="T162" s="28">
        <f ca="1"/>
        <v>69328.689190999503</v>
      </c>
      <c r="U162" s="28">
        <f ca="1"/>
        <v>69621.384743495306</v>
      </c>
      <c r="V162" s="28">
        <f ca="1"/>
        <v>69881.510173937655</v>
      </c>
      <c r="W162" s="28">
        <f ca="1"/>
        <v>70165.440895962704</v>
      </c>
      <c r="X162" s="28">
        <f ca="1"/>
        <v>70416.313033495622</v>
      </c>
      <c r="Y162" s="28">
        <f ca="1"/>
        <v>70690.332130224459</v>
      </c>
      <c r="Z162" s="28">
        <f ca="1"/>
        <v>70989.300848247047</v>
      </c>
      <c r="AA162" s="28">
        <f ca="1"/>
        <v>71256.173449985741</v>
      </c>
      <c r="AB162" s="28">
        <f ca="1"/>
        <v>71547.445706130427</v>
      </c>
      <c r="AC162" s="28">
        <f ca="1"/>
        <v>71806.211285097394</v>
      </c>
      <c r="AD162" s="28">
        <f ca="1"/>
        <v>72088.741946805152</v>
      </c>
      <c r="AE162" s="28">
        <f ca="1"/>
        <v>72396.922275696765</v>
      </c>
      <c r="AF162" s="28">
        <f ca="1"/>
        <v>72673.788435186216</v>
      </c>
      <c r="AG162" s="28">
        <f ca="1"/>
        <v>72976.007258412516</v>
      </c>
      <c r="AH162" s="28">
        <f ca="1"/>
        <v>73246.50817012167</v>
      </c>
      <c r="AI162" s="28">
        <f ca="1"/>
        <v>73541.863807480884</v>
      </c>
      <c r="AJ162" s="28">
        <f ca="1"/>
        <v>73805.167313905113</v>
      </c>
      <c r="AK162" s="29">
        <f ca="1"/>
        <v>74092.813722950857</v>
      </c>
      <c r="AL162" s="3"/>
    </row>
    <row r="163" spans="2:38">
      <c r="B163" s="3"/>
      <c r="C163" s="27" t="str">
        <f>INDEX(_fuel,1)</f>
        <v>Electricity</v>
      </c>
      <c r="D163" s="16" t="str">
        <f>_yearDol &amp; "$"</f>
        <v>2013$</v>
      </c>
      <c r="E163" s="141">
        <f ca="1">SUMPRODUCT(dFactor,tpSurvCnH,INDEX(tEIdxElec,1)*INDEX(elecCnH,stdCSL+1,3)*allOnes,OFFSET(tPrcElec,0,0,1,_maxLT))</f>
        <v>65391.041469831398</v>
      </c>
      <c r="F163" s="28">
        <f ca="1">SUMPRODUCT(dFactor,tpSurvCnH,INDEX(tEIdxElec,2)*INDEX(elecCnH,stdCSL+1,3)*allOnes,OFFSET(tPrcElec,0,1,1,_maxLT))</f>
        <v>65679.039032133369</v>
      </c>
      <c r="G163" s="28">
        <f ca="1">SUMPRODUCT(dFactor,tpSurvCnH,INDEX(tEIdxElec,3)*INDEX(elecCnH,stdCSL+1,3)*allOnes,OFFSET(tPrcElec,0,2,1,_maxLT))</f>
        <v>65933.957192381582</v>
      </c>
      <c r="H163" s="28">
        <f ca="1">SUMPRODUCT(dFactor,tpSurvCnH,INDEX(tEIdxElec,4)*INDEX(elecCnH,stdCSL+1,3)*allOnes,OFFSET(tPrcElec,0,3,1,_maxLT))</f>
        <v>66211.845035758641</v>
      </c>
      <c r="I163" s="28">
        <f ca="1">SUMPRODUCT(dFactor,tpSurvCnH,INDEX(tEIdxElec,5)*INDEX(elecCnH,stdCSL+1,3)*allOnes,OFFSET(tPrcElec,0,4,1,_maxLT))</f>
        <v>66455.839326170855</v>
      </c>
      <c r="J163" s="28">
        <f ca="1">SUMPRODUCT(dFactor,tpSurvCnH,INDEX(tEIdxElec,6)*INDEX(elecCnH,stdCSL+1,3)*allOnes,OFFSET(tPrcElec,0,5,1,_maxLT))</f>
        <v>66722.260278601127</v>
      </c>
      <c r="K163" s="28">
        <f ca="1">SUMPRODUCT(dFactor,tpSurvCnH,INDEX(tEIdxElec,7)*INDEX(elecCnH,stdCSL+1,3)*allOnes,OFFSET(tPrcElec,0,6,1,_maxLT))</f>
        <v>66953.952592900954</v>
      </c>
      <c r="L163" s="28">
        <f ca="1">SUMPRODUCT(dFactor,tpSurvCnH,INDEX(tEIdxElec,8)*INDEX(elecCnH,stdCSL+1,3)*allOnes,OFFSET(tPrcElec,0,7,1,_maxLT))</f>
        <v>67207.317653676248</v>
      </c>
      <c r="M163" s="28">
        <f ca="1">SUMPRODUCT(dFactor,tpSurvCnH,INDEX(tEIdxElec,9)*INDEX(elecCnH,stdCSL+1,3)*allOnes,OFFSET(tPrcElec,0,8,1,_maxLT))</f>
        <v>67483.657332788614</v>
      </c>
      <c r="N163" s="28">
        <f ca="1">SUMPRODUCT(dFactor,tpSurvCnH,INDEX(tEIdxElec,10)*INDEX(elecCnH,stdCSL+1,3)*allOnes,OFFSET(tPrcElec,0,9,1,_maxLT))</f>
        <v>67726.078384707595</v>
      </c>
      <c r="O163" s="28">
        <f ca="1">SUMPRODUCT(dFactor,tpSurvCnH,INDEX(tEIdxElec,11)*INDEX(elecCnH,stdCSL+1,3)*allOnes,OFFSET(tPrcElec,0,10,1,_maxLT))</f>
        <v>67990.88405910763</v>
      </c>
      <c r="P163" s="28">
        <f ca="1">SUMPRODUCT(dFactor,tpSurvCnH,INDEX(tEIdxElec,12)*INDEX(elecCnH,stdCSL+1,3)*allOnes,OFFSET(tPrcElec,0,11,1,_maxLT))</f>
        <v>68279.675058487628</v>
      </c>
      <c r="Q163" s="28">
        <f ca="1">SUMPRODUCT(dFactor,tpSurvCnH,INDEX(tEIdxElec,13)*INDEX(elecCnH,stdCSL+1,3)*allOnes,OFFSET(tPrcElec,0,12,1,_maxLT))</f>
        <v>68535.606534044171</v>
      </c>
      <c r="R163" s="28">
        <f ca="1">SUMPRODUCT(dFactor,tpSurvCnH,INDEX(tEIdxElec,14)*INDEX(elecCnH,stdCSL+1,3)*allOnes,OFFSET(tPrcElec,0,13,1,_maxLT))</f>
        <v>68814.799964559163</v>
      </c>
      <c r="S163" s="28">
        <f ca="1">SUMPRODUCT(dFactor,tpSurvCnH,INDEX(tEIdxElec,15)*INDEX(elecCnH,stdCSL+1,3)*allOnes,OFFSET(tPrcElec,0,14,1,_maxLT))</f>
        <v>69060.401164630632</v>
      </c>
      <c r="T163" s="28">
        <f ca="1">SUMPRODUCT(dFactor,tpSurvCnH,INDEX(tEIdxElec,16)*INDEX(elecCnH,stdCSL+1,3)*allOnes,OFFSET(tPrcElec,0,15,1,_maxLT))</f>
        <v>69328.689190999503</v>
      </c>
      <c r="U163" s="28">
        <f ca="1">SUMPRODUCT(dFactor,tpSurvCnH,INDEX(tEIdxElec,17)*INDEX(elecCnH,stdCSL+1,3)*allOnes,OFFSET(tPrcElec,0,16,1,_maxLT))</f>
        <v>69621.384743495306</v>
      </c>
      <c r="V163" s="28">
        <f ca="1">SUMPRODUCT(dFactor,tpSurvCnH,INDEX(tEIdxElec,18)*INDEX(elecCnH,stdCSL+1,3)*allOnes,OFFSET(tPrcElec,0,17,1,_maxLT))</f>
        <v>69881.510173937655</v>
      </c>
      <c r="W163" s="28">
        <f ca="1">SUMPRODUCT(dFactor,tpSurvCnH,INDEX(tEIdxElec,19)*INDEX(elecCnH,stdCSL+1,3)*allOnes,OFFSET(tPrcElec,0,18,1,_maxLT))</f>
        <v>70165.440895962704</v>
      </c>
      <c r="X163" s="28">
        <f ca="1">SUMPRODUCT(dFactor,tpSurvCnH,INDEX(tEIdxElec,20)*INDEX(elecCnH,stdCSL+1,3)*allOnes,OFFSET(tPrcElec,0,19,1,_maxLT))</f>
        <v>70416.313033495622</v>
      </c>
      <c r="Y163" s="28">
        <f ca="1">SUMPRODUCT(dFactor,tpSurvCnH,INDEX(tEIdxElec,21)*INDEX(elecCnH,stdCSL+1,3)*allOnes,OFFSET(tPrcElec,0,20,1,_maxLT))</f>
        <v>70690.332130224459</v>
      </c>
      <c r="Z163" s="28">
        <f ca="1">SUMPRODUCT(dFactor,tpSurvCnH,INDEX(tEIdxElec,22)*INDEX(elecCnH,stdCSL+1,3)*allOnes,OFFSET(tPrcElec,0,21,1,_maxLT))</f>
        <v>70989.300848247047</v>
      </c>
      <c r="AA163" s="28">
        <f ca="1">SUMPRODUCT(dFactor,tpSurvCnH,INDEX(tEIdxElec,23)*INDEX(elecCnH,stdCSL+1,3)*allOnes,OFFSET(tPrcElec,0,22,1,_maxLT))</f>
        <v>71256.173449985741</v>
      </c>
      <c r="AB163" s="28">
        <f ca="1">SUMPRODUCT(dFactor,tpSurvCnH,INDEX(tEIdxElec,24)*INDEX(elecCnH,stdCSL+1,3)*allOnes,OFFSET(tPrcElec,0,23,1,_maxLT))</f>
        <v>71547.445706130427</v>
      </c>
      <c r="AC163" s="28">
        <f ca="1">SUMPRODUCT(dFactor,tpSurvCnH,INDEX(tEIdxElec,25)*INDEX(elecCnH,stdCSL+1,3)*allOnes,OFFSET(tPrcElec,0,24,1,_maxLT))</f>
        <v>71806.211285097394</v>
      </c>
      <c r="AD163" s="28">
        <f ca="1">SUMPRODUCT(dFactor,tpSurvCnH,INDEX(tEIdxElec,26)*INDEX(elecCnH,stdCSL+1,3)*allOnes,OFFSET(tPrcElec,0,25,1,_maxLT))</f>
        <v>72088.741946805152</v>
      </c>
      <c r="AE163" s="28">
        <f ca="1">SUMPRODUCT(dFactor,tpSurvCnH,INDEX(tEIdxElec,27)*INDEX(elecCnH,stdCSL+1,3)*allOnes,OFFSET(tPrcElec,0,26,1,_maxLT))</f>
        <v>72396.922275696765</v>
      </c>
      <c r="AF163" s="28">
        <f ca="1">SUMPRODUCT(dFactor,tpSurvCnH,INDEX(tEIdxElec,28)*INDEX(elecCnH,stdCSL+1,3)*allOnes,OFFSET(tPrcElec,0,27,1,_maxLT))</f>
        <v>72673.788435186216</v>
      </c>
      <c r="AG163" s="28">
        <f ca="1">SUMPRODUCT(dFactor,tpSurvCnH,INDEX(tEIdxElec,29)*INDEX(elecCnH,stdCSL+1,3)*allOnes,OFFSET(tPrcElec,0,28,1,_maxLT))</f>
        <v>72976.007258412516</v>
      </c>
      <c r="AH163" s="28">
        <f ca="1">SUMPRODUCT(dFactor,tpSurvCnH,INDEX(tEIdxElec,30)*INDEX(elecCnH,stdCSL+1,3)*allOnes,OFFSET(tPrcElec,0,29,1,_maxLT))</f>
        <v>73246.50817012167</v>
      </c>
      <c r="AI163" s="28">
        <f ca="1">SUMPRODUCT(dFactor,tpSurvCnH,INDEX(tEIdxElec,31)*INDEX(elecCnH,stdCSL+1,3)*allOnes,OFFSET(tPrcElec,0,30,1,_maxLT))</f>
        <v>73541.863807480884</v>
      </c>
      <c r="AJ163" s="28">
        <f ca="1">SUMPRODUCT(dFactor,tpSurvCnH,INDEX(tEIdxElec,32)*INDEX(elecCnH,stdCSL+1,3)*allOnes,OFFSET(tPrcElec,0,31,1,_maxLT))</f>
        <v>73805.167313905113</v>
      </c>
      <c r="AK163" s="29">
        <f ca="1">SUMPRODUCT(dFactor,tpSurvCnH,INDEX(tEIdxElec,33)*INDEX(elecCnH,stdCSL+1,3)*allOnes,OFFSET(tPrcElec,0,32,1,_maxLT))</f>
        <v>74092.813722950857</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ts2bElec*SUMPRODUCT(tpSurvCnH,INDEX(tEIdxElec,1)*INDEX(elecCnH,stdCSL+1,3)*convFactor)</f>
        <v>13920.362811927522</v>
      </c>
      <c r="F165" s="22">
        <f ca="1">ts2bElec*SUMPRODUCT(tpSurvCnH,INDEX(tEIdxElec,2)*INDEX(elecCnH,stdCSL+1,3)*convFactor)</f>
        <v>13816.310516047955</v>
      </c>
      <c r="G165" s="22">
        <f ca="1">ts2bElec*SUMPRODUCT(tpSurvCnH,INDEX(tEIdxElec,3)*INDEX(elecCnH,stdCSL+1,3)*convFactor)</f>
        <v>13711.473917967762</v>
      </c>
      <c r="H165" s="22">
        <f ca="1">ts2bElec*SUMPRODUCT(tpSurvCnH,INDEX(tEIdxElec,4)*INDEX(elecCnH,stdCSL+1,3)*convFactor)</f>
        <v>13619.398513235747</v>
      </c>
      <c r="I165" s="22">
        <f ca="1">ts2bElec*SUMPRODUCT(tpSurvCnH,INDEX(tEIdxElec,5)*INDEX(elecCnH,stdCSL+1,3)*convFactor)</f>
        <v>13532.090772423328</v>
      </c>
      <c r="J165" s="22">
        <f ca="1">ts2bElec*SUMPRODUCT(tpSurvCnH,INDEX(tEIdxElec,6)*INDEX(elecCnH,stdCSL+1,3)*convFactor)</f>
        <v>13456.056099979562</v>
      </c>
      <c r="K165" s="22">
        <f ca="1">ts2bElec*SUMPRODUCT(tpSurvCnH,INDEX(tEIdxElec,7)*INDEX(elecCnH,stdCSL+1,3)*convFactor)</f>
        <v>13397.090625030569</v>
      </c>
      <c r="L165" s="22">
        <f ca="1">ts2bElec*SUMPRODUCT(tpSurvCnH,INDEX(tEIdxElec,8)*INDEX(elecCnH,stdCSL+1,3)*convFactor)</f>
        <v>13348.211076846901</v>
      </c>
      <c r="M165" s="22">
        <f ca="1">ts2bElec*SUMPRODUCT(tpSurvCnH,INDEX(tEIdxElec,9)*INDEX(elecCnH,stdCSL+1,3)*convFactor)</f>
        <v>13299.12035975453</v>
      </c>
      <c r="N165" s="22">
        <f ca="1">ts2bElec*SUMPRODUCT(tpSurvCnH,INDEX(tEIdxElec,10)*INDEX(elecCnH,stdCSL+1,3)*convFactor)</f>
        <v>13259.859998739938</v>
      </c>
      <c r="O165" s="22">
        <f ca="1">ts2bElec*SUMPRODUCT(tpSurvCnH,INDEX(tEIdxElec,11)*INDEX(elecCnH,stdCSL+1,3)*convFactor)</f>
        <v>13232.8220512266</v>
      </c>
      <c r="P165" s="22">
        <f ca="1">ts2bElec*SUMPRODUCT(tpSurvCnH,INDEX(tEIdxElec,12)*INDEX(elecCnH,stdCSL+1,3)*convFactor)</f>
        <v>13213.039743158844</v>
      </c>
      <c r="Q165" s="22">
        <f ca="1">ts2bElec*SUMPRODUCT(tpSurvCnH,INDEX(tEIdxElec,13)*INDEX(elecCnH,stdCSL+1,3)*convFactor)</f>
        <v>13196.395830774765</v>
      </c>
      <c r="R165" s="22">
        <f ca="1">ts2bElec*SUMPRODUCT(tpSurvCnH,INDEX(tEIdxElec,14)*INDEX(elecCnH,stdCSL+1,3)*convFactor)</f>
        <v>13184.119248781246</v>
      </c>
      <c r="S165" s="22">
        <f ca="1">ts2bElec*SUMPRODUCT(tpSurvCnH,INDEX(tEIdxElec,15)*INDEX(elecCnH,stdCSL+1,3)*convFactor)</f>
        <v>13174.761430288318</v>
      </c>
      <c r="T165" s="22">
        <f ca="1">ts2bElec*SUMPRODUCT(tpSurvCnH,INDEX(tEIdxElec,16)*INDEX(elecCnH,stdCSL+1,3)*convFactor)</f>
        <v>13173.589266281377</v>
      </c>
      <c r="U165" s="22">
        <f ca="1">ts2bElec*SUMPRODUCT(tpSurvCnH,INDEX(tEIdxElec,17)*INDEX(elecCnH,stdCSL+1,3)*convFactor)</f>
        <v>13175.991967370841</v>
      </c>
      <c r="V165" s="22">
        <f ca="1">ts2bElec*SUMPRODUCT(tpSurvCnH,INDEX(tEIdxElec,18)*INDEX(elecCnH,stdCSL+1,3)*convFactor)</f>
        <v>13179.521917161821</v>
      </c>
      <c r="W165" s="22">
        <f ca="1">ts2bElec*SUMPRODUCT(tpSurvCnH,INDEX(tEIdxElec,19)*INDEX(elecCnH,stdCSL+1,3)*convFactor)</f>
        <v>13184.570234431603</v>
      </c>
      <c r="X165" s="22">
        <f ca="1">ts2bElec*SUMPRODUCT(tpSurvCnH,INDEX(tEIdxElec,20)*INDEX(elecCnH,stdCSL+1,3)*convFactor)</f>
        <v>13189.340840022405</v>
      </c>
      <c r="Y165" s="22">
        <f ca="1">ts2bElec*SUMPRODUCT(tpSurvCnH,INDEX(tEIdxElec,21)*INDEX(elecCnH,stdCSL+1,3)*convFactor)</f>
        <v>13193.293541821587</v>
      </c>
      <c r="Z165" s="22">
        <f ca="1">ts2bElec*SUMPRODUCT(tpSurvCnH,INDEX(tEIdxElec,22)*INDEX(elecCnH,stdCSL+1,3)*convFactor)</f>
        <v>13195.942410889422</v>
      </c>
      <c r="AA165" s="22">
        <f ca="1">ts2bElec*SUMPRODUCT(tpSurvCnH,INDEX(tEIdxElec,23)*INDEX(elecCnH,stdCSL+1,3)*convFactor)</f>
        <v>13197.688191931351</v>
      </c>
      <c r="AB165" s="22">
        <f ca="1">ts2bElec*SUMPRODUCT(tpSurvCnH,INDEX(tEIdxElec,24)*INDEX(elecCnH,stdCSL+1,3)*convFactor)</f>
        <v>13197.688191931351</v>
      </c>
      <c r="AC165" s="22">
        <f ca="1">ts2bElec*SUMPRODUCT(tpSurvCnH,INDEX(tEIdxElec,25)*INDEX(elecCnH,stdCSL+1,3)*convFactor)</f>
        <v>13197.688191931351</v>
      </c>
      <c r="AD165" s="22">
        <f ca="1">ts2bElec*SUMPRODUCT(tpSurvCnH,INDEX(tEIdxElec,26)*INDEX(elecCnH,stdCSL+1,3)*convFactor)</f>
        <v>13197.688191931351</v>
      </c>
      <c r="AE165" s="22">
        <f ca="1">ts2bElec*SUMPRODUCT(tpSurvCnH,INDEX(tEIdxElec,27)*INDEX(elecCnH,stdCSL+1,3)*convFactor)</f>
        <v>13197.688191931351</v>
      </c>
      <c r="AF165" s="22">
        <f ca="1">ts2bElec*SUMPRODUCT(tpSurvCnH,INDEX(tEIdxElec,28)*INDEX(elecCnH,stdCSL+1,3)*convFactor)</f>
        <v>13197.688191931351</v>
      </c>
      <c r="AG165" s="22">
        <f ca="1">ts2bElec*SUMPRODUCT(tpSurvCnH,INDEX(tEIdxElec,29)*INDEX(elecCnH,stdCSL+1,3)*convFactor)</f>
        <v>13197.688191931351</v>
      </c>
      <c r="AH165" s="22">
        <f ca="1">ts2bElec*SUMPRODUCT(tpSurvCnH,INDEX(tEIdxElec,30)*INDEX(elecCnH,stdCSL+1,3)*convFactor)</f>
        <v>13197.688191931351</v>
      </c>
      <c r="AI165" s="22">
        <f ca="1">ts2bElec*SUMPRODUCT(tpSurvCnH,INDEX(tEIdxElec,31)*INDEX(elecCnH,stdCSL+1,3)*convFactor)</f>
        <v>13197.688191931351</v>
      </c>
      <c r="AJ165" s="22">
        <f ca="1">ts2bElec*SUMPRODUCT(tpSurvCnH,INDEX(tEIdxElec,32)*INDEX(elecCnH,stdCSL+1,3)*convFactor)</f>
        <v>13197.688191931351</v>
      </c>
      <c r="AK165" s="25">
        <f ca="1">ts2bElec*SUMPRODUCT(tpSurvCnH,INDEX(tEIdxElec,33)*INDEX(elecCnH,stdCSL+1,3)*convFactor)</f>
        <v>13197.688191931351</v>
      </c>
      <c r="AL165" s="3"/>
    </row>
    <row r="166" spans="2:38">
      <c r="B166" s="3"/>
      <c r="C166" s="30" t="str">
        <f>"EL 3: " &amp; INDEX(_doName,3,4)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(1+INDEX(vadCnH,stdCSL+1,4))*INDEX(mspCnH,stdCSL+1,4)*tPIdxAll + INDEX(instCnH,stdCSL+1,4) + SUMPRODUCT(dFactor,tpSurvCnH,INDEX(mrCnH,stdCSL+1,4)*allOnes)</f>
        <v>1730.180828</v>
      </c>
      <c r="F167" s="28">
        <f ca="1"/>
        <v>1730.180828</v>
      </c>
      <c r="G167" s="28">
        <f ca="1"/>
        <v>1730.180828</v>
      </c>
      <c r="H167" s="28">
        <f ca="1"/>
        <v>1730.180828</v>
      </c>
      <c r="I167" s="28">
        <f ca="1"/>
        <v>1730.180828</v>
      </c>
      <c r="J167" s="28">
        <f ca="1"/>
        <v>1730.180828</v>
      </c>
      <c r="K167" s="28">
        <f ca="1"/>
        <v>1730.180828</v>
      </c>
      <c r="L167" s="28">
        <f ca="1"/>
        <v>1730.180828</v>
      </c>
      <c r="M167" s="28">
        <f ca="1"/>
        <v>1730.180828</v>
      </c>
      <c r="N167" s="28">
        <f ca="1"/>
        <v>1730.180828</v>
      </c>
      <c r="O167" s="28">
        <f ca="1"/>
        <v>1730.180828</v>
      </c>
      <c r="P167" s="28">
        <f ca="1"/>
        <v>1730.180828</v>
      </c>
      <c r="Q167" s="28">
        <f ca="1"/>
        <v>1730.180828</v>
      </c>
      <c r="R167" s="28">
        <f ca="1"/>
        <v>1730.180828</v>
      </c>
      <c r="S167" s="28">
        <f ca="1"/>
        <v>1730.180828</v>
      </c>
      <c r="T167" s="28">
        <f ca="1"/>
        <v>1730.180828</v>
      </c>
      <c r="U167" s="28">
        <f ca="1"/>
        <v>1730.180828</v>
      </c>
      <c r="V167" s="28">
        <f ca="1"/>
        <v>1730.180828</v>
      </c>
      <c r="W167" s="28">
        <f ca="1"/>
        <v>1730.180828</v>
      </c>
      <c r="X167" s="28">
        <f ca="1"/>
        <v>1730.180828</v>
      </c>
      <c r="Y167" s="28">
        <f ca="1"/>
        <v>1730.180828</v>
      </c>
      <c r="Z167" s="28">
        <f ca="1"/>
        <v>1730.180828</v>
      </c>
      <c r="AA167" s="28">
        <f ca="1"/>
        <v>1730.180828</v>
      </c>
      <c r="AB167" s="28">
        <f ca="1"/>
        <v>1730.180828</v>
      </c>
      <c r="AC167" s="28">
        <f ca="1"/>
        <v>1730.180828</v>
      </c>
      <c r="AD167" s="28">
        <f ca="1"/>
        <v>1730.180828</v>
      </c>
      <c r="AE167" s="28">
        <f ca="1"/>
        <v>1730.180828</v>
      </c>
      <c r="AF167" s="28">
        <f ca="1"/>
        <v>1730.180828</v>
      </c>
      <c r="AG167" s="28">
        <f ca="1"/>
        <v>1730.180828</v>
      </c>
      <c r="AH167" s="28">
        <f ca="1"/>
        <v>1730.180828</v>
      </c>
      <c r="AI167" s="28">
        <f ca="1"/>
        <v>1730.180828</v>
      </c>
      <c r="AJ167" s="28">
        <f ca="1"/>
        <v>1730.180828</v>
      </c>
      <c r="AK167" s="29">
        <f ca="1"/>
        <v>1730.180828</v>
      </c>
      <c r="AL167" s="3"/>
    </row>
    <row r="168" spans="2:38">
      <c r="B168" s="3"/>
      <c r="C168" s="23" t="s">
        <v>47</v>
      </c>
      <c r="D168" s="16" t="str">
        <f>_yearDol &amp; "$"</f>
        <v>2013$</v>
      </c>
      <c r="E168" s="141">
        <f t="array" aca="1" ref="E168:AK168" ca="1">(tlccEFupolElec3)</f>
        <v>64744.403215205923</v>
      </c>
      <c r="F168" s="28">
        <f ca="1"/>
        <v>65029.552830192231</v>
      </c>
      <c r="G168" s="28">
        <f ca="1"/>
        <v>65281.950158373707</v>
      </c>
      <c r="H168" s="28">
        <f ca="1"/>
        <v>65557.09002731902</v>
      </c>
      <c r="I168" s="28">
        <f ca="1"/>
        <v>65798.671509515509</v>
      </c>
      <c r="J168" s="28">
        <f ca="1"/>
        <v>66062.457881186652</v>
      </c>
      <c r="K168" s="28">
        <f ca="1"/>
        <v>66291.859038924958</v>
      </c>
      <c r="L168" s="28">
        <f ca="1"/>
        <v>66542.718625907524</v>
      </c>
      <c r="M168" s="28">
        <f ca="1"/>
        <v>66816.32564005896</v>
      </c>
      <c r="N168" s="28">
        <f ca="1"/>
        <v>67056.349441186772</v>
      </c>
      <c r="O168" s="28">
        <f ca="1"/>
        <v>67318.536507972341</v>
      </c>
      <c r="P168" s="28">
        <f ca="1"/>
        <v>67604.471713904306</v>
      </c>
      <c r="Q168" s="28">
        <f ca="1"/>
        <v>67857.872336932123</v>
      </c>
      <c r="R168" s="28">
        <f ca="1"/>
        <v>68134.304882338765</v>
      </c>
      <c r="S168" s="28">
        <f ca="1"/>
        <v>68377.477383802965</v>
      </c>
      <c r="T168" s="28">
        <f ca="1"/>
        <v>68643.112366311325</v>
      </c>
      <c r="U168" s="28">
        <f ca="1"/>
        <v>68932.913514054642</v>
      </c>
      <c r="V168" s="28">
        <f ca="1"/>
        <v>69190.466618830586</v>
      </c>
      <c r="W168" s="28">
        <f ca="1"/>
        <v>69471.589609667935</v>
      </c>
      <c r="X168" s="28">
        <f ca="1"/>
        <v>69719.980925401702</v>
      </c>
      <c r="Y168" s="28">
        <f ca="1"/>
        <v>69991.29030492068</v>
      </c>
      <c r="Z168" s="28">
        <f ca="1"/>
        <v>70287.30258417633</v>
      </c>
      <c r="AA168" s="28">
        <f ca="1"/>
        <v>70551.536138890908</v>
      </c>
      <c r="AB168" s="28">
        <f ca="1"/>
        <v>70839.928064961379</v>
      </c>
      <c r="AC168" s="28">
        <f ca="1"/>
        <v>71096.134765547118</v>
      </c>
      <c r="AD168" s="28">
        <f ca="1"/>
        <v>71375.871540969238</v>
      </c>
      <c r="AE168" s="28">
        <f ca="1"/>
        <v>71681.004339411636</v>
      </c>
      <c r="AF168" s="28">
        <f ca="1"/>
        <v>71955.132627686427</v>
      </c>
      <c r="AG168" s="28">
        <f ca="1"/>
        <v>72254.362872539117</v>
      </c>
      <c r="AH168" s="28">
        <f ca="1"/>
        <v>72522.188857630041</v>
      </c>
      <c r="AI168" s="28">
        <f ca="1"/>
        <v>72814.623785217045</v>
      </c>
      <c r="AJ168" s="28">
        <f ca="1"/>
        <v>73075.323538649958</v>
      </c>
      <c r="AK168" s="29">
        <f ca="1"/>
        <v>73360.12547286076</v>
      </c>
      <c r="AL168" s="3"/>
    </row>
    <row r="169" spans="2:38">
      <c r="B169" s="3"/>
      <c r="C169" s="27" t="str">
        <f>INDEX(_fuel,1)</f>
        <v>Electricity</v>
      </c>
      <c r="D169" s="16" t="str">
        <f>_yearDol &amp; "$"</f>
        <v>2013$</v>
      </c>
      <c r="E169" s="141">
        <f ca="1">SUMPRODUCT(dFactor,tpSurvCnH,INDEX(tEIdxElec,1)*INDEX(elecCnH,stdCSL+1,4)*allOnes,OFFSET(tPrcElec,0,0,1,_maxLT))</f>
        <v>64744.403215205923</v>
      </c>
      <c r="F169" s="28">
        <f ca="1">SUMPRODUCT(dFactor,tpSurvCnH,INDEX(tEIdxElec,2)*INDEX(elecCnH,stdCSL+1,4)*allOnes,OFFSET(tPrcElec,0,1,1,_maxLT))</f>
        <v>65029.552830192231</v>
      </c>
      <c r="G169" s="28">
        <f ca="1">SUMPRODUCT(dFactor,tpSurvCnH,INDEX(tEIdxElec,3)*INDEX(elecCnH,stdCSL+1,4)*allOnes,OFFSET(tPrcElec,0,2,1,_maxLT))</f>
        <v>65281.950158373707</v>
      </c>
      <c r="H169" s="28">
        <f ca="1">SUMPRODUCT(dFactor,tpSurvCnH,INDEX(tEIdxElec,4)*INDEX(elecCnH,stdCSL+1,4)*allOnes,OFFSET(tPrcElec,0,3,1,_maxLT))</f>
        <v>65557.09002731902</v>
      </c>
      <c r="I169" s="28">
        <f ca="1">SUMPRODUCT(dFactor,tpSurvCnH,INDEX(tEIdxElec,5)*INDEX(elecCnH,stdCSL+1,4)*allOnes,OFFSET(tPrcElec,0,4,1,_maxLT))</f>
        <v>65798.671509515509</v>
      </c>
      <c r="J169" s="28">
        <f ca="1">SUMPRODUCT(dFactor,tpSurvCnH,INDEX(tEIdxElec,6)*INDEX(elecCnH,stdCSL+1,4)*allOnes,OFFSET(tPrcElec,0,5,1,_maxLT))</f>
        <v>66062.457881186652</v>
      </c>
      <c r="K169" s="28">
        <f ca="1">SUMPRODUCT(dFactor,tpSurvCnH,INDEX(tEIdxElec,7)*INDEX(elecCnH,stdCSL+1,4)*allOnes,OFFSET(tPrcElec,0,6,1,_maxLT))</f>
        <v>66291.859038924958</v>
      </c>
      <c r="L169" s="28">
        <f ca="1">SUMPRODUCT(dFactor,tpSurvCnH,INDEX(tEIdxElec,8)*INDEX(elecCnH,stdCSL+1,4)*allOnes,OFFSET(tPrcElec,0,7,1,_maxLT))</f>
        <v>66542.718625907524</v>
      </c>
      <c r="M169" s="28">
        <f ca="1">SUMPRODUCT(dFactor,tpSurvCnH,INDEX(tEIdxElec,9)*INDEX(elecCnH,stdCSL+1,4)*allOnes,OFFSET(tPrcElec,0,8,1,_maxLT))</f>
        <v>66816.32564005896</v>
      </c>
      <c r="N169" s="28">
        <f ca="1">SUMPRODUCT(dFactor,tpSurvCnH,INDEX(tEIdxElec,10)*INDEX(elecCnH,stdCSL+1,4)*allOnes,OFFSET(tPrcElec,0,9,1,_maxLT))</f>
        <v>67056.349441186772</v>
      </c>
      <c r="O169" s="28">
        <f ca="1">SUMPRODUCT(dFactor,tpSurvCnH,INDEX(tEIdxElec,11)*INDEX(elecCnH,stdCSL+1,4)*allOnes,OFFSET(tPrcElec,0,10,1,_maxLT))</f>
        <v>67318.536507972341</v>
      </c>
      <c r="P169" s="28">
        <f ca="1">SUMPRODUCT(dFactor,tpSurvCnH,INDEX(tEIdxElec,12)*INDEX(elecCnH,stdCSL+1,4)*allOnes,OFFSET(tPrcElec,0,11,1,_maxLT))</f>
        <v>67604.471713904306</v>
      </c>
      <c r="Q169" s="28">
        <f ca="1">SUMPRODUCT(dFactor,tpSurvCnH,INDEX(tEIdxElec,13)*INDEX(elecCnH,stdCSL+1,4)*allOnes,OFFSET(tPrcElec,0,12,1,_maxLT))</f>
        <v>67857.872336932123</v>
      </c>
      <c r="R169" s="28">
        <f ca="1">SUMPRODUCT(dFactor,tpSurvCnH,INDEX(tEIdxElec,14)*INDEX(elecCnH,stdCSL+1,4)*allOnes,OFFSET(tPrcElec,0,13,1,_maxLT))</f>
        <v>68134.304882338765</v>
      </c>
      <c r="S169" s="28">
        <f ca="1">SUMPRODUCT(dFactor,tpSurvCnH,INDEX(tEIdxElec,15)*INDEX(elecCnH,stdCSL+1,4)*allOnes,OFFSET(tPrcElec,0,14,1,_maxLT))</f>
        <v>68377.477383802965</v>
      </c>
      <c r="T169" s="28">
        <f ca="1">SUMPRODUCT(dFactor,tpSurvCnH,INDEX(tEIdxElec,16)*INDEX(elecCnH,stdCSL+1,4)*allOnes,OFFSET(tPrcElec,0,15,1,_maxLT))</f>
        <v>68643.112366311325</v>
      </c>
      <c r="U169" s="28">
        <f ca="1">SUMPRODUCT(dFactor,tpSurvCnH,INDEX(tEIdxElec,17)*INDEX(elecCnH,stdCSL+1,4)*allOnes,OFFSET(tPrcElec,0,16,1,_maxLT))</f>
        <v>68932.913514054642</v>
      </c>
      <c r="V169" s="28">
        <f ca="1">SUMPRODUCT(dFactor,tpSurvCnH,INDEX(tEIdxElec,18)*INDEX(elecCnH,stdCSL+1,4)*allOnes,OFFSET(tPrcElec,0,17,1,_maxLT))</f>
        <v>69190.466618830586</v>
      </c>
      <c r="W169" s="28">
        <f ca="1">SUMPRODUCT(dFactor,tpSurvCnH,INDEX(tEIdxElec,19)*INDEX(elecCnH,stdCSL+1,4)*allOnes,OFFSET(tPrcElec,0,18,1,_maxLT))</f>
        <v>69471.589609667935</v>
      </c>
      <c r="X169" s="28">
        <f ca="1">SUMPRODUCT(dFactor,tpSurvCnH,INDEX(tEIdxElec,20)*INDEX(elecCnH,stdCSL+1,4)*allOnes,OFFSET(tPrcElec,0,19,1,_maxLT))</f>
        <v>69719.980925401702</v>
      </c>
      <c r="Y169" s="28">
        <f ca="1">SUMPRODUCT(dFactor,tpSurvCnH,INDEX(tEIdxElec,21)*INDEX(elecCnH,stdCSL+1,4)*allOnes,OFFSET(tPrcElec,0,20,1,_maxLT))</f>
        <v>69991.29030492068</v>
      </c>
      <c r="Z169" s="28">
        <f ca="1">SUMPRODUCT(dFactor,tpSurvCnH,INDEX(tEIdxElec,22)*INDEX(elecCnH,stdCSL+1,4)*allOnes,OFFSET(tPrcElec,0,21,1,_maxLT))</f>
        <v>70287.30258417633</v>
      </c>
      <c r="AA169" s="28">
        <f ca="1">SUMPRODUCT(dFactor,tpSurvCnH,INDEX(tEIdxElec,23)*INDEX(elecCnH,stdCSL+1,4)*allOnes,OFFSET(tPrcElec,0,22,1,_maxLT))</f>
        <v>70551.536138890908</v>
      </c>
      <c r="AB169" s="28">
        <f ca="1">SUMPRODUCT(dFactor,tpSurvCnH,INDEX(tEIdxElec,24)*INDEX(elecCnH,stdCSL+1,4)*allOnes,OFFSET(tPrcElec,0,23,1,_maxLT))</f>
        <v>70839.928064961379</v>
      </c>
      <c r="AC169" s="28">
        <f ca="1">SUMPRODUCT(dFactor,tpSurvCnH,INDEX(tEIdxElec,25)*INDEX(elecCnH,stdCSL+1,4)*allOnes,OFFSET(tPrcElec,0,24,1,_maxLT))</f>
        <v>71096.134765547118</v>
      </c>
      <c r="AD169" s="28">
        <f ca="1">SUMPRODUCT(dFactor,tpSurvCnH,INDEX(tEIdxElec,26)*INDEX(elecCnH,stdCSL+1,4)*allOnes,OFFSET(tPrcElec,0,25,1,_maxLT))</f>
        <v>71375.871540969238</v>
      </c>
      <c r="AE169" s="28">
        <f ca="1">SUMPRODUCT(dFactor,tpSurvCnH,INDEX(tEIdxElec,27)*INDEX(elecCnH,stdCSL+1,4)*allOnes,OFFSET(tPrcElec,0,26,1,_maxLT))</f>
        <v>71681.004339411636</v>
      </c>
      <c r="AF169" s="28">
        <f ca="1">SUMPRODUCT(dFactor,tpSurvCnH,INDEX(tEIdxElec,28)*INDEX(elecCnH,stdCSL+1,4)*allOnes,OFFSET(tPrcElec,0,27,1,_maxLT))</f>
        <v>71955.132627686427</v>
      </c>
      <c r="AG169" s="28">
        <f ca="1">SUMPRODUCT(dFactor,tpSurvCnH,INDEX(tEIdxElec,29)*INDEX(elecCnH,stdCSL+1,4)*allOnes,OFFSET(tPrcElec,0,28,1,_maxLT))</f>
        <v>72254.362872539117</v>
      </c>
      <c r="AH169" s="28">
        <f ca="1">SUMPRODUCT(dFactor,tpSurvCnH,INDEX(tEIdxElec,30)*INDEX(elecCnH,stdCSL+1,4)*allOnes,OFFSET(tPrcElec,0,29,1,_maxLT))</f>
        <v>72522.188857630041</v>
      </c>
      <c r="AI169" s="28">
        <f ca="1">SUMPRODUCT(dFactor,tpSurvCnH,INDEX(tEIdxElec,31)*INDEX(elecCnH,stdCSL+1,4)*allOnes,OFFSET(tPrcElec,0,30,1,_maxLT))</f>
        <v>72814.623785217045</v>
      </c>
      <c r="AJ169" s="28">
        <f ca="1">SUMPRODUCT(dFactor,tpSurvCnH,INDEX(tEIdxElec,32)*INDEX(elecCnH,stdCSL+1,4)*allOnes,OFFSET(tPrcElec,0,31,1,_maxLT))</f>
        <v>73075.323538649958</v>
      </c>
      <c r="AK169" s="29">
        <f ca="1">SUMPRODUCT(dFactor,tpSurvCnH,INDEX(tEIdxElec,33)*INDEX(elecCnH,stdCSL+1,4)*allOnes,OFFSET(tPrcElec,0,32,1,_maxLT))</f>
        <v>73360.12547286076</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ts2bElec*SUMPRODUCT(tpSurvCnH,INDEX(tEIdxElec,1)*INDEX(elecCnH,stdCSL+1,4)*convFactor)</f>
        <v>13782.707272114607</v>
      </c>
      <c r="F171" s="22">
        <f ca="1">ts2bElec*SUMPRODUCT(tpSurvCnH,INDEX(tEIdxElec,2)*INDEX(elecCnH,stdCSL+1,4)*convFactor)</f>
        <v>13679.683927502443</v>
      </c>
      <c r="G171" s="22">
        <f ca="1">ts2bElec*SUMPRODUCT(tpSurvCnH,INDEX(tEIdxElec,3)*INDEX(elecCnH,stdCSL+1,4)*convFactor)</f>
        <v>13575.884036489144</v>
      </c>
      <c r="H171" s="22">
        <f ca="1">ts2bElec*SUMPRODUCT(tpSurvCnH,INDEX(tEIdxElec,4)*INDEX(elecCnH,stdCSL+1,4)*convFactor)</f>
        <v>13484.719146067215</v>
      </c>
      <c r="I171" s="22">
        <f ca="1">ts2bElec*SUMPRODUCT(tpSurvCnH,INDEX(tEIdxElec,5)*INDEX(elecCnH,stdCSL+1,4)*convFactor)</f>
        <v>13398.274773139223</v>
      </c>
      <c r="J171" s="22">
        <f ca="1">ts2bElec*SUMPRODUCT(tpSurvCnH,INDEX(tEIdxElec,6)*INDEX(elecCnH,stdCSL+1,4)*convFactor)</f>
        <v>13322.991991577983</v>
      </c>
      <c r="K171" s="22">
        <f ca="1">ts2bElec*SUMPRODUCT(tpSurvCnH,INDEX(tEIdxElec,7)*INDEX(elecCnH,stdCSL+1,4)*convFactor)</f>
        <v>13264.609613807852</v>
      </c>
      <c r="L171" s="22">
        <f ca="1">ts2bElec*SUMPRODUCT(tpSurvCnH,INDEX(tEIdxElec,8)*INDEX(elecCnH,stdCSL+1,4)*convFactor)</f>
        <v>13216.213425194765</v>
      </c>
      <c r="M171" s="22">
        <f ca="1">ts2bElec*SUMPRODUCT(tpSurvCnH,INDEX(tEIdxElec,9)*INDEX(elecCnH,stdCSL+1,4)*convFactor)</f>
        <v>13167.608155877891</v>
      </c>
      <c r="N171" s="22">
        <f ca="1">ts2bElec*SUMPRODUCT(tpSurvCnH,INDEX(tEIdxElec,10)*INDEX(elecCnH,stdCSL+1,4)*convFactor)</f>
        <v>13128.736032315275</v>
      </c>
      <c r="O171" s="22">
        <f ca="1">ts2bElec*SUMPRODUCT(tpSurvCnH,INDEX(tEIdxElec,11)*INDEX(elecCnH,stdCSL+1,4)*convFactor)</f>
        <v>13101.965457377684</v>
      </c>
      <c r="P171" s="22">
        <f ca="1">ts2bElec*SUMPRODUCT(tpSurvCnH,INDEX(tEIdxElec,12)*INDEX(elecCnH,stdCSL+1,4)*convFactor)</f>
        <v>13082.378772393367</v>
      </c>
      <c r="Q171" s="22">
        <f ca="1">ts2bElec*SUMPRODUCT(tpSurvCnH,INDEX(tEIdxElec,13)*INDEX(elecCnH,stdCSL+1,4)*convFactor)</f>
        <v>13065.899448157943</v>
      </c>
      <c r="R171" s="22">
        <f ca="1">ts2bElec*SUMPRODUCT(tpSurvCnH,INDEX(tEIdxElec,14)*INDEX(elecCnH,stdCSL+1,4)*convFactor)</f>
        <v>13053.74426670148</v>
      </c>
      <c r="S171" s="22">
        <f ca="1">ts2bElec*SUMPRODUCT(tpSurvCnH,INDEX(tEIdxElec,15)*INDEX(elecCnH,stdCSL+1,4)*convFactor)</f>
        <v>13044.478985707288</v>
      </c>
      <c r="T171" s="22">
        <f ca="1">ts2bElec*SUMPRODUCT(tpSurvCnH,INDEX(tEIdxElec,16)*INDEX(elecCnH,stdCSL+1,4)*convFactor)</f>
        <v>13043.318412983654</v>
      </c>
      <c r="U171" s="22">
        <f ca="1">ts2bElec*SUMPRODUCT(tpSurvCnH,INDEX(tEIdxElec,17)*INDEX(elecCnH,stdCSL+1,4)*convFactor)</f>
        <v>13045.697354267435</v>
      </c>
      <c r="V171" s="22">
        <f ca="1">ts2bElec*SUMPRODUCT(tpSurvCnH,INDEX(tEIdxElec,18)*INDEX(elecCnH,stdCSL+1,4)*convFactor)</f>
        <v>13049.192397127428</v>
      </c>
      <c r="W171" s="22">
        <f ca="1">ts2bElec*SUMPRODUCT(tpSurvCnH,INDEX(tEIdxElec,19)*INDEX(elecCnH,stdCSL+1,4)*convFactor)</f>
        <v>13054.190792649599</v>
      </c>
      <c r="X171" s="22">
        <f ca="1">ts2bElec*SUMPRODUCT(tpSurvCnH,INDEX(tEIdxElec,20)*INDEX(elecCnH,stdCSL+1,4)*convFactor)</f>
        <v>13058.914222725172</v>
      </c>
      <c r="Y171" s="22">
        <f ca="1">ts2bElec*SUMPRODUCT(tpSurvCnH,INDEX(tEIdxElec,21)*INDEX(elecCnH,stdCSL+1,4)*convFactor)</f>
        <v>13062.82783708768</v>
      </c>
      <c r="Z171" s="22">
        <f ca="1">ts2bElec*SUMPRODUCT(tpSurvCnH,INDEX(tEIdxElec,22)*INDEX(elecCnH,stdCSL+1,4)*convFactor)</f>
        <v>13065.450512046471</v>
      </c>
      <c r="AA171" s="22">
        <f ca="1">ts2bElec*SUMPRODUCT(tpSurvCnH,INDEX(tEIdxElec,23)*INDEX(elecCnH,stdCSL+1,4)*convFactor)</f>
        <v>13067.179029426887</v>
      </c>
      <c r="AB171" s="22">
        <f ca="1">ts2bElec*SUMPRODUCT(tpSurvCnH,INDEX(tEIdxElec,24)*INDEX(elecCnH,stdCSL+1,4)*convFactor)</f>
        <v>13067.179029426887</v>
      </c>
      <c r="AC171" s="22">
        <f ca="1">ts2bElec*SUMPRODUCT(tpSurvCnH,INDEX(tEIdxElec,25)*INDEX(elecCnH,stdCSL+1,4)*convFactor)</f>
        <v>13067.179029426887</v>
      </c>
      <c r="AD171" s="22">
        <f ca="1">ts2bElec*SUMPRODUCT(tpSurvCnH,INDEX(tEIdxElec,26)*INDEX(elecCnH,stdCSL+1,4)*convFactor)</f>
        <v>13067.179029426887</v>
      </c>
      <c r="AE171" s="22">
        <f ca="1">ts2bElec*SUMPRODUCT(tpSurvCnH,INDEX(tEIdxElec,27)*INDEX(elecCnH,stdCSL+1,4)*convFactor)</f>
        <v>13067.179029426887</v>
      </c>
      <c r="AF171" s="22">
        <f ca="1">ts2bElec*SUMPRODUCT(tpSurvCnH,INDEX(tEIdxElec,28)*INDEX(elecCnH,stdCSL+1,4)*convFactor)</f>
        <v>13067.179029426887</v>
      </c>
      <c r="AG171" s="22">
        <f ca="1">ts2bElec*SUMPRODUCT(tpSurvCnH,INDEX(tEIdxElec,29)*INDEX(elecCnH,stdCSL+1,4)*convFactor)</f>
        <v>13067.179029426887</v>
      </c>
      <c r="AH171" s="22">
        <f ca="1">ts2bElec*SUMPRODUCT(tpSurvCnH,INDEX(tEIdxElec,30)*INDEX(elecCnH,stdCSL+1,4)*convFactor)</f>
        <v>13067.179029426887</v>
      </c>
      <c r="AI171" s="22">
        <f ca="1">ts2bElec*SUMPRODUCT(tpSurvCnH,INDEX(tEIdxElec,31)*INDEX(elecCnH,stdCSL+1,4)*convFactor)</f>
        <v>13067.179029426887</v>
      </c>
      <c r="AJ171" s="22">
        <f ca="1">ts2bElec*SUMPRODUCT(tpSurvCnH,INDEX(tEIdxElec,32)*INDEX(elecCnH,stdCSL+1,4)*convFactor)</f>
        <v>13067.179029426887</v>
      </c>
      <c r="AK171" s="25">
        <f ca="1">ts2bElec*SUMPRODUCT(tpSurvCnH,INDEX(tEIdxElec,33)*INDEX(elecCnH,stdCSL+1,4)*convFactor)</f>
        <v>13067.179029426887</v>
      </c>
      <c r="AL171" s="3"/>
    </row>
    <row r="172" spans="2:38">
      <c r="B172" s="3"/>
      <c r="C172" s="30" t="str">
        <f>"EL 4: " &amp; INDEX(_doName,3,5)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(1+INDEX(vadCnH,stdCSL+1,5))*INDEX(mspCnH,stdCSL+1,5)*tPIdxAll + INDEX(instCnH,stdCSL+1,5) + SUMPRODUCT(dFactor,tpSurvCnH,INDEX(mrCnH,stdCSL+1,5)*allOnes)</f>
        <v>1940.017004</v>
      </c>
      <c r="F173" s="28">
        <f ca="1"/>
        <v>1940.017004</v>
      </c>
      <c r="G173" s="28">
        <f ca="1"/>
        <v>1940.017004</v>
      </c>
      <c r="H173" s="28">
        <f ca="1"/>
        <v>1940.017004</v>
      </c>
      <c r="I173" s="28">
        <f ca="1"/>
        <v>1940.017004</v>
      </c>
      <c r="J173" s="28">
        <f ca="1"/>
        <v>1940.017004</v>
      </c>
      <c r="K173" s="28">
        <f ca="1"/>
        <v>1940.017004</v>
      </c>
      <c r="L173" s="28">
        <f ca="1"/>
        <v>1940.017004</v>
      </c>
      <c r="M173" s="28">
        <f ca="1"/>
        <v>1940.017004</v>
      </c>
      <c r="N173" s="28">
        <f ca="1"/>
        <v>1940.017004</v>
      </c>
      <c r="O173" s="28">
        <f ca="1"/>
        <v>1940.017004</v>
      </c>
      <c r="P173" s="28">
        <f ca="1"/>
        <v>1940.017004</v>
      </c>
      <c r="Q173" s="28">
        <f ca="1"/>
        <v>1940.017004</v>
      </c>
      <c r="R173" s="28">
        <f ca="1"/>
        <v>1940.017004</v>
      </c>
      <c r="S173" s="28">
        <f ca="1"/>
        <v>1940.017004</v>
      </c>
      <c r="T173" s="28">
        <f ca="1"/>
        <v>1940.017004</v>
      </c>
      <c r="U173" s="28">
        <f ca="1"/>
        <v>1940.017004</v>
      </c>
      <c r="V173" s="28">
        <f ca="1"/>
        <v>1940.017004</v>
      </c>
      <c r="W173" s="28">
        <f ca="1"/>
        <v>1940.017004</v>
      </c>
      <c r="X173" s="28">
        <f ca="1"/>
        <v>1940.017004</v>
      </c>
      <c r="Y173" s="28">
        <f ca="1"/>
        <v>1940.017004</v>
      </c>
      <c r="Z173" s="28">
        <f ca="1"/>
        <v>1940.017004</v>
      </c>
      <c r="AA173" s="28">
        <f ca="1"/>
        <v>1940.017004</v>
      </c>
      <c r="AB173" s="28">
        <f ca="1"/>
        <v>1940.017004</v>
      </c>
      <c r="AC173" s="28">
        <f ca="1"/>
        <v>1940.017004</v>
      </c>
      <c r="AD173" s="28">
        <f ca="1"/>
        <v>1940.017004</v>
      </c>
      <c r="AE173" s="28">
        <f ca="1"/>
        <v>1940.017004</v>
      </c>
      <c r="AF173" s="28">
        <f ca="1"/>
        <v>1940.017004</v>
      </c>
      <c r="AG173" s="28">
        <f ca="1"/>
        <v>1940.017004</v>
      </c>
      <c r="AH173" s="28">
        <f ca="1"/>
        <v>1940.017004</v>
      </c>
      <c r="AI173" s="28">
        <f ca="1"/>
        <v>1940.017004</v>
      </c>
      <c r="AJ173" s="28">
        <f ca="1"/>
        <v>1940.017004</v>
      </c>
      <c r="AK173" s="29">
        <f ca="1"/>
        <v>1940.017004</v>
      </c>
      <c r="AL173" s="3"/>
    </row>
    <row r="174" spans="2:38">
      <c r="B174" s="3"/>
      <c r="C174" s="23" t="s">
        <v>47</v>
      </c>
      <c r="D174" s="16" t="str">
        <f>_yearDol &amp; "$"</f>
        <v>2013$</v>
      </c>
      <c r="E174" s="141">
        <f t="array" aca="1" ref="E174:AK174" ca="1">(tlccEFupolElec4)</f>
        <v>95325.593069134775</v>
      </c>
      <c r="F174" s="28">
        <f ca="1"/>
        <v>95745.42945362741</v>
      </c>
      <c r="G174" s="28">
        <f ca="1"/>
        <v>96117.043428012039</v>
      </c>
      <c r="H174" s="28">
        <f ca="1"/>
        <v>96522.142091088695</v>
      </c>
      <c r="I174" s="28">
        <f ca="1"/>
        <v>96877.831493126345</v>
      </c>
      <c r="J174" s="28">
        <f ca="1"/>
        <v>97266.213979864595</v>
      </c>
      <c r="K174" s="28">
        <f ca="1"/>
        <v>97603.969837146462</v>
      </c>
      <c r="L174" s="28">
        <f ca="1"/>
        <v>97973.319737966522</v>
      </c>
      <c r="M174" s="28">
        <f ca="1"/>
        <v>98376.161521914488</v>
      </c>
      <c r="N174" s="28">
        <f ca="1"/>
        <v>98729.557492175663</v>
      </c>
      <c r="O174" s="28">
        <f ca="1"/>
        <v>99115.585262843611</v>
      </c>
      <c r="P174" s="28">
        <f ca="1"/>
        <v>99536.578302106078</v>
      </c>
      <c r="Q174" s="28">
        <f ca="1"/>
        <v>99909.669464811304</v>
      </c>
      <c r="R174" s="28">
        <f ca="1"/>
        <v>100316.6713835241</v>
      </c>
      <c r="S174" s="28">
        <f ca="1"/>
        <v>100674.70330240871</v>
      </c>
      <c r="T174" s="28">
        <f ca="1"/>
        <v>101065.80756764307</v>
      </c>
      <c r="U174" s="28">
        <f ca="1"/>
        <v>101492.49257683093</v>
      </c>
      <c r="V174" s="28">
        <f ca="1"/>
        <v>101871.69759286843</v>
      </c>
      <c r="W174" s="28">
        <f ca="1"/>
        <v>102285.60542885338</v>
      </c>
      <c r="X174" s="28">
        <f ca="1"/>
        <v>102651.32120210469</v>
      </c>
      <c r="Y174" s="28">
        <f ca="1"/>
        <v>103050.78009312109</v>
      </c>
      <c r="Z174" s="28">
        <f ca="1"/>
        <v>103486.60998226225</v>
      </c>
      <c r="AA174" s="28">
        <f ca="1"/>
        <v>103875.65087322866</v>
      </c>
      <c r="AB174" s="28">
        <f ca="1"/>
        <v>104300.26103293062</v>
      </c>
      <c r="AC174" s="28">
        <f ca="1"/>
        <v>104677.48368799849</v>
      </c>
      <c r="AD174" s="28">
        <f ca="1"/>
        <v>105089.35054746624</v>
      </c>
      <c r="AE174" s="28">
        <f ca="1"/>
        <v>105538.60891625041</v>
      </c>
      <c r="AF174" s="28">
        <f ca="1"/>
        <v>105942.21819147935</v>
      </c>
      <c r="AG174" s="28">
        <f ca="1"/>
        <v>106382.78601106355</v>
      </c>
      <c r="AH174" s="28">
        <f ca="1"/>
        <v>106777.11617089619</v>
      </c>
      <c r="AI174" s="28">
        <f ca="1"/>
        <v>107207.67899211333</v>
      </c>
      <c r="AJ174" s="28">
        <f ca="1"/>
        <v>107591.51693601036</v>
      </c>
      <c r="AK174" s="29">
        <f ca="1"/>
        <v>108010.84141716498</v>
      </c>
      <c r="AL174" s="3"/>
    </row>
    <row r="175" spans="2:38">
      <c r="B175" s="3"/>
      <c r="C175" s="27" t="str">
        <f>INDEX(_fuel,1)</f>
        <v>Electricity</v>
      </c>
      <c r="D175" s="16" t="str">
        <f>_yearDol &amp; "$"</f>
        <v>2013$</v>
      </c>
      <c r="E175" s="141">
        <f ca="1">SUMPRODUCT(dFactor,tpSurvCnH,INDEX(tEIdxElec,1)*INDEX(elecCnH,stdCSL+1,5)*allOnes,OFFSET(tPrcElec,0,0,1,_maxLT))</f>
        <v>95325.593069134775</v>
      </c>
      <c r="F175" s="28">
        <f ca="1">SUMPRODUCT(dFactor,tpSurvCnH,INDEX(tEIdxElec,2)*INDEX(elecCnH,stdCSL+1,5)*allOnes,OFFSET(tPrcElec,0,1,1,_maxLT))</f>
        <v>95745.42945362741</v>
      </c>
      <c r="G175" s="28">
        <f ca="1">SUMPRODUCT(dFactor,tpSurvCnH,INDEX(tEIdxElec,3)*INDEX(elecCnH,stdCSL+1,5)*allOnes,OFFSET(tPrcElec,0,2,1,_maxLT))</f>
        <v>96117.043428012039</v>
      </c>
      <c r="H175" s="28">
        <f ca="1">SUMPRODUCT(dFactor,tpSurvCnH,INDEX(tEIdxElec,4)*INDEX(elecCnH,stdCSL+1,5)*allOnes,OFFSET(tPrcElec,0,3,1,_maxLT))</f>
        <v>96522.142091088695</v>
      </c>
      <c r="I175" s="28">
        <f ca="1">SUMPRODUCT(dFactor,tpSurvCnH,INDEX(tEIdxElec,5)*INDEX(elecCnH,stdCSL+1,5)*allOnes,OFFSET(tPrcElec,0,4,1,_maxLT))</f>
        <v>96877.831493126345</v>
      </c>
      <c r="J175" s="28">
        <f ca="1">SUMPRODUCT(dFactor,tpSurvCnH,INDEX(tEIdxElec,6)*INDEX(elecCnH,stdCSL+1,5)*allOnes,OFFSET(tPrcElec,0,5,1,_maxLT))</f>
        <v>97266.213979864595</v>
      </c>
      <c r="K175" s="28">
        <f ca="1">SUMPRODUCT(dFactor,tpSurvCnH,INDEX(tEIdxElec,7)*INDEX(elecCnH,stdCSL+1,5)*allOnes,OFFSET(tPrcElec,0,6,1,_maxLT))</f>
        <v>97603.969837146462</v>
      </c>
      <c r="L175" s="28">
        <f ca="1">SUMPRODUCT(dFactor,tpSurvCnH,INDEX(tEIdxElec,8)*INDEX(elecCnH,stdCSL+1,5)*allOnes,OFFSET(tPrcElec,0,7,1,_maxLT))</f>
        <v>97973.319737966522</v>
      </c>
      <c r="M175" s="28">
        <f ca="1">SUMPRODUCT(dFactor,tpSurvCnH,INDEX(tEIdxElec,9)*INDEX(elecCnH,stdCSL+1,5)*allOnes,OFFSET(tPrcElec,0,8,1,_maxLT))</f>
        <v>98376.161521914488</v>
      </c>
      <c r="N175" s="28">
        <f ca="1">SUMPRODUCT(dFactor,tpSurvCnH,INDEX(tEIdxElec,10)*INDEX(elecCnH,stdCSL+1,5)*allOnes,OFFSET(tPrcElec,0,9,1,_maxLT))</f>
        <v>98729.557492175663</v>
      </c>
      <c r="O175" s="28">
        <f ca="1">SUMPRODUCT(dFactor,tpSurvCnH,INDEX(tEIdxElec,11)*INDEX(elecCnH,stdCSL+1,5)*allOnes,OFFSET(tPrcElec,0,10,1,_maxLT))</f>
        <v>99115.585262843611</v>
      </c>
      <c r="P175" s="28">
        <f ca="1">SUMPRODUCT(dFactor,tpSurvCnH,INDEX(tEIdxElec,12)*INDEX(elecCnH,stdCSL+1,5)*allOnes,OFFSET(tPrcElec,0,11,1,_maxLT))</f>
        <v>99536.578302106078</v>
      </c>
      <c r="Q175" s="28">
        <f ca="1">SUMPRODUCT(dFactor,tpSurvCnH,INDEX(tEIdxElec,13)*INDEX(elecCnH,stdCSL+1,5)*allOnes,OFFSET(tPrcElec,0,12,1,_maxLT))</f>
        <v>99909.669464811304</v>
      </c>
      <c r="R175" s="28">
        <f ca="1">SUMPRODUCT(dFactor,tpSurvCnH,INDEX(tEIdxElec,14)*INDEX(elecCnH,stdCSL+1,5)*allOnes,OFFSET(tPrcElec,0,13,1,_maxLT))</f>
        <v>100316.6713835241</v>
      </c>
      <c r="S175" s="28">
        <f ca="1">SUMPRODUCT(dFactor,tpSurvCnH,INDEX(tEIdxElec,15)*INDEX(elecCnH,stdCSL+1,5)*allOnes,OFFSET(tPrcElec,0,14,1,_maxLT))</f>
        <v>100674.70330240871</v>
      </c>
      <c r="T175" s="28">
        <f ca="1">SUMPRODUCT(dFactor,tpSurvCnH,INDEX(tEIdxElec,16)*INDEX(elecCnH,stdCSL+1,5)*allOnes,OFFSET(tPrcElec,0,15,1,_maxLT))</f>
        <v>101065.80756764307</v>
      </c>
      <c r="U175" s="28">
        <f ca="1">SUMPRODUCT(dFactor,tpSurvCnH,INDEX(tEIdxElec,17)*INDEX(elecCnH,stdCSL+1,5)*allOnes,OFFSET(tPrcElec,0,16,1,_maxLT))</f>
        <v>101492.49257683093</v>
      </c>
      <c r="V175" s="28">
        <f ca="1">SUMPRODUCT(dFactor,tpSurvCnH,INDEX(tEIdxElec,18)*INDEX(elecCnH,stdCSL+1,5)*allOnes,OFFSET(tPrcElec,0,17,1,_maxLT))</f>
        <v>101871.69759286843</v>
      </c>
      <c r="W175" s="28">
        <f ca="1">SUMPRODUCT(dFactor,tpSurvCnH,INDEX(tEIdxElec,19)*INDEX(elecCnH,stdCSL+1,5)*allOnes,OFFSET(tPrcElec,0,18,1,_maxLT))</f>
        <v>102285.60542885338</v>
      </c>
      <c r="X175" s="28">
        <f ca="1">SUMPRODUCT(dFactor,tpSurvCnH,INDEX(tEIdxElec,20)*INDEX(elecCnH,stdCSL+1,5)*allOnes,OFFSET(tPrcElec,0,19,1,_maxLT))</f>
        <v>102651.32120210469</v>
      </c>
      <c r="Y175" s="28">
        <f ca="1">SUMPRODUCT(dFactor,tpSurvCnH,INDEX(tEIdxElec,21)*INDEX(elecCnH,stdCSL+1,5)*allOnes,OFFSET(tPrcElec,0,20,1,_maxLT))</f>
        <v>103050.78009312109</v>
      </c>
      <c r="Z175" s="28">
        <f ca="1">SUMPRODUCT(dFactor,tpSurvCnH,INDEX(tEIdxElec,22)*INDEX(elecCnH,stdCSL+1,5)*allOnes,OFFSET(tPrcElec,0,21,1,_maxLT))</f>
        <v>103486.60998226225</v>
      </c>
      <c r="AA175" s="28">
        <f ca="1">SUMPRODUCT(dFactor,tpSurvCnH,INDEX(tEIdxElec,23)*INDEX(elecCnH,stdCSL+1,5)*allOnes,OFFSET(tPrcElec,0,22,1,_maxLT))</f>
        <v>103875.65087322866</v>
      </c>
      <c r="AB175" s="28">
        <f ca="1">SUMPRODUCT(dFactor,tpSurvCnH,INDEX(tEIdxElec,24)*INDEX(elecCnH,stdCSL+1,5)*allOnes,OFFSET(tPrcElec,0,23,1,_maxLT))</f>
        <v>104300.26103293062</v>
      </c>
      <c r="AC175" s="28">
        <f ca="1">SUMPRODUCT(dFactor,tpSurvCnH,INDEX(tEIdxElec,25)*INDEX(elecCnH,stdCSL+1,5)*allOnes,OFFSET(tPrcElec,0,24,1,_maxLT))</f>
        <v>104677.48368799849</v>
      </c>
      <c r="AD175" s="28">
        <f ca="1">SUMPRODUCT(dFactor,tpSurvCnH,INDEX(tEIdxElec,26)*INDEX(elecCnH,stdCSL+1,5)*allOnes,OFFSET(tPrcElec,0,25,1,_maxLT))</f>
        <v>105089.35054746624</v>
      </c>
      <c r="AE175" s="28">
        <f ca="1">SUMPRODUCT(dFactor,tpSurvCnH,INDEX(tEIdxElec,27)*INDEX(elecCnH,stdCSL+1,5)*allOnes,OFFSET(tPrcElec,0,26,1,_maxLT))</f>
        <v>105538.60891625041</v>
      </c>
      <c r="AF175" s="28">
        <f ca="1">SUMPRODUCT(dFactor,tpSurvCnH,INDEX(tEIdxElec,28)*INDEX(elecCnH,stdCSL+1,5)*allOnes,OFFSET(tPrcElec,0,27,1,_maxLT))</f>
        <v>105942.21819147935</v>
      </c>
      <c r="AG175" s="28">
        <f ca="1">SUMPRODUCT(dFactor,tpSurvCnH,INDEX(tEIdxElec,29)*INDEX(elecCnH,stdCSL+1,5)*allOnes,OFFSET(tPrcElec,0,28,1,_maxLT))</f>
        <v>106382.78601106355</v>
      </c>
      <c r="AH175" s="28">
        <f ca="1">SUMPRODUCT(dFactor,tpSurvCnH,INDEX(tEIdxElec,30)*INDEX(elecCnH,stdCSL+1,5)*allOnes,OFFSET(tPrcElec,0,29,1,_maxLT))</f>
        <v>106777.11617089619</v>
      </c>
      <c r="AI175" s="28">
        <f ca="1">SUMPRODUCT(dFactor,tpSurvCnH,INDEX(tEIdxElec,31)*INDEX(elecCnH,stdCSL+1,5)*allOnes,OFFSET(tPrcElec,0,30,1,_maxLT))</f>
        <v>107207.67899211333</v>
      </c>
      <c r="AJ175" s="28">
        <f ca="1">SUMPRODUCT(dFactor,tpSurvCnH,INDEX(tEIdxElec,32)*INDEX(elecCnH,stdCSL+1,5)*allOnes,OFFSET(tPrcElec,0,31,1,_maxLT))</f>
        <v>107591.51693601036</v>
      </c>
      <c r="AK175" s="29">
        <f ca="1">SUMPRODUCT(dFactor,tpSurvCnH,INDEX(tEIdxElec,33)*INDEX(elecCnH,stdCSL+1,5)*allOnes,OFFSET(tPrcElec,0,32,1,_maxLT))</f>
        <v>108010.84141716498</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ts2bElec*SUMPRODUCT(tpSurvCnH,INDEX(tEIdxElec,1)*INDEX(elecCnH,stdCSL+1,5)*convFactor)</f>
        <v>20292.792574602518</v>
      </c>
      <c r="F177" s="22">
        <f ca="1">ts2bElec*SUMPRODUCT(tpSurvCnH,INDEX(tEIdxElec,2)*INDEX(elecCnH,stdCSL+1,5)*convFactor)</f>
        <v>20141.10747230145</v>
      </c>
      <c r="G177" s="22">
        <f ca="1">ts2bElec*SUMPRODUCT(tpSurvCnH,INDEX(tEIdxElec,3)*INDEX(elecCnH,stdCSL+1,5)*convFactor)</f>
        <v>19988.279031849772</v>
      </c>
      <c r="H177" s="22">
        <f ca="1">ts2bElec*SUMPRODUCT(tpSurvCnH,INDEX(tEIdxElec,4)*INDEX(elecCnH,stdCSL+1,5)*convFactor)</f>
        <v>19854.053572736855</v>
      </c>
      <c r="I177" s="22">
        <f ca="1">ts2bElec*SUMPRODUCT(tpSurvCnH,INDEX(tEIdxElec,5)*INDEX(elecCnH,stdCSL+1,5)*convFactor)</f>
        <v>19726.778307113353</v>
      </c>
      <c r="J177" s="22">
        <f ca="1">ts2bElec*SUMPRODUCT(tpSurvCnH,INDEX(tEIdxElec,6)*INDEX(elecCnH,stdCSL+1,5)*convFactor)</f>
        <v>19615.936667622675</v>
      </c>
      <c r="K177" s="22">
        <f ca="1">ts2bElec*SUMPRODUCT(tpSurvCnH,INDEX(tEIdxElec,7)*INDEX(elecCnH,stdCSL+1,5)*convFactor)</f>
        <v>19529.978121256507</v>
      </c>
      <c r="L177" s="22">
        <f ca="1">ts2bElec*SUMPRODUCT(tpSurvCnH,INDEX(tEIdxElec,8)*INDEX(elecCnH,stdCSL+1,5)*convFactor)</f>
        <v>19458.722612629859</v>
      </c>
      <c r="M177" s="22">
        <f ca="1">ts2bElec*SUMPRODUCT(tpSurvCnH,INDEX(tEIdxElec,9)*INDEX(elecCnH,stdCSL+1,5)*convFactor)</f>
        <v>19387.15926670612</v>
      </c>
      <c r="N177" s="22">
        <f ca="1">ts2bElec*SUMPRODUCT(tpSurvCnH,INDEX(tEIdxElec,10)*INDEX(elecCnH,stdCSL+1,5)*convFactor)</f>
        <v>19329.92639330784</v>
      </c>
      <c r="O177" s="22">
        <f ca="1">ts2bElec*SUMPRODUCT(tpSurvCnH,INDEX(tEIdxElec,11)*INDEX(elecCnH,stdCSL+1,5)*convFactor)</f>
        <v>19290.511080076129</v>
      </c>
      <c r="P177" s="22">
        <f ca="1">ts2bElec*SUMPRODUCT(tpSurvCnH,INDEX(tEIdxElec,12)*INDEX(elecCnH,stdCSL+1,5)*convFactor)</f>
        <v>19261.672875232656</v>
      </c>
      <c r="Q177" s="22">
        <f ca="1">ts2bElec*SUMPRODUCT(tpSurvCnH,INDEX(tEIdxElec,13)*INDEX(elecCnH,stdCSL+1,5)*convFactor)</f>
        <v>19237.409753200336</v>
      </c>
      <c r="R177" s="22">
        <f ca="1">ts2bElec*SUMPRODUCT(tpSurvCnH,INDEX(tEIdxElec,14)*INDEX(elecCnH,stdCSL+1,5)*convFactor)</f>
        <v>19219.513227421128</v>
      </c>
      <c r="S177" s="22">
        <f ca="1">ts2bElec*SUMPRODUCT(tpSurvCnH,INDEX(tEIdxElec,15)*INDEX(elecCnH,stdCSL+1,5)*convFactor)</f>
        <v>19205.871609584483</v>
      </c>
      <c r="T177" s="22">
        <f ca="1">ts2bElec*SUMPRODUCT(tpSurvCnH,INDEX(tEIdxElec,16)*INDEX(elecCnH,stdCSL+1,5)*convFactor)</f>
        <v>19204.162855195125</v>
      </c>
      <c r="U177" s="22">
        <f ca="1">ts2bElec*SUMPRODUCT(tpSurvCnH,INDEX(tEIdxElec,17)*INDEX(elecCnH,stdCSL+1,5)*convFactor)</f>
        <v>19207.665458933694</v>
      </c>
      <c r="V177" s="22">
        <f ca="1">ts2bElec*SUMPRODUCT(tpSurvCnH,INDEX(tEIdxElec,18)*INDEX(elecCnH,stdCSL+1,5)*convFactor)</f>
        <v>19212.811340537137</v>
      </c>
      <c r="W177" s="22">
        <f ca="1">ts2bElec*SUMPRODUCT(tpSurvCnH,INDEX(tEIdxElec,19)*INDEX(elecCnH,stdCSL+1,5)*convFactor)</f>
        <v>19220.170664183403</v>
      </c>
      <c r="X177" s="22">
        <f ca="1">ts2bElec*SUMPRODUCT(tpSurvCnH,INDEX(tEIdxElec,20)*INDEX(elecCnH,stdCSL+1,5)*convFactor)</f>
        <v>19227.1251459751</v>
      </c>
      <c r="Y177" s="22">
        <f ca="1">ts2bElec*SUMPRODUCT(tpSurvCnH,INDEX(tEIdxElec,21)*INDEX(elecCnH,stdCSL+1,5)*convFactor)</f>
        <v>19232.887305970769</v>
      </c>
      <c r="Z177" s="22">
        <f ca="1">ts2bElec*SUMPRODUCT(tpSurvCnH,INDEX(tEIdxElec,22)*INDEX(elecCnH,stdCSL+1,5)*convFactor)</f>
        <v>19236.748767864909</v>
      </c>
      <c r="AA177" s="22">
        <f ca="1">ts2bElec*SUMPRODUCT(tpSurvCnH,INDEX(tEIdxElec,23)*INDEX(elecCnH,stdCSL+1,5)*convFactor)</f>
        <v>19239.293728297562</v>
      </c>
      <c r="AB177" s="22">
        <f ca="1">ts2bElec*SUMPRODUCT(tpSurvCnH,INDEX(tEIdxElec,24)*INDEX(elecCnH,stdCSL+1,5)*convFactor)</f>
        <v>19239.293728297562</v>
      </c>
      <c r="AC177" s="22">
        <f ca="1">ts2bElec*SUMPRODUCT(tpSurvCnH,INDEX(tEIdxElec,25)*INDEX(elecCnH,stdCSL+1,5)*convFactor)</f>
        <v>19239.293728297562</v>
      </c>
      <c r="AD177" s="22">
        <f ca="1">ts2bElec*SUMPRODUCT(tpSurvCnH,INDEX(tEIdxElec,26)*INDEX(elecCnH,stdCSL+1,5)*convFactor)</f>
        <v>19239.293728297562</v>
      </c>
      <c r="AE177" s="22">
        <f ca="1">ts2bElec*SUMPRODUCT(tpSurvCnH,INDEX(tEIdxElec,27)*INDEX(elecCnH,stdCSL+1,5)*convFactor)</f>
        <v>19239.293728297562</v>
      </c>
      <c r="AF177" s="22">
        <f ca="1">ts2bElec*SUMPRODUCT(tpSurvCnH,INDEX(tEIdxElec,28)*INDEX(elecCnH,stdCSL+1,5)*convFactor)</f>
        <v>19239.293728297562</v>
      </c>
      <c r="AG177" s="22">
        <f ca="1">ts2bElec*SUMPRODUCT(tpSurvCnH,INDEX(tEIdxElec,29)*INDEX(elecCnH,stdCSL+1,5)*convFactor)</f>
        <v>19239.293728297562</v>
      </c>
      <c r="AH177" s="22">
        <f ca="1">ts2bElec*SUMPRODUCT(tpSurvCnH,INDEX(tEIdxElec,30)*INDEX(elecCnH,stdCSL+1,5)*convFactor)</f>
        <v>19239.293728297562</v>
      </c>
      <c r="AI177" s="22">
        <f ca="1">ts2bElec*SUMPRODUCT(tpSurvCnH,INDEX(tEIdxElec,31)*INDEX(elecCnH,stdCSL+1,5)*convFactor)</f>
        <v>19239.293728297562</v>
      </c>
      <c r="AJ177" s="22">
        <f ca="1">ts2bElec*SUMPRODUCT(tpSurvCnH,INDEX(tEIdxElec,32)*INDEX(elecCnH,stdCSL+1,5)*convFactor)</f>
        <v>19239.293728297562</v>
      </c>
      <c r="AK177" s="25">
        <f ca="1">ts2bElec*SUMPRODUCT(tpSurvCnH,INDEX(tEIdxElec,33)*INDEX(elecCnH,stdCSL+1,5)*convFactor)</f>
        <v>19239.293728297562</v>
      </c>
      <c r="AL177" s="3"/>
    </row>
    <row r="178" spans="2:38">
      <c r="B178" s="3"/>
      <c r="C178" s="30" t="str">
        <f>"EL 5: " &amp; INDEX(_doName,3,6)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(1+INDEX(vadCnH,stdCSL+1,6))*INDEX(mspCnH,stdCSL+1,6)*tPIdxAll + INDEX(instCnH,stdCSL+1,6) + SUMPRODUCT(dFactor,tpSurvCnH,INDEX(mrCnH,stdCSL+1,6)*allOnes)</f>
        <v>2394.9557949999999</v>
      </c>
      <c r="F179" s="28">
        <f ca="1"/>
        <v>2394.9557949999999</v>
      </c>
      <c r="G179" s="28">
        <f ca="1"/>
        <v>2394.9557949999999</v>
      </c>
      <c r="H179" s="28">
        <f ca="1"/>
        <v>2394.9557949999999</v>
      </c>
      <c r="I179" s="28">
        <f ca="1"/>
        <v>2394.9557949999999</v>
      </c>
      <c r="J179" s="28">
        <f ca="1"/>
        <v>2394.9557949999999</v>
      </c>
      <c r="K179" s="28">
        <f ca="1"/>
        <v>2394.9557949999999</v>
      </c>
      <c r="L179" s="28">
        <f ca="1"/>
        <v>2394.9557949999999</v>
      </c>
      <c r="M179" s="28">
        <f ca="1"/>
        <v>2394.9557949999999</v>
      </c>
      <c r="N179" s="28">
        <f ca="1"/>
        <v>2394.9557949999999</v>
      </c>
      <c r="O179" s="28">
        <f ca="1"/>
        <v>2394.9557949999999</v>
      </c>
      <c r="P179" s="28">
        <f ca="1"/>
        <v>2394.9557949999999</v>
      </c>
      <c r="Q179" s="28">
        <f ca="1"/>
        <v>2394.9557949999999</v>
      </c>
      <c r="R179" s="28">
        <f ca="1"/>
        <v>2394.9557949999999</v>
      </c>
      <c r="S179" s="28">
        <f ca="1"/>
        <v>2394.9557949999999</v>
      </c>
      <c r="T179" s="28">
        <f ca="1"/>
        <v>2394.9557949999999</v>
      </c>
      <c r="U179" s="28">
        <f ca="1"/>
        <v>2394.9557949999999</v>
      </c>
      <c r="V179" s="28">
        <f ca="1"/>
        <v>2394.9557949999999</v>
      </c>
      <c r="W179" s="28">
        <f ca="1"/>
        <v>2394.9557949999999</v>
      </c>
      <c r="X179" s="28">
        <f ca="1"/>
        <v>2394.9557949999999</v>
      </c>
      <c r="Y179" s="28">
        <f ca="1"/>
        <v>2394.9557949999999</v>
      </c>
      <c r="Z179" s="28">
        <f ca="1"/>
        <v>2394.9557949999999</v>
      </c>
      <c r="AA179" s="28">
        <f ca="1"/>
        <v>2394.9557949999999</v>
      </c>
      <c r="AB179" s="28">
        <f ca="1"/>
        <v>2394.9557949999999</v>
      </c>
      <c r="AC179" s="28">
        <f ca="1"/>
        <v>2394.9557949999999</v>
      </c>
      <c r="AD179" s="28">
        <f ca="1"/>
        <v>2394.9557949999999</v>
      </c>
      <c r="AE179" s="28">
        <f ca="1"/>
        <v>2394.9557949999999</v>
      </c>
      <c r="AF179" s="28">
        <f ca="1"/>
        <v>2394.9557949999999</v>
      </c>
      <c r="AG179" s="28">
        <f ca="1"/>
        <v>2394.9557949999999</v>
      </c>
      <c r="AH179" s="28">
        <f ca="1"/>
        <v>2394.9557949999999</v>
      </c>
      <c r="AI179" s="28">
        <f ca="1"/>
        <v>2394.9557949999999</v>
      </c>
      <c r="AJ179" s="28">
        <f ca="1"/>
        <v>2394.9557949999999</v>
      </c>
      <c r="AK179" s="29">
        <f ca="1"/>
        <v>2394.9557949999999</v>
      </c>
      <c r="AL179" s="3"/>
    </row>
    <row r="180" spans="2:38">
      <c r="B180" s="3"/>
      <c r="C180" s="23" t="s">
        <v>47</v>
      </c>
      <c r="D180" s="16" t="str">
        <f>_yearDol &amp; "$"</f>
        <v>2013$</v>
      </c>
      <c r="E180" s="141">
        <f t="array" aca="1" ref="E180:AK180" ca="1">(tlccEFupolElec5)</f>
        <v>74428.252800356553</v>
      </c>
      <c r="F180" s="28">
        <f ca="1"/>
        <v>74756.052371843514</v>
      </c>
      <c r="G180" s="28">
        <f ca="1"/>
        <v>75046.200882218734</v>
      </c>
      <c r="H180" s="28">
        <f ca="1"/>
        <v>75362.493545435558</v>
      </c>
      <c r="I180" s="28">
        <f ca="1"/>
        <v>75640.208478864442</v>
      </c>
      <c r="J180" s="28">
        <f ca="1"/>
        <v>75943.449497099908</v>
      </c>
      <c r="K180" s="28">
        <f ca="1"/>
        <v>76207.162289448752</v>
      </c>
      <c r="L180" s="28">
        <f ca="1"/>
        <v>76495.543057980482</v>
      </c>
      <c r="M180" s="28">
        <f ca="1"/>
        <v>76810.07359662067</v>
      </c>
      <c r="N180" s="28">
        <f ca="1"/>
        <v>77085.997865921076</v>
      </c>
      <c r="O180" s="28">
        <f ca="1"/>
        <v>77387.400370518051</v>
      </c>
      <c r="P180" s="28">
        <f ca="1"/>
        <v>77716.103034142638</v>
      </c>
      <c r="Q180" s="28">
        <f ca="1"/>
        <v>78007.404902626833</v>
      </c>
      <c r="R180" s="28">
        <f ca="1"/>
        <v>78325.183588506246</v>
      </c>
      <c r="S180" s="28">
        <f ca="1"/>
        <v>78604.727510672179</v>
      </c>
      <c r="T180" s="28">
        <f ca="1"/>
        <v>78910.093637301441</v>
      </c>
      <c r="U180" s="28">
        <f ca="1"/>
        <v>79243.240473397498</v>
      </c>
      <c r="V180" s="28">
        <f ca="1"/>
        <v>79539.315912197431</v>
      </c>
      <c r="W180" s="28">
        <f ca="1"/>
        <v>79862.486595545692</v>
      </c>
      <c r="X180" s="28">
        <f ca="1"/>
        <v>80148.029912384925</v>
      </c>
      <c r="Y180" s="28">
        <f ca="1"/>
        <v>80459.919158144563</v>
      </c>
      <c r="Z180" s="28">
        <f ca="1"/>
        <v>80800.206127494108</v>
      </c>
      <c r="AA180" s="28">
        <f ca="1"/>
        <v>81103.961214142444</v>
      </c>
      <c r="AB180" s="28">
        <f ca="1"/>
        <v>81435.488050644562</v>
      </c>
      <c r="AC180" s="28">
        <f ca="1"/>
        <v>81730.015702972451</v>
      </c>
      <c r="AD180" s="28">
        <f ca="1"/>
        <v>82051.592834040726</v>
      </c>
      <c r="AE180" s="28">
        <f ca="1"/>
        <v>82402.364482744684</v>
      </c>
      <c r="AF180" s="28">
        <f ca="1"/>
        <v>82717.49426271391</v>
      </c>
      <c r="AG180" s="28">
        <f ca="1"/>
        <v>83061.480510225985</v>
      </c>
      <c r="AH180" s="28">
        <f ca="1"/>
        <v>83369.365348682171</v>
      </c>
      <c r="AI180" s="28">
        <f ca="1"/>
        <v>83705.539900260788</v>
      </c>
      <c r="AJ180" s="28">
        <f ca="1"/>
        <v>84005.232633376203</v>
      </c>
      <c r="AK180" s="29">
        <f ca="1"/>
        <v>84332.632521317282</v>
      </c>
      <c r="AL180" s="3"/>
    </row>
    <row r="181" spans="2:38">
      <c r="B181" s="3"/>
      <c r="C181" s="27" t="str">
        <f>INDEX(_fuel,1)</f>
        <v>Electricity</v>
      </c>
      <c r="D181" s="16" t="str">
        <f>_yearDol &amp; "$"</f>
        <v>2013$</v>
      </c>
      <c r="E181" s="141">
        <f ca="1">SUMPRODUCT(dFactor,tpSurvCnH,INDEX(tEIdxElec,1)*INDEX(elecCnH,stdCSL+1,6)*allOnes,OFFSET(tPrcElec,0,0,1,_maxLT))</f>
        <v>74428.252800356553</v>
      </c>
      <c r="F181" s="28">
        <f ca="1">SUMPRODUCT(dFactor,tpSurvCnH,INDEX(tEIdxElec,2)*INDEX(elecCnH,stdCSL+1,6)*allOnes,OFFSET(tPrcElec,0,1,1,_maxLT))</f>
        <v>74756.052371843514</v>
      </c>
      <c r="G181" s="28">
        <f ca="1">SUMPRODUCT(dFactor,tpSurvCnH,INDEX(tEIdxElec,3)*INDEX(elecCnH,stdCSL+1,6)*allOnes,OFFSET(tPrcElec,0,2,1,_maxLT))</f>
        <v>75046.200882218734</v>
      </c>
      <c r="H181" s="28">
        <f ca="1">SUMPRODUCT(dFactor,tpSurvCnH,INDEX(tEIdxElec,4)*INDEX(elecCnH,stdCSL+1,6)*allOnes,OFFSET(tPrcElec,0,3,1,_maxLT))</f>
        <v>75362.493545435558</v>
      </c>
      <c r="I181" s="28">
        <f ca="1">SUMPRODUCT(dFactor,tpSurvCnH,INDEX(tEIdxElec,5)*INDEX(elecCnH,stdCSL+1,6)*allOnes,OFFSET(tPrcElec,0,4,1,_maxLT))</f>
        <v>75640.208478864442</v>
      </c>
      <c r="J181" s="28">
        <f ca="1">SUMPRODUCT(dFactor,tpSurvCnH,INDEX(tEIdxElec,6)*INDEX(elecCnH,stdCSL+1,6)*allOnes,OFFSET(tPrcElec,0,5,1,_maxLT))</f>
        <v>75943.449497099908</v>
      </c>
      <c r="K181" s="28">
        <f ca="1">SUMPRODUCT(dFactor,tpSurvCnH,INDEX(tEIdxElec,7)*INDEX(elecCnH,stdCSL+1,6)*allOnes,OFFSET(tPrcElec,0,6,1,_maxLT))</f>
        <v>76207.162289448752</v>
      </c>
      <c r="L181" s="28">
        <f ca="1">SUMPRODUCT(dFactor,tpSurvCnH,INDEX(tEIdxElec,8)*INDEX(elecCnH,stdCSL+1,6)*allOnes,OFFSET(tPrcElec,0,7,1,_maxLT))</f>
        <v>76495.543057980482</v>
      </c>
      <c r="M181" s="28">
        <f ca="1">SUMPRODUCT(dFactor,tpSurvCnH,INDEX(tEIdxElec,9)*INDEX(elecCnH,stdCSL+1,6)*allOnes,OFFSET(tPrcElec,0,8,1,_maxLT))</f>
        <v>76810.07359662067</v>
      </c>
      <c r="N181" s="28">
        <f ca="1">SUMPRODUCT(dFactor,tpSurvCnH,INDEX(tEIdxElec,10)*INDEX(elecCnH,stdCSL+1,6)*allOnes,OFFSET(tPrcElec,0,9,1,_maxLT))</f>
        <v>77085.997865921076</v>
      </c>
      <c r="O181" s="28">
        <f ca="1">SUMPRODUCT(dFactor,tpSurvCnH,INDEX(tEIdxElec,11)*INDEX(elecCnH,stdCSL+1,6)*allOnes,OFFSET(tPrcElec,0,10,1,_maxLT))</f>
        <v>77387.400370518051</v>
      </c>
      <c r="P181" s="28">
        <f ca="1">SUMPRODUCT(dFactor,tpSurvCnH,INDEX(tEIdxElec,12)*INDEX(elecCnH,stdCSL+1,6)*allOnes,OFFSET(tPrcElec,0,11,1,_maxLT))</f>
        <v>77716.103034142638</v>
      </c>
      <c r="Q181" s="28">
        <f ca="1">SUMPRODUCT(dFactor,tpSurvCnH,INDEX(tEIdxElec,13)*INDEX(elecCnH,stdCSL+1,6)*allOnes,OFFSET(tPrcElec,0,12,1,_maxLT))</f>
        <v>78007.404902626833</v>
      </c>
      <c r="R181" s="28">
        <f ca="1">SUMPRODUCT(dFactor,tpSurvCnH,INDEX(tEIdxElec,14)*INDEX(elecCnH,stdCSL+1,6)*allOnes,OFFSET(tPrcElec,0,13,1,_maxLT))</f>
        <v>78325.183588506246</v>
      </c>
      <c r="S181" s="28">
        <f ca="1">SUMPRODUCT(dFactor,tpSurvCnH,INDEX(tEIdxElec,15)*INDEX(elecCnH,stdCSL+1,6)*allOnes,OFFSET(tPrcElec,0,14,1,_maxLT))</f>
        <v>78604.727510672179</v>
      </c>
      <c r="T181" s="28">
        <f ca="1">SUMPRODUCT(dFactor,tpSurvCnH,INDEX(tEIdxElec,16)*INDEX(elecCnH,stdCSL+1,6)*allOnes,OFFSET(tPrcElec,0,15,1,_maxLT))</f>
        <v>78910.093637301441</v>
      </c>
      <c r="U181" s="28">
        <f ca="1">SUMPRODUCT(dFactor,tpSurvCnH,INDEX(tEIdxElec,17)*INDEX(elecCnH,stdCSL+1,6)*allOnes,OFFSET(tPrcElec,0,16,1,_maxLT))</f>
        <v>79243.240473397498</v>
      </c>
      <c r="V181" s="28">
        <f ca="1">SUMPRODUCT(dFactor,tpSurvCnH,INDEX(tEIdxElec,18)*INDEX(elecCnH,stdCSL+1,6)*allOnes,OFFSET(tPrcElec,0,17,1,_maxLT))</f>
        <v>79539.315912197431</v>
      </c>
      <c r="W181" s="28">
        <f ca="1">SUMPRODUCT(dFactor,tpSurvCnH,INDEX(tEIdxElec,19)*INDEX(elecCnH,stdCSL+1,6)*allOnes,OFFSET(tPrcElec,0,18,1,_maxLT))</f>
        <v>79862.486595545692</v>
      </c>
      <c r="X181" s="28">
        <f ca="1">SUMPRODUCT(dFactor,tpSurvCnH,INDEX(tEIdxElec,20)*INDEX(elecCnH,stdCSL+1,6)*allOnes,OFFSET(tPrcElec,0,19,1,_maxLT))</f>
        <v>80148.029912384925</v>
      </c>
      <c r="Y181" s="28">
        <f ca="1">SUMPRODUCT(dFactor,tpSurvCnH,INDEX(tEIdxElec,21)*INDEX(elecCnH,stdCSL+1,6)*allOnes,OFFSET(tPrcElec,0,20,1,_maxLT))</f>
        <v>80459.919158144563</v>
      </c>
      <c r="Z181" s="28">
        <f ca="1">SUMPRODUCT(dFactor,tpSurvCnH,INDEX(tEIdxElec,22)*INDEX(elecCnH,stdCSL+1,6)*allOnes,OFFSET(tPrcElec,0,21,1,_maxLT))</f>
        <v>80800.206127494108</v>
      </c>
      <c r="AA181" s="28">
        <f ca="1">SUMPRODUCT(dFactor,tpSurvCnH,INDEX(tEIdxElec,23)*INDEX(elecCnH,stdCSL+1,6)*allOnes,OFFSET(tPrcElec,0,22,1,_maxLT))</f>
        <v>81103.961214142444</v>
      </c>
      <c r="AB181" s="28">
        <f ca="1">SUMPRODUCT(dFactor,tpSurvCnH,INDEX(tEIdxElec,24)*INDEX(elecCnH,stdCSL+1,6)*allOnes,OFFSET(tPrcElec,0,23,1,_maxLT))</f>
        <v>81435.488050644562</v>
      </c>
      <c r="AC181" s="28">
        <f ca="1">SUMPRODUCT(dFactor,tpSurvCnH,INDEX(tEIdxElec,25)*INDEX(elecCnH,stdCSL+1,6)*allOnes,OFFSET(tPrcElec,0,24,1,_maxLT))</f>
        <v>81730.015702972451</v>
      </c>
      <c r="AD181" s="28">
        <f ca="1">SUMPRODUCT(dFactor,tpSurvCnH,INDEX(tEIdxElec,26)*INDEX(elecCnH,stdCSL+1,6)*allOnes,OFFSET(tPrcElec,0,25,1,_maxLT))</f>
        <v>82051.592834040726</v>
      </c>
      <c r="AE181" s="28">
        <f ca="1">SUMPRODUCT(dFactor,tpSurvCnH,INDEX(tEIdxElec,27)*INDEX(elecCnH,stdCSL+1,6)*allOnes,OFFSET(tPrcElec,0,26,1,_maxLT))</f>
        <v>82402.364482744684</v>
      </c>
      <c r="AF181" s="28">
        <f ca="1">SUMPRODUCT(dFactor,tpSurvCnH,INDEX(tEIdxElec,28)*INDEX(elecCnH,stdCSL+1,6)*allOnes,OFFSET(tPrcElec,0,27,1,_maxLT))</f>
        <v>82717.49426271391</v>
      </c>
      <c r="AG181" s="28">
        <f ca="1">SUMPRODUCT(dFactor,tpSurvCnH,INDEX(tEIdxElec,29)*INDEX(elecCnH,stdCSL+1,6)*allOnes,OFFSET(tPrcElec,0,28,1,_maxLT))</f>
        <v>83061.480510225985</v>
      </c>
      <c r="AH181" s="28">
        <f ca="1">SUMPRODUCT(dFactor,tpSurvCnH,INDEX(tEIdxElec,30)*INDEX(elecCnH,stdCSL+1,6)*allOnes,OFFSET(tPrcElec,0,29,1,_maxLT))</f>
        <v>83369.365348682171</v>
      </c>
      <c r="AI181" s="28">
        <f ca="1">SUMPRODUCT(dFactor,tpSurvCnH,INDEX(tEIdxElec,31)*INDEX(elecCnH,stdCSL+1,6)*allOnes,OFFSET(tPrcElec,0,30,1,_maxLT))</f>
        <v>83705.539900260788</v>
      </c>
      <c r="AJ181" s="28">
        <f ca="1">SUMPRODUCT(dFactor,tpSurvCnH,INDEX(tEIdxElec,32)*INDEX(elecCnH,stdCSL+1,6)*allOnes,OFFSET(tPrcElec,0,31,1,_maxLT))</f>
        <v>84005.232633376203</v>
      </c>
      <c r="AK181" s="29">
        <f ca="1">SUMPRODUCT(dFactor,tpSurvCnH,INDEX(tEIdxElec,33)*INDEX(elecCnH,stdCSL+1,6)*allOnes,OFFSET(tPrcElec,0,32,1,_maxLT))</f>
        <v>84332.632521317282</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ts2bElec*SUMPRODUCT(tpSurvCnH,INDEX(tEIdxElec,1)*INDEX(elecCnH,stdCSL+1,6)*convFactor)</f>
        <v>15844.193014066319</v>
      </c>
      <c r="F183" s="22">
        <f ca="1">ts2bElec*SUMPRODUCT(tpSurvCnH,INDEX(tEIdxElec,2)*INDEX(elecCnH,stdCSL+1,6)*convFactor)</f>
        <v>15725.760421342518</v>
      </c>
      <c r="G183" s="22">
        <f ca="1">ts2bElec*SUMPRODUCT(tpSurvCnH,INDEX(tEIdxElec,3)*INDEX(elecCnH,stdCSL+1,6)*convFactor)</f>
        <v>15606.43513382218</v>
      </c>
      <c r="H183" s="22">
        <f ca="1">ts2bElec*SUMPRODUCT(tpSurvCnH,INDEX(tEIdxElec,4)*INDEX(elecCnH,stdCSL+1,6)*convFactor)</f>
        <v>15501.634669629369</v>
      </c>
      <c r="I183" s="22">
        <f ca="1">ts2bElec*SUMPRODUCT(tpSurvCnH,INDEX(tEIdxElec,5)*INDEX(elecCnH,stdCSL+1,6)*convFactor)</f>
        <v>15402.260772860762</v>
      </c>
      <c r="J183" s="22">
        <f ca="1">ts2bElec*SUMPRODUCT(tpSurvCnH,INDEX(tEIdxElec,6)*INDEX(elecCnH,stdCSL+1,6)*convFactor)</f>
        <v>15315.717911712913</v>
      </c>
      <c r="K183" s="22">
        <f ca="1">ts2bElec*SUMPRODUCT(tpSurvCnH,INDEX(tEIdxElec,7)*INDEX(elecCnH,stdCSL+1,6)*convFactor)</f>
        <v>15248.603255372384</v>
      </c>
      <c r="L183" s="22">
        <f ca="1">ts2bElec*SUMPRODUCT(tpSurvCnH,INDEX(tEIdxElec,8)*INDEX(elecCnH,stdCSL+1,6)*convFactor)</f>
        <v>15192.968427004351</v>
      </c>
      <c r="M183" s="22">
        <f ca="1">ts2bElec*SUMPRODUCT(tpSurvCnH,INDEX(tEIdxElec,9)*INDEX(elecCnH,stdCSL+1,6)*convFactor)</f>
        <v>15137.093245637383</v>
      </c>
      <c r="N183" s="22">
        <f ca="1">ts2bElec*SUMPRODUCT(tpSurvCnH,INDEX(tEIdxElec,10)*INDEX(elecCnH,stdCSL+1,6)*convFactor)</f>
        <v>15092.407001024265</v>
      </c>
      <c r="O183" s="22">
        <f ca="1">ts2bElec*SUMPRODUCT(tpSurvCnH,INDEX(tEIdxElec,11)*INDEX(elecCnH,stdCSL+1,6)*convFactor)</f>
        <v>15061.632339121164</v>
      </c>
      <c r="P183" s="22">
        <f ca="1">ts2bElec*SUMPRODUCT(tpSurvCnH,INDEX(tEIdxElec,12)*INDEX(elecCnH,stdCSL+1,6)*convFactor)</f>
        <v>15039.1160648312</v>
      </c>
      <c r="Q183" s="22">
        <f ca="1">ts2bElec*SUMPRODUCT(tpSurvCnH,INDEX(tEIdxElec,13)*INDEX(elecCnH,stdCSL+1,6)*convFactor)</f>
        <v>15020.171920638593</v>
      </c>
      <c r="R183" s="22">
        <f ca="1">ts2bElec*SUMPRODUCT(tpSurvCnH,INDEX(tEIdxElec,14)*INDEX(elecCnH,stdCSL+1,6)*convFactor)</f>
        <v>15006.198683210352</v>
      </c>
      <c r="S183" s="22">
        <f ca="1">ts2bElec*SUMPRODUCT(tpSurvCnH,INDEX(tEIdxElec,15)*INDEX(elecCnH,stdCSL+1,6)*convFactor)</f>
        <v>14995.547589959715</v>
      </c>
      <c r="T183" s="22">
        <f ca="1">ts2bElec*SUMPRODUCT(tpSurvCnH,INDEX(tEIdxElec,16)*INDEX(elecCnH,stdCSL+1,6)*convFactor)</f>
        <v>14994.213429850452</v>
      </c>
      <c r="U183" s="22">
        <f ca="1">ts2bElec*SUMPRODUCT(tpSurvCnH,INDEX(tEIdxElec,17)*INDEX(elecCnH,stdCSL+1,6)*convFactor)</f>
        <v>14996.948190454821</v>
      </c>
      <c r="V183" s="22">
        <f ca="1">ts2bElec*SUMPRODUCT(tpSurvCnH,INDEX(tEIdxElec,18)*INDEX(elecCnH,stdCSL+1,6)*convFactor)</f>
        <v>15000.96598845146</v>
      </c>
      <c r="W183" s="22">
        <f ca="1">ts2bElec*SUMPRODUCT(tpSurvCnH,INDEX(tEIdxElec,19)*INDEX(elecCnH,stdCSL+1,6)*convFactor)</f>
        <v>15006.711996245893</v>
      </c>
      <c r="X183" s="22">
        <f ca="1">ts2bElec*SUMPRODUCT(tpSurvCnH,INDEX(tEIdxElec,20)*INDEX(elecCnH,stdCSL+1,6)*convFactor)</f>
        <v>15012.141911887882</v>
      </c>
      <c r="Y183" s="22">
        <f ca="1">ts2bElec*SUMPRODUCT(tpSurvCnH,INDEX(tEIdxElec,21)*INDEX(elecCnH,stdCSL+1,6)*convFactor)</f>
        <v>15016.640887315421</v>
      </c>
      <c r="Z183" s="22">
        <f ca="1">ts2bElec*SUMPRODUCT(tpSurvCnH,INDEX(tEIdxElec,22)*INDEX(elecCnH,stdCSL+1,6)*convFactor)</f>
        <v>15019.655836950482</v>
      </c>
      <c r="AA183" s="22">
        <f ca="1">ts2bElec*SUMPRODUCT(tpSurvCnH,INDEX(tEIdxElec,23)*INDEX(elecCnH,stdCSL+1,6)*convFactor)</f>
        <v>15021.642889454957</v>
      </c>
      <c r="AB183" s="22">
        <f ca="1">ts2bElec*SUMPRODUCT(tpSurvCnH,INDEX(tEIdxElec,24)*INDEX(elecCnH,stdCSL+1,6)*convFactor)</f>
        <v>15021.642889454957</v>
      </c>
      <c r="AC183" s="22">
        <f ca="1">ts2bElec*SUMPRODUCT(tpSurvCnH,INDEX(tEIdxElec,25)*INDEX(elecCnH,stdCSL+1,6)*convFactor)</f>
        <v>15021.642889454957</v>
      </c>
      <c r="AD183" s="22">
        <f ca="1">ts2bElec*SUMPRODUCT(tpSurvCnH,INDEX(tEIdxElec,26)*INDEX(elecCnH,stdCSL+1,6)*convFactor)</f>
        <v>15021.642889454957</v>
      </c>
      <c r="AE183" s="22">
        <f ca="1">ts2bElec*SUMPRODUCT(tpSurvCnH,INDEX(tEIdxElec,27)*INDEX(elecCnH,stdCSL+1,6)*convFactor)</f>
        <v>15021.642889454957</v>
      </c>
      <c r="AF183" s="22">
        <f ca="1">ts2bElec*SUMPRODUCT(tpSurvCnH,INDEX(tEIdxElec,28)*INDEX(elecCnH,stdCSL+1,6)*convFactor)</f>
        <v>15021.642889454957</v>
      </c>
      <c r="AG183" s="22">
        <f ca="1">ts2bElec*SUMPRODUCT(tpSurvCnH,INDEX(tEIdxElec,29)*INDEX(elecCnH,stdCSL+1,6)*convFactor)</f>
        <v>15021.642889454957</v>
      </c>
      <c r="AH183" s="22">
        <f ca="1">ts2bElec*SUMPRODUCT(tpSurvCnH,INDEX(tEIdxElec,30)*INDEX(elecCnH,stdCSL+1,6)*convFactor)</f>
        <v>15021.642889454957</v>
      </c>
      <c r="AI183" s="22">
        <f ca="1">ts2bElec*SUMPRODUCT(tpSurvCnH,INDEX(tEIdxElec,31)*INDEX(elecCnH,stdCSL+1,6)*convFactor)</f>
        <v>15021.642889454957</v>
      </c>
      <c r="AJ183" s="22">
        <f ca="1">ts2bElec*SUMPRODUCT(tpSurvCnH,INDEX(tEIdxElec,32)*INDEX(elecCnH,stdCSL+1,6)*convFactor)</f>
        <v>15021.642889454957</v>
      </c>
      <c r="AK183" s="25">
        <f ca="1">ts2bElec*SUMPRODUCT(tpSurvCnH,INDEX(tEIdxElec,33)*INDEX(elecCnH,stdCSL+1,6)*convFactor)</f>
        <v>15021.642889454957</v>
      </c>
      <c r="AL183" s="3"/>
    </row>
    <row r="184" spans="2:38">
      <c r="B184" s="3"/>
      <c r="C184" s="30" t="str">
        <f>"EL 6: " &amp; INDEX(_doName,3,7)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(1+INDEX(vadCnH,stdCSL+1,7))*INDEX(mspCnH,stdCSL+1,7)*tPIdxAll + INDEX(instCnH,stdCSL+1,7) + SUMPRODUCT(dFactor,tpSurvCnH,INDEX(mrCnH,stdCSL+1,7)*allOnes)</f>
        <v>2539.857489</v>
      </c>
      <c r="F185" s="28">
        <f ca="1"/>
        <v>2539.857489</v>
      </c>
      <c r="G185" s="28">
        <f ca="1"/>
        <v>2539.857489</v>
      </c>
      <c r="H185" s="28">
        <f ca="1"/>
        <v>2539.857489</v>
      </c>
      <c r="I185" s="28">
        <f ca="1"/>
        <v>2539.857489</v>
      </c>
      <c r="J185" s="28">
        <f ca="1"/>
        <v>2539.857489</v>
      </c>
      <c r="K185" s="28">
        <f ca="1"/>
        <v>2539.857489</v>
      </c>
      <c r="L185" s="28">
        <f ca="1"/>
        <v>2539.857489</v>
      </c>
      <c r="M185" s="28">
        <f ca="1"/>
        <v>2539.857489</v>
      </c>
      <c r="N185" s="28">
        <f ca="1"/>
        <v>2539.857489</v>
      </c>
      <c r="O185" s="28">
        <f ca="1"/>
        <v>2539.857489</v>
      </c>
      <c r="P185" s="28">
        <f ca="1"/>
        <v>2539.857489</v>
      </c>
      <c r="Q185" s="28">
        <f ca="1"/>
        <v>2539.857489</v>
      </c>
      <c r="R185" s="28">
        <f ca="1"/>
        <v>2539.857489</v>
      </c>
      <c r="S185" s="28">
        <f ca="1"/>
        <v>2539.857489</v>
      </c>
      <c r="T185" s="28">
        <f ca="1"/>
        <v>2539.857489</v>
      </c>
      <c r="U185" s="28">
        <f ca="1"/>
        <v>2539.857489</v>
      </c>
      <c r="V185" s="28">
        <f ca="1"/>
        <v>2539.857489</v>
      </c>
      <c r="W185" s="28">
        <f ca="1"/>
        <v>2539.857489</v>
      </c>
      <c r="X185" s="28">
        <f ca="1"/>
        <v>2539.857489</v>
      </c>
      <c r="Y185" s="28">
        <f ca="1"/>
        <v>2539.857489</v>
      </c>
      <c r="Z185" s="28">
        <f ca="1"/>
        <v>2539.857489</v>
      </c>
      <c r="AA185" s="28">
        <f ca="1"/>
        <v>2539.857489</v>
      </c>
      <c r="AB185" s="28">
        <f ca="1"/>
        <v>2539.857489</v>
      </c>
      <c r="AC185" s="28">
        <f ca="1"/>
        <v>2539.857489</v>
      </c>
      <c r="AD185" s="28">
        <f ca="1"/>
        <v>2539.857489</v>
      </c>
      <c r="AE185" s="28">
        <f ca="1"/>
        <v>2539.857489</v>
      </c>
      <c r="AF185" s="28">
        <f ca="1"/>
        <v>2539.857489</v>
      </c>
      <c r="AG185" s="28">
        <f ca="1"/>
        <v>2539.857489</v>
      </c>
      <c r="AH185" s="28">
        <f ca="1"/>
        <v>2539.857489</v>
      </c>
      <c r="AI185" s="28">
        <f ca="1"/>
        <v>2539.857489</v>
      </c>
      <c r="AJ185" s="28">
        <f ca="1"/>
        <v>2539.857489</v>
      </c>
      <c r="AK185" s="29">
        <f ca="1"/>
        <v>2539.857489</v>
      </c>
      <c r="AL185" s="3"/>
    </row>
    <row r="186" spans="2:38">
      <c r="B186" s="3"/>
      <c r="C186" s="23" t="s">
        <v>47</v>
      </c>
      <c r="D186" s="16" t="str">
        <f>_yearDol &amp; "$"</f>
        <v>2013$</v>
      </c>
      <c r="E186" s="141">
        <f t="array" aca="1" ref="E186:AK186" ca="1">(tlccEFupolElec6)</f>
        <v>83299.834734948628</v>
      </c>
      <c r="F186" s="28">
        <f ca="1"/>
        <v>83666.706844714456</v>
      </c>
      <c r="G186" s="28">
        <f ca="1"/>
        <v>83991.440021344082</v>
      </c>
      <c r="H186" s="28">
        <f ca="1"/>
        <v>84345.433640467556</v>
      </c>
      <c r="I186" s="28">
        <f ca="1"/>
        <v>84656.251202181767</v>
      </c>
      <c r="J186" s="28">
        <f ca="1"/>
        <v>84995.637466852422</v>
      </c>
      <c r="K186" s="28">
        <f ca="1"/>
        <v>85290.783882274452</v>
      </c>
      <c r="L186" s="28">
        <f ca="1"/>
        <v>85613.538608545758</v>
      </c>
      <c r="M186" s="28">
        <f ca="1"/>
        <v>85965.560064135963</v>
      </c>
      <c r="N186" s="28">
        <f ca="1"/>
        <v>86274.373520952358</v>
      </c>
      <c r="O186" s="28">
        <f ca="1"/>
        <v>86611.702127724493</v>
      </c>
      <c r="P186" s="28">
        <f ca="1"/>
        <v>86979.584974985642</v>
      </c>
      <c r="Q186" s="28">
        <f ca="1"/>
        <v>87305.608985891871</v>
      </c>
      <c r="R186" s="28">
        <f ca="1"/>
        <v>87661.265756272463</v>
      </c>
      <c r="S186" s="28">
        <f ca="1"/>
        <v>87974.130315649367</v>
      </c>
      <c r="T186" s="28">
        <f ca="1"/>
        <v>88315.894994045113</v>
      </c>
      <c r="U186" s="28">
        <f ca="1"/>
        <v>88688.751743265238</v>
      </c>
      <c r="V186" s="28">
        <f ca="1"/>
        <v>89020.118317021348</v>
      </c>
      <c r="W186" s="28">
        <f ca="1"/>
        <v>89381.809791713124</v>
      </c>
      <c r="X186" s="28">
        <f ca="1"/>
        <v>89701.388852183256</v>
      </c>
      <c r="Y186" s="28">
        <f ca="1"/>
        <v>90050.454182214206</v>
      </c>
      <c r="Z186" s="28">
        <f ca="1"/>
        <v>90431.302143072782</v>
      </c>
      <c r="AA186" s="28">
        <f ca="1"/>
        <v>90771.26375127527</v>
      </c>
      <c r="AB186" s="28">
        <f ca="1"/>
        <v>91142.307402735212</v>
      </c>
      <c r="AC186" s="28">
        <f ca="1"/>
        <v>91471.941699399293</v>
      </c>
      <c r="AD186" s="28">
        <f ca="1"/>
        <v>91831.849676070124</v>
      </c>
      <c r="AE186" s="28">
        <f ca="1"/>
        <v>92224.432052618999</v>
      </c>
      <c r="AF186" s="28">
        <f ca="1"/>
        <v>92577.124176964746</v>
      </c>
      <c r="AG186" s="28">
        <f ca="1"/>
        <v>92962.112356731814</v>
      </c>
      <c r="AH186" s="28">
        <f ca="1"/>
        <v>93306.695968409316</v>
      </c>
      <c r="AI186" s="28">
        <f ca="1"/>
        <v>93682.941325984881</v>
      </c>
      <c r="AJ186" s="28">
        <f ca="1"/>
        <v>94018.356362620863</v>
      </c>
      <c r="AK186" s="29">
        <f ca="1"/>
        <v>94384.781147989474</v>
      </c>
      <c r="AL186" s="3"/>
    </row>
    <row r="187" spans="2:38">
      <c r="B187" s="3"/>
      <c r="C187" s="27" t="str">
        <f>INDEX(_fuel,1)</f>
        <v>Electricity</v>
      </c>
      <c r="D187" s="16" t="str">
        <f>_yearDol &amp; "$"</f>
        <v>2013$</v>
      </c>
      <c r="E187" s="141">
        <f ca="1">SUMPRODUCT(dFactor,tpSurvCnH,INDEX(tEIdxElec,1)*INDEX(elecCnH,stdCSL+1,7)*allOnes,OFFSET(tPrcElec,0,0,1,_maxLT))</f>
        <v>83299.834734948628</v>
      </c>
      <c r="F187" s="28">
        <f ca="1">SUMPRODUCT(dFactor,tpSurvCnH,INDEX(tEIdxElec,2)*INDEX(elecCnH,stdCSL+1,7)*allOnes,OFFSET(tPrcElec,0,1,1,_maxLT))</f>
        <v>83666.706844714456</v>
      </c>
      <c r="G187" s="28">
        <f ca="1">SUMPRODUCT(dFactor,tpSurvCnH,INDEX(tEIdxElec,3)*INDEX(elecCnH,stdCSL+1,7)*allOnes,OFFSET(tPrcElec,0,2,1,_maxLT))</f>
        <v>83991.440021344082</v>
      </c>
      <c r="H187" s="28">
        <f ca="1">SUMPRODUCT(dFactor,tpSurvCnH,INDEX(tEIdxElec,4)*INDEX(elecCnH,stdCSL+1,7)*allOnes,OFFSET(tPrcElec,0,3,1,_maxLT))</f>
        <v>84345.433640467556</v>
      </c>
      <c r="I187" s="28">
        <f ca="1">SUMPRODUCT(dFactor,tpSurvCnH,INDEX(tEIdxElec,5)*INDEX(elecCnH,stdCSL+1,7)*allOnes,OFFSET(tPrcElec,0,4,1,_maxLT))</f>
        <v>84656.251202181767</v>
      </c>
      <c r="J187" s="28">
        <f ca="1">SUMPRODUCT(dFactor,tpSurvCnH,INDEX(tEIdxElec,6)*INDEX(elecCnH,stdCSL+1,7)*allOnes,OFFSET(tPrcElec,0,5,1,_maxLT))</f>
        <v>84995.637466852422</v>
      </c>
      <c r="K187" s="28">
        <f ca="1">SUMPRODUCT(dFactor,tpSurvCnH,INDEX(tEIdxElec,7)*INDEX(elecCnH,stdCSL+1,7)*allOnes,OFFSET(tPrcElec,0,6,1,_maxLT))</f>
        <v>85290.783882274452</v>
      </c>
      <c r="L187" s="28">
        <f ca="1">SUMPRODUCT(dFactor,tpSurvCnH,INDEX(tEIdxElec,8)*INDEX(elecCnH,stdCSL+1,7)*allOnes,OFFSET(tPrcElec,0,7,1,_maxLT))</f>
        <v>85613.538608545758</v>
      </c>
      <c r="M187" s="28">
        <f ca="1">SUMPRODUCT(dFactor,tpSurvCnH,INDEX(tEIdxElec,9)*INDEX(elecCnH,stdCSL+1,7)*allOnes,OFFSET(tPrcElec,0,8,1,_maxLT))</f>
        <v>85965.560064135963</v>
      </c>
      <c r="N187" s="28">
        <f ca="1">SUMPRODUCT(dFactor,tpSurvCnH,INDEX(tEIdxElec,10)*INDEX(elecCnH,stdCSL+1,7)*allOnes,OFFSET(tPrcElec,0,9,1,_maxLT))</f>
        <v>86274.373520952358</v>
      </c>
      <c r="O187" s="28">
        <f ca="1">SUMPRODUCT(dFactor,tpSurvCnH,INDEX(tEIdxElec,11)*INDEX(elecCnH,stdCSL+1,7)*allOnes,OFFSET(tPrcElec,0,10,1,_maxLT))</f>
        <v>86611.702127724493</v>
      </c>
      <c r="P187" s="28">
        <f ca="1">SUMPRODUCT(dFactor,tpSurvCnH,INDEX(tEIdxElec,12)*INDEX(elecCnH,stdCSL+1,7)*allOnes,OFFSET(tPrcElec,0,11,1,_maxLT))</f>
        <v>86979.584974985642</v>
      </c>
      <c r="Q187" s="28">
        <f ca="1">SUMPRODUCT(dFactor,tpSurvCnH,INDEX(tEIdxElec,13)*INDEX(elecCnH,stdCSL+1,7)*allOnes,OFFSET(tPrcElec,0,12,1,_maxLT))</f>
        <v>87305.608985891871</v>
      </c>
      <c r="R187" s="28">
        <f ca="1">SUMPRODUCT(dFactor,tpSurvCnH,INDEX(tEIdxElec,14)*INDEX(elecCnH,stdCSL+1,7)*allOnes,OFFSET(tPrcElec,0,13,1,_maxLT))</f>
        <v>87661.265756272463</v>
      </c>
      <c r="S187" s="28">
        <f ca="1">SUMPRODUCT(dFactor,tpSurvCnH,INDEX(tEIdxElec,15)*INDEX(elecCnH,stdCSL+1,7)*allOnes,OFFSET(tPrcElec,0,14,1,_maxLT))</f>
        <v>87974.130315649367</v>
      </c>
      <c r="T187" s="28">
        <f ca="1">SUMPRODUCT(dFactor,tpSurvCnH,INDEX(tEIdxElec,16)*INDEX(elecCnH,stdCSL+1,7)*allOnes,OFFSET(tPrcElec,0,15,1,_maxLT))</f>
        <v>88315.894994045113</v>
      </c>
      <c r="U187" s="28">
        <f ca="1">SUMPRODUCT(dFactor,tpSurvCnH,INDEX(tEIdxElec,17)*INDEX(elecCnH,stdCSL+1,7)*allOnes,OFFSET(tPrcElec,0,16,1,_maxLT))</f>
        <v>88688.751743265238</v>
      </c>
      <c r="V187" s="28">
        <f ca="1">SUMPRODUCT(dFactor,tpSurvCnH,INDEX(tEIdxElec,18)*INDEX(elecCnH,stdCSL+1,7)*allOnes,OFFSET(tPrcElec,0,17,1,_maxLT))</f>
        <v>89020.118317021348</v>
      </c>
      <c r="W187" s="28">
        <f ca="1">SUMPRODUCT(dFactor,tpSurvCnH,INDEX(tEIdxElec,19)*INDEX(elecCnH,stdCSL+1,7)*allOnes,OFFSET(tPrcElec,0,18,1,_maxLT))</f>
        <v>89381.809791713124</v>
      </c>
      <c r="X187" s="28">
        <f ca="1">SUMPRODUCT(dFactor,tpSurvCnH,INDEX(tEIdxElec,20)*INDEX(elecCnH,stdCSL+1,7)*allOnes,OFFSET(tPrcElec,0,19,1,_maxLT))</f>
        <v>89701.388852183256</v>
      </c>
      <c r="Y187" s="28">
        <f ca="1">SUMPRODUCT(dFactor,tpSurvCnH,INDEX(tEIdxElec,21)*INDEX(elecCnH,stdCSL+1,7)*allOnes,OFFSET(tPrcElec,0,20,1,_maxLT))</f>
        <v>90050.454182214206</v>
      </c>
      <c r="Z187" s="28">
        <f ca="1">SUMPRODUCT(dFactor,tpSurvCnH,INDEX(tEIdxElec,22)*INDEX(elecCnH,stdCSL+1,7)*allOnes,OFFSET(tPrcElec,0,21,1,_maxLT))</f>
        <v>90431.302143072782</v>
      </c>
      <c r="AA187" s="28">
        <f ca="1">SUMPRODUCT(dFactor,tpSurvCnH,INDEX(tEIdxElec,23)*INDEX(elecCnH,stdCSL+1,7)*allOnes,OFFSET(tPrcElec,0,22,1,_maxLT))</f>
        <v>90771.26375127527</v>
      </c>
      <c r="AB187" s="28">
        <f ca="1">SUMPRODUCT(dFactor,tpSurvCnH,INDEX(tEIdxElec,24)*INDEX(elecCnH,stdCSL+1,7)*allOnes,OFFSET(tPrcElec,0,23,1,_maxLT))</f>
        <v>91142.307402735212</v>
      </c>
      <c r="AC187" s="28">
        <f ca="1">SUMPRODUCT(dFactor,tpSurvCnH,INDEX(tEIdxElec,25)*INDEX(elecCnH,stdCSL+1,7)*allOnes,OFFSET(tPrcElec,0,24,1,_maxLT))</f>
        <v>91471.941699399293</v>
      </c>
      <c r="AD187" s="28">
        <f ca="1">SUMPRODUCT(dFactor,tpSurvCnH,INDEX(tEIdxElec,26)*INDEX(elecCnH,stdCSL+1,7)*allOnes,OFFSET(tPrcElec,0,25,1,_maxLT))</f>
        <v>91831.849676070124</v>
      </c>
      <c r="AE187" s="28">
        <f ca="1">SUMPRODUCT(dFactor,tpSurvCnH,INDEX(tEIdxElec,27)*INDEX(elecCnH,stdCSL+1,7)*allOnes,OFFSET(tPrcElec,0,26,1,_maxLT))</f>
        <v>92224.432052618999</v>
      </c>
      <c r="AF187" s="28">
        <f ca="1">SUMPRODUCT(dFactor,tpSurvCnH,INDEX(tEIdxElec,28)*INDEX(elecCnH,stdCSL+1,7)*allOnes,OFFSET(tPrcElec,0,27,1,_maxLT))</f>
        <v>92577.124176964746</v>
      </c>
      <c r="AG187" s="28">
        <f ca="1">SUMPRODUCT(dFactor,tpSurvCnH,INDEX(tEIdxElec,29)*INDEX(elecCnH,stdCSL+1,7)*allOnes,OFFSET(tPrcElec,0,28,1,_maxLT))</f>
        <v>92962.112356731814</v>
      </c>
      <c r="AH187" s="28">
        <f ca="1">SUMPRODUCT(dFactor,tpSurvCnH,INDEX(tEIdxElec,30)*INDEX(elecCnH,stdCSL+1,7)*allOnes,OFFSET(tPrcElec,0,29,1,_maxLT))</f>
        <v>93306.695968409316</v>
      </c>
      <c r="AI187" s="28">
        <f ca="1">SUMPRODUCT(dFactor,tpSurvCnH,INDEX(tEIdxElec,31)*INDEX(elecCnH,stdCSL+1,7)*allOnes,OFFSET(tPrcElec,0,30,1,_maxLT))</f>
        <v>93682.941325984881</v>
      </c>
      <c r="AJ187" s="28">
        <f ca="1">SUMPRODUCT(dFactor,tpSurvCnH,INDEX(tEIdxElec,32)*INDEX(elecCnH,stdCSL+1,7)*allOnes,OFFSET(tPrcElec,0,31,1,_maxLT))</f>
        <v>94018.356362620863</v>
      </c>
      <c r="AK187" s="29">
        <f ca="1">SUMPRODUCT(dFactor,tpSurvCnH,INDEX(tEIdxElec,33)*INDEX(elecCnH,stdCSL+1,7)*allOnes,OFFSET(tPrcElec,0,32,1,_maxLT))</f>
        <v>94384.781147989474</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ts2bElec*SUMPRODUCT(tpSurvCnH,INDEX(tEIdxElec,1)*INDEX(elecCnH,stdCSL+1,7)*convFactor)</f>
        <v>17732.76423834082</v>
      </c>
      <c r="F189" s="24">
        <f ca="1">ts2bElec*SUMPRODUCT(tpSurvCnH,INDEX(tEIdxElec,2)*INDEX(elecCnH,stdCSL+1,7)*convFactor)</f>
        <v>17600.21490351246</v>
      </c>
      <c r="G189" s="24">
        <f ca="1">ts2bElec*SUMPRODUCT(tpSurvCnH,INDEX(tEIdxElec,3)*INDEX(elecCnH,stdCSL+1,7)*convFactor)</f>
        <v>17466.666467855819</v>
      </c>
      <c r="H189" s="24">
        <f ca="1">ts2bElec*SUMPRODUCT(tpSurvCnH,INDEX(tEIdxElec,4)*INDEX(elecCnH,stdCSL+1,7)*convFactor)</f>
        <v>17349.374162596101</v>
      </c>
      <c r="I189" s="24">
        <f ca="1">ts2bElec*SUMPRODUCT(tpSurvCnH,INDEX(tEIdxElec,5)*INDEX(elecCnH,stdCSL+1,7)*convFactor)</f>
        <v>17238.155252218112</v>
      </c>
      <c r="J189" s="24">
        <f ca="1">ts2bElec*SUMPRODUCT(tpSurvCnH,INDEX(tEIdxElec,6)*INDEX(elecCnH,stdCSL+1,7)*convFactor)</f>
        <v>17141.296791084511</v>
      </c>
      <c r="K189" s="24">
        <f ca="1">ts2bElec*SUMPRODUCT(tpSurvCnH,INDEX(tEIdxElec,7)*INDEX(elecCnH,stdCSL+1,7)*convFactor)</f>
        <v>17066.182307388983</v>
      </c>
      <c r="L189" s="24">
        <f ca="1">ts2bElec*SUMPRODUCT(tpSurvCnH,INDEX(tEIdxElec,8)*INDEX(elecCnH,stdCSL+1,7)*convFactor)</f>
        <v>17003.916006163352</v>
      </c>
      <c r="M189" s="24">
        <f ca="1">ts2bElec*SUMPRODUCT(tpSurvCnH,INDEX(tEIdxElec,9)*INDEX(elecCnH,stdCSL+1,7)*convFactor)</f>
        <v>16941.380702719664</v>
      </c>
      <c r="N189" s="24">
        <f ca="1">ts2bElec*SUMPRODUCT(tpSurvCnH,INDEX(tEIdxElec,10)*INDEX(elecCnH,stdCSL+1,7)*convFactor)</f>
        <v>16891.368017332803</v>
      </c>
      <c r="O189" s="24">
        <f ca="1">ts2bElec*SUMPRODUCT(tpSurvCnH,INDEX(tEIdxElec,11)*INDEX(elecCnH,stdCSL+1,7)*convFactor)</f>
        <v>16856.925125633756</v>
      </c>
      <c r="P189" s="24">
        <f ca="1">ts2bElec*SUMPRODUCT(tpSurvCnH,INDEX(tEIdxElec,12)*INDEX(elecCnH,stdCSL+1,7)*convFactor)</f>
        <v>16831.724991858853</v>
      </c>
      <c r="Q189" s="24">
        <f ca="1">ts2bElec*SUMPRODUCT(tpSurvCnH,INDEX(tEIdxElec,13)*INDEX(elecCnH,stdCSL+1,7)*convFactor)</f>
        <v>16810.522773332079</v>
      </c>
      <c r="R189" s="24">
        <f ca="1">ts2bElec*SUMPRODUCT(tpSurvCnH,INDEX(tEIdxElec,14)*INDEX(elecCnH,stdCSL+1,7)*convFactor)</f>
        <v>16794.883975903813</v>
      </c>
      <c r="S189" s="24">
        <f ca="1">ts2bElec*SUMPRODUCT(tpSurvCnH,INDEX(tEIdxElec,15)*INDEX(elecCnH,stdCSL+1,7)*convFactor)</f>
        <v>16782.963310375031</v>
      </c>
      <c r="T189" s="24">
        <f ca="1">ts2bElec*SUMPRODUCT(tpSurvCnH,INDEX(tEIdxElec,16)*INDEX(elecCnH,stdCSL+1,7)*convFactor)</f>
        <v>16781.470123145315</v>
      </c>
      <c r="U189" s="24">
        <f ca="1">ts2bElec*SUMPRODUCT(tpSurvCnH,INDEX(tEIdxElec,17)*INDEX(elecCnH,stdCSL+1,7)*convFactor)</f>
        <v>16784.530857447309</v>
      </c>
      <c r="V189" s="24">
        <f ca="1">ts2bElec*SUMPRODUCT(tpSurvCnH,INDEX(tEIdxElec,18)*INDEX(elecCnH,stdCSL+1,7)*convFactor)</f>
        <v>16789.027562616731</v>
      </c>
      <c r="W189" s="24">
        <f ca="1">ts2bElec*SUMPRODUCT(tpSurvCnH,INDEX(tEIdxElec,19)*INDEX(elecCnH,stdCSL+1,7)*convFactor)</f>
        <v>16795.458474020037</v>
      </c>
      <c r="X189" s="24">
        <f ca="1">ts2bElec*SUMPRODUCT(tpSurvCnH,INDEX(tEIdxElec,20)*INDEX(elecCnH,stdCSL+1,7)*convFactor)</f>
        <v>16801.535616215162</v>
      </c>
      <c r="Y189" s="24">
        <f ca="1">ts2bElec*SUMPRODUCT(tpSurvCnH,INDEX(tEIdxElec,21)*INDEX(elecCnH,stdCSL+1,7)*convFactor)</f>
        <v>16806.570853446858</v>
      </c>
      <c r="Z189" s="24">
        <f ca="1">ts2bElec*SUMPRODUCT(tpSurvCnH,INDEX(tEIdxElec,22)*INDEX(elecCnH,stdCSL+1,7)*convFactor)</f>
        <v>16809.94517431139</v>
      </c>
      <c r="AA189" s="24">
        <f ca="1">ts2bElec*SUMPRODUCT(tpSurvCnH,INDEX(tEIdxElec,23)*INDEX(elecCnH,stdCSL+1,7)*convFactor)</f>
        <v>16812.16907637821</v>
      </c>
      <c r="AB189" s="24">
        <f ca="1">ts2bElec*SUMPRODUCT(tpSurvCnH,INDEX(tEIdxElec,24)*INDEX(elecCnH,stdCSL+1,7)*convFactor)</f>
        <v>16812.16907637821</v>
      </c>
      <c r="AC189" s="24">
        <f ca="1">ts2bElec*SUMPRODUCT(tpSurvCnH,INDEX(tEIdxElec,25)*INDEX(elecCnH,stdCSL+1,7)*convFactor)</f>
        <v>16812.16907637821</v>
      </c>
      <c r="AD189" s="24">
        <f ca="1">ts2bElec*SUMPRODUCT(tpSurvCnH,INDEX(tEIdxElec,26)*INDEX(elecCnH,stdCSL+1,7)*convFactor)</f>
        <v>16812.16907637821</v>
      </c>
      <c r="AE189" s="24">
        <f ca="1">ts2bElec*SUMPRODUCT(tpSurvCnH,INDEX(tEIdxElec,27)*INDEX(elecCnH,stdCSL+1,7)*convFactor)</f>
        <v>16812.16907637821</v>
      </c>
      <c r="AF189" s="24">
        <f ca="1">ts2bElec*SUMPRODUCT(tpSurvCnH,INDEX(tEIdxElec,28)*INDEX(elecCnH,stdCSL+1,7)*convFactor)</f>
        <v>16812.16907637821</v>
      </c>
      <c r="AG189" s="24">
        <f ca="1">ts2bElec*SUMPRODUCT(tpSurvCnH,INDEX(tEIdxElec,29)*INDEX(elecCnH,stdCSL+1,7)*convFactor)</f>
        <v>16812.16907637821</v>
      </c>
      <c r="AH189" s="24">
        <f ca="1">ts2bElec*SUMPRODUCT(tpSurvCnH,INDEX(tEIdxElec,30)*INDEX(elecCnH,stdCSL+1,7)*convFactor)</f>
        <v>16812.16907637821</v>
      </c>
      <c r="AI189" s="24">
        <f ca="1">ts2bElec*SUMPRODUCT(tpSurvCnH,INDEX(tEIdxElec,31)*INDEX(elecCnH,stdCSL+1,7)*convFactor)</f>
        <v>16812.16907637821</v>
      </c>
      <c r="AJ189" s="24">
        <f ca="1">ts2bElec*SUMPRODUCT(tpSurvCnH,INDEX(tEIdxElec,32)*INDEX(elecCnH,stdCSL+1,7)*convFactor)</f>
        <v>16812.16907637821</v>
      </c>
      <c r="AK189" s="26">
        <f ca="1">ts2bElec*SUMPRODUCT(tpSurvCnH,INDEX(tEIdxElec,33)*INDEX(elecCnH,stdCSL+1,7)*convFactor)</f>
        <v>16812.16907637821</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2845" priority="1" stopIfTrue="1">
      <formula>LEN(TRIM(E106))=0</formula>
    </cfRule>
    <cfRule type="notContainsBlanks" dxfId="2844" priority="2" stopIfTrue="1">
      <formula>LEN(TRIM(E106))&gt;0</formula>
    </cfRule>
  </conditionalFormatting>
  <conditionalFormatting sqref="E107:AK107">
    <cfRule type="containsBlanks" dxfId="2843" priority="3" stopIfTrue="1">
      <formula>LEN(TRIM(E107))=0</formula>
    </cfRule>
    <cfRule type="notContainsBlanks" dxfId="2842" priority="4" stopIfTrue="1">
      <formula>LEN(TRIM(E107))&gt;0</formula>
    </cfRule>
  </conditionalFormatting>
  <conditionalFormatting sqref="E108:AK108">
    <cfRule type="containsBlanks" dxfId="2841" priority="5" stopIfTrue="1">
      <formula>LEN(TRIM(E108))=0</formula>
    </cfRule>
    <cfRule type="notContainsBlanks" dxfId="2840" priority="6" stopIfTrue="1">
      <formula>LEN(TRIM(E108))&gt;0</formula>
    </cfRule>
  </conditionalFormatting>
  <conditionalFormatting sqref="E110:AK110">
    <cfRule type="containsBlanks" dxfId="2839" priority="7" stopIfTrue="1">
      <formula>LEN(TRIM(E110))=0</formula>
    </cfRule>
    <cfRule type="notContainsBlanks" dxfId="2838" priority="8" stopIfTrue="1">
      <formula>LEN(TRIM(E110))&gt;0</formula>
    </cfRule>
  </conditionalFormatting>
  <conditionalFormatting sqref="E112:AK112">
    <cfRule type="containsBlanks" dxfId="2837" priority="9" stopIfTrue="1">
      <formula>LEN(TRIM(E112))=0</formula>
    </cfRule>
    <cfRule type="notContainsBlanks" dxfId="2836" priority="10" stopIfTrue="1">
      <formula>LEN(TRIM(E112))&gt;0</formula>
    </cfRule>
  </conditionalFormatting>
  <conditionalFormatting sqref="E113:AK113">
    <cfRule type="containsBlanks" dxfId="2835" priority="11" stopIfTrue="1">
      <formula>LEN(TRIM(E113))=0</formula>
    </cfRule>
    <cfRule type="notContainsBlanks" dxfId="2834" priority="12" stopIfTrue="1">
      <formula>LEN(TRIM(E113))&gt;0</formula>
    </cfRule>
  </conditionalFormatting>
  <conditionalFormatting sqref="E114:AK114">
    <cfRule type="containsBlanks" dxfId="2833" priority="13" stopIfTrue="1">
      <formula>LEN(TRIM(E114))=0</formula>
    </cfRule>
    <cfRule type="notContainsBlanks" dxfId="2832" priority="14" stopIfTrue="1">
      <formula>LEN(TRIM(E114))&gt;0</formula>
    </cfRule>
  </conditionalFormatting>
  <conditionalFormatting sqref="E116:AK116">
    <cfRule type="containsBlanks" dxfId="2831" priority="15" stopIfTrue="1">
      <formula>LEN(TRIM(E116))=0</formula>
    </cfRule>
    <cfRule type="notContainsBlanks" dxfId="2830" priority="16" stopIfTrue="1">
      <formula>LEN(TRIM(E116))&gt;0</formula>
    </cfRule>
  </conditionalFormatting>
  <conditionalFormatting sqref="E118:AK118">
    <cfRule type="containsBlanks" dxfId="2829" priority="17" stopIfTrue="1">
      <formula>LEN(TRIM(E118))=0</formula>
    </cfRule>
    <cfRule type="notContainsBlanks" dxfId="2828" priority="18" stopIfTrue="1">
      <formula>LEN(TRIM(E118))&gt;0</formula>
    </cfRule>
  </conditionalFormatting>
  <conditionalFormatting sqref="E119:AK119">
    <cfRule type="containsBlanks" dxfId="2827" priority="19" stopIfTrue="1">
      <formula>LEN(TRIM(E119))=0</formula>
    </cfRule>
    <cfRule type="notContainsBlanks" dxfId="2826" priority="20" stopIfTrue="1">
      <formula>LEN(TRIM(E119))&gt;0</formula>
    </cfRule>
  </conditionalFormatting>
  <conditionalFormatting sqref="E120:AK120">
    <cfRule type="containsBlanks" dxfId="2825" priority="21" stopIfTrue="1">
      <formula>LEN(TRIM(E120))=0</formula>
    </cfRule>
    <cfRule type="notContainsBlanks" dxfId="2824" priority="22" stopIfTrue="1">
      <formula>LEN(TRIM(E120))&gt;0</formula>
    </cfRule>
  </conditionalFormatting>
  <conditionalFormatting sqref="E122:AK122">
    <cfRule type="containsBlanks" dxfId="2823" priority="23" stopIfTrue="1">
      <formula>LEN(TRIM(E122))=0</formula>
    </cfRule>
    <cfRule type="notContainsBlanks" dxfId="2822" priority="24" stopIfTrue="1">
      <formula>LEN(TRIM(E122))&gt;0</formula>
    </cfRule>
  </conditionalFormatting>
  <conditionalFormatting sqref="E124:AK124">
    <cfRule type="containsBlanks" dxfId="2821" priority="25" stopIfTrue="1">
      <formula>LEN(TRIM(E124))=0</formula>
    </cfRule>
    <cfRule type="notContainsBlanks" dxfId="2820" priority="26" stopIfTrue="1">
      <formula>LEN(TRIM(E124))&gt;0</formula>
    </cfRule>
  </conditionalFormatting>
  <conditionalFormatting sqref="E125:AK125">
    <cfRule type="containsBlanks" dxfId="2819" priority="27" stopIfTrue="1">
      <formula>LEN(TRIM(E125))=0</formula>
    </cfRule>
    <cfRule type="notContainsBlanks" dxfId="2818" priority="28" stopIfTrue="1">
      <formula>LEN(TRIM(E125))&gt;0</formula>
    </cfRule>
  </conditionalFormatting>
  <conditionalFormatting sqref="E126:AK126">
    <cfRule type="containsBlanks" dxfId="2817" priority="29" stopIfTrue="1">
      <formula>LEN(TRIM(E126))=0</formula>
    </cfRule>
    <cfRule type="notContainsBlanks" dxfId="2816" priority="30" stopIfTrue="1">
      <formula>LEN(TRIM(E126))&gt;0</formula>
    </cfRule>
  </conditionalFormatting>
  <conditionalFormatting sqref="E128:AK128">
    <cfRule type="containsBlanks" dxfId="2815" priority="31" stopIfTrue="1">
      <formula>LEN(TRIM(E128))=0</formula>
    </cfRule>
    <cfRule type="notContainsBlanks" dxfId="2814" priority="32" stopIfTrue="1">
      <formula>LEN(TRIM(E128))&gt;0</formula>
    </cfRule>
  </conditionalFormatting>
  <conditionalFormatting sqref="E130:AK130">
    <cfRule type="containsBlanks" dxfId="2813" priority="33" stopIfTrue="1">
      <formula>LEN(TRIM(E130))=0</formula>
    </cfRule>
    <cfRule type="notContainsBlanks" dxfId="2812" priority="34" stopIfTrue="1">
      <formula>LEN(TRIM(E130))&gt;0</formula>
    </cfRule>
  </conditionalFormatting>
  <conditionalFormatting sqref="E131:AK131">
    <cfRule type="containsBlanks" dxfId="2811" priority="35" stopIfTrue="1">
      <formula>LEN(TRIM(E131))=0</formula>
    </cfRule>
    <cfRule type="notContainsBlanks" dxfId="2810" priority="36" stopIfTrue="1">
      <formula>LEN(TRIM(E131))&gt;0</formula>
    </cfRule>
  </conditionalFormatting>
  <conditionalFormatting sqref="E132:AK132">
    <cfRule type="containsBlanks" dxfId="2809" priority="37" stopIfTrue="1">
      <formula>LEN(TRIM(E132))=0</formula>
    </cfRule>
    <cfRule type="notContainsBlanks" dxfId="2808" priority="38" stopIfTrue="1">
      <formula>LEN(TRIM(E132))&gt;0</formula>
    </cfRule>
  </conditionalFormatting>
  <conditionalFormatting sqref="E134:AK134">
    <cfRule type="containsBlanks" dxfId="2807" priority="39" stopIfTrue="1">
      <formula>LEN(TRIM(E134))=0</formula>
    </cfRule>
    <cfRule type="notContainsBlanks" dxfId="2806" priority="40" stopIfTrue="1">
      <formula>LEN(TRIM(E134))&gt;0</formula>
    </cfRule>
  </conditionalFormatting>
  <conditionalFormatting sqref="E136:AK136">
    <cfRule type="containsBlanks" dxfId="2805" priority="41" stopIfTrue="1">
      <formula>LEN(TRIM(E136))=0</formula>
    </cfRule>
  </conditionalFormatting>
  <conditionalFormatting sqref="E136:AK136">
    <cfRule type="notContainsBlanks" dxfId="2804" priority="42" stopIfTrue="1">
      <formula>LEN(TRIM(E136))&gt;0</formula>
    </cfRule>
  </conditionalFormatting>
  <conditionalFormatting sqref="E137:AK137">
    <cfRule type="containsBlanks" dxfId="2803" priority="43" stopIfTrue="1">
      <formula>LEN(TRIM(E137))=0</formula>
    </cfRule>
  </conditionalFormatting>
  <conditionalFormatting sqref="E137:AK137">
    <cfRule type="notContainsBlanks" dxfId="2802" priority="44" stopIfTrue="1">
      <formula>LEN(TRIM(E137))&gt;0</formula>
    </cfRule>
  </conditionalFormatting>
  <conditionalFormatting sqref="E138:AK138">
    <cfRule type="containsBlanks" dxfId="2801" priority="45" stopIfTrue="1">
      <formula>LEN(TRIM(E138))=0</formula>
    </cfRule>
  </conditionalFormatting>
  <conditionalFormatting sqref="E138:AK138">
    <cfRule type="notContainsBlanks" dxfId="2800" priority="46" stopIfTrue="1">
      <formula>LEN(TRIM(E138))&gt;0</formula>
    </cfRule>
  </conditionalFormatting>
  <conditionalFormatting sqref="E140:AK140">
    <cfRule type="containsBlanks" dxfId="2799" priority="47" stopIfTrue="1">
      <formula>LEN(TRIM(E140))=0</formula>
    </cfRule>
  </conditionalFormatting>
  <conditionalFormatting sqref="E140:AK140">
    <cfRule type="notContainsBlanks" dxfId="2798" priority="48" stopIfTrue="1">
      <formula>LEN(TRIM(E140))&gt;0</formula>
    </cfRule>
  </conditionalFormatting>
  <conditionalFormatting sqref="E142:AK142">
    <cfRule type="containsBlanks" dxfId="2797" priority="49" stopIfTrue="1">
      <formula>LEN(TRIM(E142))=0</formula>
    </cfRule>
  </conditionalFormatting>
  <conditionalFormatting sqref="E142:AK142">
    <cfRule type="notContainsBlanks" dxfId="2796" priority="50" stopIfTrue="1">
      <formula>LEN(TRIM(E142))&gt;0</formula>
    </cfRule>
  </conditionalFormatting>
  <conditionalFormatting sqref="E143:AK143">
    <cfRule type="containsBlanks" dxfId="2795" priority="51" stopIfTrue="1">
      <formula>LEN(TRIM(E143))=0</formula>
    </cfRule>
  </conditionalFormatting>
  <conditionalFormatting sqref="E143:AK143">
    <cfRule type="notContainsBlanks" dxfId="2794" priority="52" stopIfTrue="1">
      <formula>LEN(TRIM(E143))&gt;0</formula>
    </cfRule>
  </conditionalFormatting>
  <conditionalFormatting sqref="E144:AK144">
    <cfRule type="containsBlanks" dxfId="2793" priority="53" stopIfTrue="1">
      <formula>LEN(TRIM(E144))=0</formula>
    </cfRule>
  </conditionalFormatting>
  <conditionalFormatting sqref="E144:AK144">
    <cfRule type="notContainsBlanks" dxfId="2792" priority="54" stopIfTrue="1">
      <formula>LEN(TRIM(E144))&gt;0</formula>
    </cfRule>
  </conditionalFormatting>
  <conditionalFormatting sqref="E146:AK146">
    <cfRule type="containsBlanks" dxfId="2791" priority="55" stopIfTrue="1">
      <formula>LEN(TRIM(E146))=0</formula>
    </cfRule>
  </conditionalFormatting>
  <conditionalFormatting sqref="E146:AK146">
    <cfRule type="notContainsBlanks" dxfId="2790" priority="56" stopIfTrue="1">
      <formula>LEN(TRIM(E146))&gt;0</formula>
    </cfRule>
  </conditionalFormatting>
  <conditionalFormatting sqref="E149:AK149">
    <cfRule type="containsBlanks" dxfId="2789" priority="57" stopIfTrue="1">
      <formula>LEN(TRIM(E149))=0</formula>
    </cfRule>
  </conditionalFormatting>
  <conditionalFormatting sqref="E149:AK149">
    <cfRule type="notContainsBlanks" dxfId="2788" priority="58" stopIfTrue="1">
      <formula>LEN(TRIM(E149))&gt;0</formula>
    </cfRule>
  </conditionalFormatting>
  <conditionalFormatting sqref="E150:AK150">
    <cfRule type="containsBlanks" dxfId="2787" priority="59" stopIfTrue="1">
      <formula>LEN(TRIM(E150))=0</formula>
    </cfRule>
  </conditionalFormatting>
  <conditionalFormatting sqref="E150:AK150">
    <cfRule type="notContainsBlanks" dxfId="2786" priority="60" stopIfTrue="1">
      <formula>LEN(TRIM(E150))&gt;0</formula>
    </cfRule>
  </conditionalFormatting>
  <conditionalFormatting sqref="E151:AK151">
    <cfRule type="containsBlanks" dxfId="2785" priority="61" stopIfTrue="1">
      <formula>LEN(TRIM(E151))=0</formula>
    </cfRule>
  </conditionalFormatting>
  <conditionalFormatting sqref="E151:AK151">
    <cfRule type="notContainsBlanks" dxfId="2784" priority="62" stopIfTrue="1">
      <formula>LEN(TRIM(E151))&gt;0</formula>
    </cfRule>
  </conditionalFormatting>
  <conditionalFormatting sqref="E153:AK153">
    <cfRule type="containsBlanks" dxfId="2783" priority="63" stopIfTrue="1">
      <formula>LEN(TRIM(E153))=0</formula>
    </cfRule>
  </conditionalFormatting>
  <conditionalFormatting sqref="E153:AK153">
    <cfRule type="notContainsBlanks" dxfId="2782" priority="64" stopIfTrue="1">
      <formula>LEN(TRIM(E153))&gt;0</formula>
    </cfRule>
  </conditionalFormatting>
  <conditionalFormatting sqref="E155:AK155">
    <cfRule type="containsBlanks" dxfId="2781" priority="65" stopIfTrue="1">
      <formula>LEN(TRIM(E155))=0</formula>
    </cfRule>
  </conditionalFormatting>
  <conditionalFormatting sqref="E155:AK155">
    <cfRule type="notContainsBlanks" dxfId="2780" priority="66" stopIfTrue="1">
      <formula>LEN(TRIM(E155))&gt;0</formula>
    </cfRule>
  </conditionalFormatting>
  <conditionalFormatting sqref="E156:AK156">
    <cfRule type="containsBlanks" dxfId="2779" priority="67" stopIfTrue="1">
      <formula>LEN(TRIM(E156))=0</formula>
    </cfRule>
  </conditionalFormatting>
  <conditionalFormatting sqref="E156:AK156">
    <cfRule type="notContainsBlanks" dxfId="2778" priority="68" stopIfTrue="1">
      <formula>LEN(TRIM(E156))&gt;0</formula>
    </cfRule>
  </conditionalFormatting>
  <conditionalFormatting sqref="E157:AK157">
    <cfRule type="containsBlanks" dxfId="2777" priority="69" stopIfTrue="1">
      <formula>LEN(TRIM(E157))=0</formula>
    </cfRule>
  </conditionalFormatting>
  <conditionalFormatting sqref="E157:AK157">
    <cfRule type="notContainsBlanks" dxfId="2776" priority="70" stopIfTrue="1">
      <formula>LEN(TRIM(E157))&gt;0</formula>
    </cfRule>
  </conditionalFormatting>
  <conditionalFormatting sqref="E159:AK159">
    <cfRule type="containsBlanks" dxfId="2775" priority="71" stopIfTrue="1">
      <formula>LEN(TRIM(E159))=0</formula>
    </cfRule>
  </conditionalFormatting>
  <conditionalFormatting sqref="E159:AK159">
    <cfRule type="notContainsBlanks" dxfId="2774" priority="72" stopIfTrue="1">
      <formula>LEN(TRIM(E159))&gt;0</formula>
    </cfRule>
  </conditionalFormatting>
  <conditionalFormatting sqref="E161:AK161">
    <cfRule type="containsBlanks" dxfId="2773" priority="73" stopIfTrue="1">
      <formula>LEN(TRIM(E161))=0</formula>
    </cfRule>
  </conditionalFormatting>
  <conditionalFormatting sqref="E161:AK161">
    <cfRule type="notContainsBlanks" dxfId="2772" priority="74" stopIfTrue="1">
      <formula>LEN(TRIM(E161))&gt;0</formula>
    </cfRule>
  </conditionalFormatting>
  <conditionalFormatting sqref="E162:AK162">
    <cfRule type="containsBlanks" dxfId="2771" priority="75" stopIfTrue="1">
      <formula>LEN(TRIM(E162))=0</formula>
    </cfRule>
  </conditionalFormatting>
  <conditionalFormatting sqref="E162:AK162">
    <cfRule type="notContainsBlanks" dxfId="2770" priority="76" stopIfTrue="1">
      <formula>LEN(TRIM(E162))&gt;0</formula>
    </cfRule>
  </conditionalFormatting>
  <conditionalFormatting sqref="E163:AK163">
    <cfRule type="containsBlanks" dxfId="2769" priority="77" stopIfTrue="1">
      <formula>LEN(TRIM(E163))=0</formula>
    </cfRule>
  </conditionalFormatting>
  <conditionalFormatting sqref="E163:AK163">
    <cfRule type="notContainsBlanks" dxfId="2768" priority="78" stopIfTrue="1">
      <formula>LEN(TRIM(E163))&gt;0</formula>
    </cfRule>
  </conditionalFormatting>
  <conditionalFormatting sqref="E165:AK165">
    <cfRule type="containsBlanks" dxfId="2767" priority="79" stopIfTrue="1">
      <formula>LEN(TRIM(E165))=0</formula>
    </cfRule>
  </conditionalFormatting>
  <conditionalFormatting sqref="E165:AK165">
    <cfRule type="notContainsBlanks" dxfId="2766" priority="80" stopIfTrue="1">
      <formula>LEN(TRIM(E165))&gt;0</formula>
    </cfRule>
  </conditionalFormatting>
  <conditionalFormatting sqref="E167:AK167">
    <cfRule type="containsBlanks" dxfId="2765" priority="81" stopIfTrue="1">
      <formula>LEN(TRIM(E167))=0</formula>
    </cfRule>
  </conditionalFormatting>
  <conditionalFormatting sqref="E167:AK167">
    <cfRule type="notContainsBlanks" dxfId="2764" priority="82" stopIfTrue="1">
      <formula>LEN(TRIM(E167))&gt;0</formula>
    </cfRule>
  </conditionalFormatting>
  <conditionalFormatting sqref="E168:AK168">
    <cfRule type="containsBlanks" dxfId="2763" priority="83" stopIfTrue="1">
      <formula>LEN(TRIM(E168))=0</formula>
    </cfRule>
  </conditionalFormatting>
  <conditionalFormatting sqref="E168:AK168">
    <cfRule type="notContainsBlanks" dxfId="2762" priority="84" stopIfTrue="1">
      <formula>LEN(TRIM(E168))&gt;0</formula>
    </cfRule>
  </conditionalFormatting>
  <conditionalFormatting sqref="E169:AK169">
    <cfRule type="containsBlanks" dxfId="2761" priority="85" stopIfTrue="1">
      <formula>LEN(TRIM(E169))=0</formula>
    </cfRule>
  </conditionalFormatting>
  <conditionalFormatting sqref="E169:AK169">
    <cfRule type="notContainsBlanks" dxfId="2760" priority="86" stopIfTrue="1">
      <formula>LEN(TRIM(E169))&gt;0</formula>
    </cfRule>
  </conditionalFormatting>
  <conditionalFormatting sqref="E171:AK171">
    <cfRule type="containsBlanks" dxfId="2759" priority="87" stopIfTrue="1">
      <formula>LEN(TRIM(E171))=0</formula>
    </cfRule>
  </conditionalFormatting>
  <conditionalFormatting sqref="E171:AK171">
    <cfRule type="notContainsBlanks" dxfId="2758" priority="88" stopIfTrue="1">
      <formula>LEN(TRIM(E171))&gt;0</formula>
    </cfRule>
  </conditionalFormatting>
  <conditionalFormatting sqref="E173:AK173">
    <cfRule type="containsBlanks" dxfId="2757" priority="89" stopIfTrue="1">
      <formula>LEN(TRIM(E173))=0</formula>
    </cfRule>
  </conditionalFormatting>
  <conditionalFormatting sqref="E173:AK173">
    <cfRule type="notContainsBlanks" dxfId="2756" priority="90" stopIfTrue="1">
      <formula>LEN(TRIM(E173))&gt;0</formula>
    </cfRule>
  </conditionalFormatting>
  <conditionalFormatting sqref="E174:AK174">
    <cfRule type="containsBlanks" dxfId="2755" priority="91" stopIfTrue="1">
      <formula>LEN(TRIM(E174))=0</formula>
    </cfRule>
  </conditionalFormatting>
  <conditionalFormatting sqref="E174:AK174">
    <cfRule type="notContainsBlanks" dxfId="2754" priority="92" stopIfTrue="1">
      <formula>LEN(TRIM(E174))&gt;0</formula>
    </cfRule>
  </conditionalFormatting>
  <conditionalFormatting sqref="E175:AK175">
    <cfRule type="containsBlanks" dxfId="2753" priority="93" stopIfTrue="1">
      <formula>LEN(TRIM(E175))=0</formula>
    </cfRule>
  </conditionalFormatting>
  <conditionalFormatting sqref="E175:AK175">
    <cfRule type="notContainsBlanks" dxfId="2752" priority="94" stopIfTrue="1">
      <formula>LEN(TRIM(E175))&gt;0</formula>
    </cfRule>
  </conditionalFormatting>
  <conditionalFormatting sqref="E177:AK177">
    <cfRule type="containsBlanks" dxfId="2751" priority="95" stopIfTrue="1">
      <formula>LEN(TRIM(E177))=0</formula>
    </cfRule>
  </conditionalFormatting>
  <conditionalFormatting sqref="E177:AK177">
    <cfRule type="notContainsBlanks" dxfId="2750" priority="96" stopIfTrue="1">
      <formula>LEN(TRIM(E177))&gt;0</formula>
    </cfRule>
  </conditionalFormatting>
  <conditionalFormatting sqref="E179:AK179">
    <cfRule type="containsBlanks" dxfId="2749" priority="97" stopIfTrue="1">
      <formula>LEN(TRIM(E179))=0</formula>
    </cfRule>
  </conditionalFormatting>
  <conditionalFormatting sqref="E179:AK179">
    <cfRule type="notContainsBlanks" dxfId="2748" priority="98" stopIfTrue="1">
      <formula>LEN(TRIM(E179))&gt;0</formula>
    </cfRule>
  </conditionalFormatting>
  <conditionalFormatting sqref="E180:AK180">
    <cfRule type="containsBlanks" dxfId="2747" priority="99" stopIfTrue="1">
      <formula>LEN(TRIM(E180))=0</formula>
    </cfRule>
  </conditionalFormatting>
  <conditionalFormatting sqref="E180:AK180">
    <cfRule type="notContainsBlanks" dxfId="2746" priority="100" stopIfTrue="1">
      <formula>LEN(TRIM(E180))&gt;0</formula>
    </cfRule>
  </conditionalFormatting>
  <conditionalFormatting sqref="E181:AK181">
    <cfRule type="containsBlanks" dxfId="2745" priority="101" stopIfTrue="1">
      <formula>LEN(TRIM(E181))=0</formula>
    </cfRule>
  </conditionalFormatting>
  <conditionalFormatting sqref="E181:AK181">
    <cfRule type="notContainsBlanks" dxfId="2744" priority="102" stopIfTrue="1">
      <formula>LEN(TRIM(E181))&gt;0</formula>
    </cfRule>
  </conditionalFormatting>
  <conditionalFormatting sqref="E183:AK183">
    <cfRule type="containsBlanks" dxfId="2743" priority="103" stopIfTrue="1">
      <formula>LEN(TRIM(E183))=0</formula>
    </cfRule>
  </conditionalFormatting>
  <conditionalFormatting sqref="E183:AK183">
    <cfRule type="notContainsBlanks" dxfId="2742" priority="104" stopIfTrue="1">
      <formula>LEN(TRIM(E183))&gt;0</formula>
    </cfRule>
  </conditionalFormatting>
  <conditionalFormatting sqref="E185:AK185">
    <cfRule type="containsBlanks" dxfId="2741" priority="105" stopIfTrue="1">
      <formula>LEN(TRIM(E185))=0</formula>
    </cfRule>
  </conditionalFormatting>
  <conditionalFormatting sqref="E185:AK185">
    <cfRule type="notContainsBlanks" dxfId="2740" priority="106" stopIfTrue="1">
      <formula>LEN(TRIM(E185))&gt;0</formula>
    </cfRule>
  </conditionalFormatting>
  <conditionalFormatting sqref="E186:AK186">
    <cfRule type="containsBlanks" dxfId="2739" priority="107" stopIfTrue="1">
      <formula>LEN(TRIM(E186))=0</formula>
    </cfRule>
  </conditionalFormatting>
  <conditionalFormatting sqref="E186:AK186">
    <cfRule type="notContainsBlanks" dxfId="2738" priority="108" stopIfTrue="1">
      <formula>LEN(TRIM(E186))&gt;0</formula>
    </cfRule>
  </conditionalFormatting>
  <conditionalFormatting sqref="E187:AK187">
    <cfRule type="containsBlanks" dxfId="2737" priority="109" stopIfTrue="1">
      <formula>LEN(TRIM(E187))=0</formula>
    </cfRule>
  </conditionalFormatting>
  <conditionalFormatting sqref="E187:AK187">
    <cfRule type="notContainsBlanks" dxfId="2736" priority="110" stopIfTrue="1">
      <formula>LEN(TRIM(E187))&gt;0</formula>
    </cfRule>
  </conditionalFormatting>
  <conditionalFormatting sqref="E189:AK189">
    <cfRule type="containsBlanks" dxfId="2735" priority="111" stopIfTrue="1">
      <formula>LEN(TRIM(E189))=0</formula>
    </cfRule>
  </conditionalFormatting>
  <conditionalFormatting sqref="E189:AK189">
    <cfRule type="notContainsBlanks" dxfId="2734" priority="112" stopIfTrue="1">
      <formula>LEN(TRIM(E189))&gt;0</formula>
    </cfRule>
  </conditionalFormatting>
  <conditionalFormatting sqref="E95:AK95">
    <cfRule type="containsBlanks" dxfId="2733" priority="113" stopIfTrue="1">
      <formula>LEN(TRIM(E95))=0</formula>
    </cfRule>
    <cfRule type="notContainsBlanks" dxfId="2732" priority="114" stopIfTrue="1">
      <formula>LEN(TRIM(E95))&gt;0</formula>
    </cfRule>
  </conditionalFormatting>
  <conditionalFormatting sqref="E96:AK96">
    <cfRule type="containsBlanks" dxfId="2731" priority="115" stopIfTrue="1">
      <formula>LEN(TRIM(E96))=0</formula>
    </cfRule>
    <cfRule type="notContainsBlanks" dxfId="2730" priority="116" stopIfTrue="1">
      <formula>LEN(TRIM(E96))&gt;0</formula>
    </cfRule>
  </conditionalFormatting>
  <conditionalFormatting sqref="E97:AK97">
    <cfRule type="containsBlanks" dxfId="2729" priority="117" stopIfTrue="1">
      <formula>LEN(TRIM(E97))=0</formula>
    </cfRule>
    <cfRule type="notContainsBlanks" dxfId="2728" priority="118" stopIfTrue="1">
      <formula>LEN(TRIM(E97))&gt;0</formula>
    </cfRule>
  </conditionalFormatting>
  <conditionalFormatting sqref="E98:AK98">
    <cfRule type="containsBlanks" dxfId="2727" priority="119" stopIfTrue="1">
      <formula>LEN(TRIM(E98))=0</formula>
    </cfRule>
    <cfRule type="notContainsBlanks" dxfId="2726" priority="120" stopIfTrue="1">
      <formula>LEN(TRIM(E98))&gt;0</formula>
    </cfRule>
  </conditionalFormatting>
  <conditionalFormatting sqref="E99:AK99">
    <cfRule type="containsBlanks" dxfId="2725" priority="121" stopIfTrue="1">
      <formula>LEN(TRIM(E99))=0</formula>
    </cfRule>
    <cfRule type="notContainsBlanks" dxfId="2724" priority="122" stopIfTrue="1">
      <formula>LEN(TRIM(E99))&gt;0</formula>
    </cfRule>
  </conditionalFormatting>
  <conditionalFormatting sqref="E100:AK100">
    <cfRule type="containsBlanks" dxfId="2723" priority="123" stopIfTrue="1">
      <formula>LEN(TRIM(E100))=0</formula>
    </cfRule>
    <cfRule type="notContainsBlanks" dxfId="2722" priority="124" stopIfTrue="1">
      <formula>LEN(TRIM(E100))&gt;0</formula>
    </cfRule>
  </conditionalFormatting>
  <conditionalFormatting sqref="E101:AK101">
    <cfRule type="containsBlanks" dxfId="2721" priority="125" stopIfTrue="1">
      <formula>LEN(TRIM(E101))=0</formula>
    </cfRule>
    <cfRule type="notContainsBlanks" dxfId="2720" priority="126" stopIfTrue="1">
      <formula>LEN(TRIM(E101))&gt;0</formula>
    </cfRule>
  </conditionalFormatting>
  <conditionalFormatting sqref="E86:AK86">
    <cfRule type="containsBlanks" dxfId="2719" priority="127" stopIfTrue="1">
      <formula>LEN(TRIM(E86))=0</formula>
    </cfRule>
    <cfRule type="notContainsBlanks" dxfId="2718" priority="128" stopIfTrue="1">
      <formula>LEN(TRIM(E86))&gt;0</formula>
    </cfRule>
  </conditionalFormatting>
  <conditionalFormatting sqref="E87:AK87">
    <cfRule type="containsBlanks" dxfId="2717" priority="129" stopIfTrue="1">
      <formula>LEN(TRIM(E87))=0</formula>
    </cfRule>
    <cfRule type="notContainsBlanks" dxfId="2716" priority="130" stopIfTrue="1">
      <formula>LEN(TRIM(E87))&gt;0</formula>
    </cfRule>
  </conditionalFormatting>
  <conditionalFormatting sqref="E88:AK88">
    <cfRule type="containsBlanks" dxfId="2715" priority="131" stopIfTrue="1">
      <formula>LEN(TRIM(E88))=0</formula>
    </cfRule>
    <cfRule type="notContainsBlanks" dxfId="2714" priority="132" stopIfTrue="1">
      <formula>LEN(TRIM(E88))&gt;0</formula>
    </cfRule>
  </conditionalFormatting>
  <conditionalFormatting sqref="E89:AK89">
    <cfRule type="containsBlanks" dxfId="2713" priority="133" stopIfTrue="1">
      <formula>LEN(TRIM(E89))=0</formula>
    </cfRule>
    <cfRule type="notContainsBlanks" dxfId="2712" priority="134" stopIfTrue="1">
      <formula>LEN(TRIM(E89))&gt;0</formula>
    </cfRule>
  </conditionalFormatting>
  <conditionalFormatting sqref="E90:AK90">
    <cfRule type="containsBlanks" dxfId="2711" priority="135" stopIfTrue="1">
      <formula>LEN(TRIM(E90))=0</formula>
    </cfRule>
    <cfRule type="notContainsBlanks" dxfId="2710" priority="136" stopIfTrue="1">
      <formula>LEN(TRIM(E90))&gt;0</formula>
    </cfRule>
  </conditionalFormatting>
  <conditionalFormatting sqref="E91:AK91">
    <cfRule type="containsBlanks" dxfId="2709" priority="137" stopIfTrue="1">
      <formula>LEN(TRIM(E91))=0</formula>
    </cfRule>
    <cfRule type="notContainsBlanks" dxfId="2708" priority="138" stopIfTrue="1">
      <formula>LEN(TRIM(E91))&gt;0</formula>
    </cfRule>
  </conditionalFormatting>
  <conditionalFormatting sqref="E92:AK92">
    <cfRule type="containsBlanks" dxfId="2707" priority="139" stopIfTrue="1">
      <formula>LEN(TRIM(E92))=0</formula>
    </cfRule>
    <cfRule type="notContainsBlanks" dxfId="2706" priority="140" stopIfTrue="1">
      <formula>LEN(TRIM(E92))&gt;0</formula>
    </cfRule>
  </conditionalFormatting>
  <conditionalFormatting sqref="E77:AK77">
    <cfRule type="containsBlanks" dxfId="2705" priority="141" stopIfTrue="1">
      <formula>LEN(TRIM(E77))=0</formula>
    </cfRule>
    <cfRule type="notContainsBlanks" dxfId="2704" priority="142" stopIfTrue="1">
      <formula>LEN(TRIM(E77))&gt;0</formula>
    </cfRule>
  </conditionalFormatting>
  <conditionalFormatting sqref="E78:AK78">
    <cfRule type="containsBlanks" dxfId="2703" priority="143" stopIfTrue="1">
      <formula>LEN(TRIM(E78))=0</formula>
    </cfRule>
    <cfRule type="notContainsBlanks" dxfId="2702" priority="144" stopIfTrue="1">
      <formula>LEN(TRIM(E78))&gt;0</formula>
    </cfRule>
  </conditionalFormatting>
  <conditionalFormatting sqref="E79:AK79">
    <cfRule type="containsBlanks" dxfId="2701" priority="145" stopIfTrue="1">
      <formula>LEN(TRIM(E79))=0</formula>
    </cfRule>
    <cfRule type="notContainsBlanks" dxfId="2700" priority="146" stopIfTrue="1">
      <formula>LEN(TRIM(E79))&gt;0</formula>
    </cfRule>
  </conditionalFormatting>
  <conditionalFormatting sqref="E80:AK80">
    <cfRule type="containsBlanks" dxfId="2699" priority="147" stopIfTrue="1">
      <formula>LEN(TRIM(E80))=0</formula>
    </cfRule>
    <cfRule type="notContainsBlanks" dxfId="2698" priority="148" stopIfTrue="1">
      <formula>LEN(TRIM(E80))&gt;0</formula>
    </cfRule>
  </conditionalFormatting>
  <conditionalFormatting sqref="E81:AK81">
    <cfRule type="containsBlanks" dxfId="2697" priority="149" stopIfTrue="1">
      <formula>LEN(TRIM(E81))=0</formula>
    </cfRule>
    <cfRule type="notContainsBlanks" dxfId="2696" priority="150" stopIfTrue="1">
      <formula>LEN(TRIM(E81))&gt;0</formula>
    </cfRule>
  </conditionalFormatting>
  <conditionalFormatting sqref="E82:AK82">
    <cfRule type="containsBlanks" dxfId="2695" priority="151" stopIfTrue="1">
      <formula>LEN(TRIM(E82))=0</formula>
    </cfRule>
    <cfRule type="notContainsBlanks" dxfId="2694" priority="152" stopIfTrue="1">
      <formula>LEN(TRIM(E82))&gt;0</formula>
    </cfRule>
  </conditionalFormatting>
  <conditionalFormatting sqref="E83:AK83">
    <cfRule type="containsBlanks" dxfId="2693" priority="153" stopIfTrue="1">
      <formula>LEN(TRIM(E83))=0</formula>
    </cfRule>
    <cfRule type="notContainsBlanks" dxfId="2692" priority="154" stopIfTrue="1">
      <formula>LEN(TRIM(E83))&gt;0</formula>
    </cfRule>
  </conditionalFormatting>
  <conditionalFormatting sqref="E68:AK68">
    <cfRule type="containsBlanks" dxfId="2691" priority="155" stopIfTrue="1">
      <formula>LEN(TRIM(E68))=0</formula>
    </cfRule>
    <cfRule type="notContainsBlanks" dxfId="2690" priority="156" stopIfTrue="1">
      <formula>LEN(TRIM(E68))&gt;0</formula>
    </cfRule>
  </conditionalFormatting>
  <conditionalFormatting sqref="E69:AK69">
    <cfRule type="containsBlanks" dxfId="2689" priority="157" stopIfTrue="1">
      <formula>LEN(TRIM(E69))=0</formula>
    </cfRule>
    <cfRule type="notContainsBlanks" dxfId="2688" priority="158" stopIfTrue="1">
      <formula>LEN(TRIM(E69))&gt;0</formula>
    </cfRule>
  </conditionalFormatting>
  <conditionalFormatting sqref="E70:AK70">
    <cfRule type="containsBlanks" dxfId="2687" priority="159" stopIfTrue="1">
      <formula>LEN(TRIM(E70))=0</formula>
    </cfRule>
    <cfRule type="notContainsBlanks" dxfId="2686" priority="160" stopIfTrue="1">
      <formula>LEN(TRIM(E70))&gt;0</formula>
    </cfRule>
  </conditionalFormatting>
  <conditionalFormatting sqref="E71:AK71">
    <cfRule type="containsBlanks" dxfId="2685" priority="161" stopIfTrue="1">
      <formula>LEN(TRIM(E71))=0</formula>
    </cfRule>
    <cfRule type="notContainsBlanks" dxfId="2684" priority="162" stopIfTrue="1">
      <formula>LEN(TRIM(E71))&gt;0</formula>
    </cfRule>
  </conditionalFormatting>
  <conditionalFormatting sqref="E72:AK72">
    <cfRule type="containsBlanks" dxfId="2683" priority="163" stopIfTrue="1">
      <formula>LEN(TRIM(E72))=0</formula>
    </cfRule>
    <cfRule type="notContainsBlanks" dxfId="2682" priority="164" stopIfTrue="1">
      <formula>LEN(TRIM(E72))&gt;0</formula>
    </cfRule>
  </conditionalFormatting>
  <conditionalFormatting sqref="E73:AK73">
    <cfRule type="containsBlanks" dxfId="2681" priority="165" stopIfTrue="1">
      <formula>LEN(TRIM(E73))=0</formula>
    </cfRule>
    <cfRule type="notContainsBlanks" dxfId="2680" priority="166" stopIfTrue="1">
      <formula>LEN(TRIM(E73))&gt;0</formula>
    </cfRule>
  </conditionalFormatting>
  <conditionalFormatting sqref="E74:AK74">
    <cfRule type="containsBlanks" dxfId="2679" priority="167" stopIfTrue="1">
      <formula>LEN(TRIM(E74))=0</formula>
    </cfRule>
    <cfRule type="notContainsBlanks" dxfId="2678" priority="168" stopIfTrue="1">
      <formula>LEN(TRIM(E74))&gt;0</formula>
    </cfRule>
  </conditionalFormatting>
  <conditionalFormatting sqref="E59:AK59">
    <cfRule type="containsBlanks" dxfId="2677" priority="169" stopIfTrue="1">
      <formula>LEN(TRIM(E59))=0</formula>
    </cfRule>
    <cfRule type="notContainsBlanks" dxfId="2676" priority="170" stopIfTrue="1">
      <formula>LEN(TRIM(E59))&gt;0</formula>
    </cfRule>
  </conditionalFormatting>
  <conditionalFormatting sqref="E60:AK60">
    <cfRule type="containsBlanks" dxfId="2675" priority="171" stopIfTrue="1">
      <formula>LEN(TRIM(E60))=0</formula>
    </cfRule>
    <cfRule type="notContainsBlanks" dxfId="2674" priority="172" stopIfTrue="1">
      <formula>LEN(TRIM(E60))&gt;0</formula>
    </cfRule>
  </conditionalFormatting>
  <conditionalFormatting sqref="E61:AK61">
    <cfRule type="containsBlanks" dxfId="2673" priority="173" stopIfTrue="1">
      <formula>LEN(TRIM(E61))=0</formula>
    </cfRule>
    <cfRule type="notContainsBlanks" dxfId="2672" priority="174" stopIfTrue="1">
      <formula>LEN(TRIM(E61))&gt;0</formula>
    </cfRule>
  </conditionalFormatting>
  <conditionalFormatting sqref="E62:AK62">
    <cfRule type="containsBlanks" dxfId="2671" priority="175" stopIfTrue="1">
      <formula>LEN(TRIM(E62))=0</formula>
    </cfRule>
    <cfRule type="notContainsBlanks" dxfId="2670" priority="176" stopIfTrue="1">
      <formula>LEN(TRIM(E62))&gt;0</formula>
    </cfRule>
  </conditionalFormatting>
  <conditionalFormatting sqref="E63:AK63">
    <cfRule type="containsBlanks" dxfId="2669" priority="177" stopIfTrue="1">
      <formula>LEN(TRIM(E63))=0</formula>
    </cfRule>
    <cfRule type="notContainsBlanks" dxfId="2668" priority="178" stopIfTrue="1">
      <formula>LEN(TRIM(E63))&gt;0</formula>
    </cfRule>
  </conditionalFormatting>
  <conditionalFormatting sqref="E64:AK64">
    <cfRule type="containsBlanks" dxfId="2667" priority="179" stopIfTrue="1">
      <formula>LEN(TRIM(E64))=0</formula>
    </cfRule>
    <cfRule type="notContainsBlanks" dxfId="2666" priority="180" stopIfTrue="1">
      <formula>LEN(TRIM(E64))&gt;0</formula>
    </cfRule>
  </conditionalFormatting>
  <conditionalFormatting sqref="E65:AK65">
    <cfRule type="containsBlanks" dxfId="2665" priority="181" stopIfTrue="1">
      <formula>LEN(TRIM(E65))=0</formula>
    </cfRule>
    <cfRule type="notContainsBlanks" dxfId="2664" priority="182" stopIfTrue="1">
      <formula>LEN(TRIM(E65))&gt;0</formula>
    </cfRule>
  </conditionalFormatting>
  <conditionalFormatting sqref="E50:AK50">
    <cfRule type="containsBlanks" dxfId="2663" priority="183" stopIfTrue="1">
      <formula>LEN(TRIM(E50))=0</formula>
    </cfRule>
    <cfRule type="notContainsBlanks" dxfId="2662" priority="184" stopIfTrue="1">
      <formula>LEN(TRIM(E50))&gt;0</formula>
    </cfRule>
  </conditionalFormatting>
  <conditionalFormatting sqref="E51:AK51">
    <cfRule type="containsBlanks" dxfId="2661" priority="185" stopIfTrue="1">
      <formula>LEN(TRIM(E51))=0</formula>
    </cfRule>
    <cfRule type="notContainsBlanks" dxfId="2660" priority="186" stopIfTrue="1">
      <formula>LEN(TRIM(E51))&gt;0</formula>
    </cfRule>
  </conditionalFormatting>
  <conditionalFormatting sqref="E52:AK52">
    <cfRule type="containsBlanks" dxfId="2659" priority="187" stopIfTrue="1">
      <formula>LEN(TRIM(E52))=0</formula>
    </cfRule>
    <cfRule type="notContainsBlanks" dxfId="2658" priority="188" stopIfTrue="1">
      <formula>LEN(TRIM(E52))&gt;0</formula>
    </cfRule>
  </conditionalFormatting>
  <conditionalFormatting sqref="E53:AK53">
    <cfRule type="containsBlanks" dxfId="2657" priority="189" stopIfTrue="1">
      <formula>LEN(TRIM(E53))=0</formula>
    </cfRule>
    <cfRule type="notContainsBlanks" dxfId="2656" priority="190" stopIfTrue="1">
      <formula>LEN(TRIM(E53))&gt;0</formula>
    </cfRule>
  </conditionalFormatting>
  <conditionalFormatting sqref="E54:AK54">
    <cfRule type="containsBlanks" dxfId="2655" priority="191" stopIfTrue="1">
      <formula>LEN(TRIM(E54))=0</formula>
    </cfRule>
    <cfRule type="notContainsBlanks" dxfId="2654" priority="192" stopIfTrue="1">
      <formula>LEN(TRIM(E54))&gt;0</formula>
    </cfRule>
  </conditionalFormatting>
  <conditionalFormatting sqref="E55:AK55">
    <cfRule type="containsBlanks" dxfId="2653" priority="193" stopIfTrue="1">
      <formula>LEN(TRIM(E55))=0</formula>
    </cfRule>
    <cfRule type="notContainsBlanks" dxfId="2652" priority="194" stopIfTrue="1">
      <formula>LEN(TRIM(E55))&gt;0</formula>
    </cfRule>
  </conditionalFormatting>
  <conditionalFormatting sqref="E56:AK56">
    <cfRule type="containsBlanks" dxfId="2651" priority="195" stopIfTrue="1">
      <formula>LEN(TRIM(E56))=0</formula>
    </cfRule>
    <cfRule type="notContainsBlanks" dxfId="2650" priority="196" stopIfTrue="1">
      <formula>LEN(TRIM(E56))&gt;0</formula>
    </cfRule>
  </conditionalFormatting>
  <conditionalFormatting sqref="E41:E47">
    <cfRule type="containsBlanks" dxfId="2649" priority="211" stopIfTrue="1">
      <formula>LEN(TRIM(E41))=0</formula>
    </cfRule>
    <cfRule type="expression" dxfId="2648" priority="212" stopIfTrue="1">
      <formula>SUM($E$41:$E$47)&lt;&gt;1</formula>
    </cfRule>
    <cfRule type="notContainsBlanks" dxfId="2647" priority="213" stopIfTrue="1">
      <formula>LEN(TRIM(E41))&gt;0</formula>
    </cfRule>
  </conditionalFormatting>
  <conditionalFormatting sqref="F41:F47">
    <cfRule type="containsBlanks" dxfId="2646" priority="214" stopIfTrue="1">
      <formula>LEN(TRIM(F41))=0</formula>
    </cfRule>
    <cfRule type="expression" dxfId="2645" priority="215" stopIfTrue="1">
      <formula>SUM($F$41:$F$47)&lt;&gt;1</formula>
    </cfRule>
    <cfRule type="notContainsBlanks" dxfId="2644" priority="216" stopIfTrue="1">
      <formula>LEN(TRIM(F41))&gt;0</formula>
    </cfRule>
  </conditionalFormatting>
  <conditionalFormatting sqref="G41:G47">
    <cfRule type="containsBlanks" dxfId="2643" priority="217" stopIfTrue="1">
      <formula>LEN(TRIM(G41))=0</formula>
    </cfRule>
    <cfRule type="expression" dxfId="2642" priority="218" stopIfTrue="1">
      <formula>SUM($G$41:$G$47)&lt;&gt;1</formula>
    </cfRule>
    <cfRule type="notContainsBlanks" dxfId="2641" priority="219" stopIfTrue="1">
      <formula>LEN(TRIM(G41))&gt;0</formula>
    </cfRule>
  </conditionalFormatting>
  <conditionalFormatting sqref="H41:H47">
    <cfRule type="containsBlanks" dxfId="2640" priority="220" stopIfTrue="1">
      <formula>LEN(TRIM(H41))=0</formula>
    </cfRule>
    <cfRule type="expression" dxfId="2639" priority="221" stopIfTrue="1">
      <formula>SUM($H$41:$H$47)&lt;&gt;1</formula>
    </cfRule>
    <cfRule type="notContainsBlanks" dxfId="2638" priority="222" stopIfTrue="1">
      <formula>LEN(TRIM(H41))&gt;0</formula>
    </cfRule>
  </conditionalFormatting>
  <conditionalFormatting sqref="I41:I47">
    <cfRule type="containsBlanks" dxfId="2637" priority="223" stopIfTrue="1">
      <formula>LEN(TRIM(I41))=0</formula>
    </cfRule>
    <cfRule type="expression" dxfId="2636" priority="224" stopIfTrue="1">
      <formula>SUM($I$41:$I$47)&lt;&gt;1</formula>
    </cfRule>
    <cfRule type="notContainsBlanks" dxfId="2635" priority="225" stopIfTrue="1">
      <formula>LEN(TRIM(I41))&gt;0</formula>
    </cfRule>
  </conditionalFormatting>
  <conditionalFormatting sqref="J41:J47">
    <cfRule type="containsBlanks" dxfId="2634" priority="226" stopIfTrue="1">
      <formula>LEN(TRIM(J41))=0</formula>
    </cfRule>
    <cfRule type="expression" dxfId="2633" priority="227" stopIfTrue="1">
      <formula>SUM($J$41:$J$47)&lt;&gt;1</formula>
    </cfRule>
    <cfRule type="notContainsBlanks" dxfId="2632" priority="228" stopIfTrue="1">
      <formula>LEN(TRIM(J41))&gt;0</formula>
    </cfRule>
  </conditionalFormatting>
  <conditionalFormatting sqref="K41:K47">
    <cfRule type="containsBlanks" dxfId="2631" priority="229" stopIfTrue="1">
      <formula>LEN(TRIM(K41))=0</formula>
    </cfRule>
    <cfRule type="expression" dxfId="2630" priority="230" stopIfTrue="1">
      <formula>SUM($K$41:$K$47)&lt;&gt;1</formula>
    </cfRule>
    <cfRule type="notContainsBlanks" dxfId="2629" priority="231" stopIfTrue="1">
      <formula>LEN(TRIM(K41))&gt;0</formula>
    </cfRule>
  </conditionalFormatting>
  <conditionalFormatting sqref="L41:L47">
    <cfRule type="containsBlanks" dxfId="2628" priority="232" stopIfTrue="1">
      <formula>LEN(TRIM(L41))=0</formula>
    </cfRule>
    <cfRule type="expression" dxfId="2627" priority="233" stopIfTrue="1">
      <formula>SUM($L$41:$L$47)&lt;&gt;1</formula>
    </cfRule>
    <cfRule type="notContainsBlanks" dxfId="2626" priority="234" stopIfTrue="1">
      <formula>LEN(TRIM(L41))&gt;0</formula>
    </cfRule>
  </conditionalFormatting>
  <conditionalFormatting sqref="M41:M47">
    <cfRule type="containsBlanks" dxfId="2625" priority="235" stopIfTrue="1">
      <formula>LEN(TRIM(M41))=0</formula>
    </cfRule>
    <cfRule type="expression" dxfId="2624" priority="236" stopIfTrue="1">
      <formula>SUM($M$41:$M$47)&lt;&gt;1</formula>
    </cfRule>
    <cfRule type="notContainsBlanks" dxfId="2623" priority="237" stopIfTrue="1">
      <formula>LEN(TRIM(M41))&gt;0</formula>
    </cfRule>
  </conditionalFormatting>
  <conditionalFormatting sqref="N41:N47">
    <cfRule type="containsBlanks" dxfId="2622" priority="238" stopIfTrue="1">
      <formula>LEN(TRIM(N41))=0</formula>
    </cfRule>
    <cfRule type="expression" dxfId="2621" priority="239" stopIfTrue="1">
      <formula>SUM($N$41:$N$47)&lt;&gt;1</formula>
    </cfRule>
    <cfRule type="notContainsBlanks" dxfId="2620" priority="240" stopIfTrue="1">
      <formula>LEN(TRIM(N41))&gt;0</formula>
    </cfRule>
  </conditionalFormatting>
  <conditionalFormatting sqref="O41:O47">
    <cfRule type="containsBlanks" dxfId="2619" priority="241" stopIfTrue="1">
      <formula>LEN(TRIM(O41))=0</formula>
    </cfRule>
    <cfRule type="expression" dxfId="2618" priority="242" stopIfTrue="1">
      <formula>SUM($O$41:$O$47)&lt;&gt;1</formula>
    </cfRule>
    <cfRule type="notContainsBlanks" dxfId="2617" priority="243" stopIfTrue="1">
      <formula>LEN(TRIM(O41))&gt;0</formula>
    </cfRule>
  </conditionalFormatting>
  <conditionalFormatting sqref="P41:P47">
    <cfRule type="containsBlanks" dxfId="2616" priority="244" stopIfTrue="1">
      <formula>LEN(TRIM(P41))=0</formula>
    </cfRule>
    <cfRule type="expression" dxfId="2615" priority="245" stopIfTrue="1">
      <formula>SUM($P$41:$P$47)&lt;&gt;1</formula>
    </cfRule>
    <cfRule type="notContainsBlanks" dxfId="2614" priority="246" stopIfTrue="1">
      <formula>LEN(TRIM(P41))&gt;0</formula>
    </cfRule>
  </conditionalFormatting>
  <conditionalFormatting sqref="Q41:Q47">
    <cfRule type="containsBlanks" dxfId="2613" priority="247" stopIfTrue="1">
      <formula>LEN(TRIM(Q41))=0</formula>
    </cfRule>
    <cfRule type="expression" dxfId="2612" priority="248" stopIfTrue="1">
      <formula>SUM($Q$41:$Q$47)&lt;&gt;1</formula>
    </cfRule>
    <cfRule type="notContainsBlanks" dxfId="2611" priority="249" stopIfTrue="1">
      <formula>LEN(TRIM(Q41))&gt;0</formula>
    </cfRule>
  </conditionalFormatting>
  <conditionalFormatting sqref="R41:R47">
    <cfRule type="containsBlanks" dxfId="2610" priority="250" stopIfTrue="1">
      <formula>LEN(TRIM(R41))=0</formula>
    </cfRule>
  </conditionalFormatting>
  <conditionalFormatting sqref="R41:R47">
    <cfRule type="expression" dxfId="2609" priority="251" stopIfTrue="1">
      <formula>SUM($R$41:$R$47)&lt;&gt;1</formula>
    </cfRule>
  </conditionalFormatting>
  <conditionalFormatting sqref="R41:R47">
    <cfRule type="notContainsBlanks" dxfId="2608" priority="252" stopIfTrue="1">
      <formula>LEN(TRIM(R41))&gt;0</formula>
    </cfRule>
  </conditionalFormatting>
  <conditionalFormatting sqref="S41:S47">
    <cfRule type="containsBlanks" dxfId="2607" priority="253" stopIfTrue="1">
      <formula>LEN(TRIM(S41))=0</formula>
    </cfRule>
  </conditionalFormatting>
  <conditionalFormatting sqref="S41:S47">
    <cfRule type="expression" dxfId="2606" priority="254" stopIfTrue="1">
      <formula>SUM($S$41:$S$47)&lt;&gt;1</formula>
    </cfRule>
  </conditionalFormatting>
  <conditionalFormatting sqref="S41:S47">
    <cfRule type="notContainsBlanks" dxfId="2605" priority="255" stopIfTrue="1">
      <formula>LEN(TRIM(S41))&gt;0</formula>
    </cfRule>
  </conditionalFormatting>
  <conditionalFormatting sqref="T41:T47">
    <cfRule type="containsBlanks" dxfId="2604" priority="256" stopIfTrue="1">
      <formula>LEN(TRIM(T41))=0</formula>
    </cfRule>
  </conditionalFormatting>
  <conditionalFormatting sqref="T41:T47">
    <cfRule type="expression" dxfId="2603" priority="257" stopIfTrue="1">
      <formula>SUM($T$41:$T$47)&lt;&gt;1</formula>
    </cfRule>
  </conditionalFormatting>
  <conditionalFormatting sqref="T41:T47">
    <cfRule type="notContainsBlanks" dxfId="2602" priority="258" stopIfTrue="1">
      <formula>LEN(TRIM(T41))&gt;0</formula>
    </cfRule>
  </conditionalFormatting>
  <conditionalFormatting sqref="U41:U47">
    <cfRule type="containsBlanks" dxfId="2601" priority="259" stopIfTrue="1">
      <formula>LEN(TRIM(U41))=0</formula>
    </cfRule>
  </conditionalFormatting>
  <conditionalFormatting sqref="U41:U47">
    <cfRule type="expression" dxfId="2600" priority="260" stopIfTrue="1">
      <formula>SUM($U$41:$U$47)&lt;&gt;1</formula>
    </cfRule>
  </conditionalFormatting>
  <conditionalFormatting sqref="U41:U47">
    <cfRule type="notContainsBlanks" dxfId="2599" priority="261" stopIfTrue="1">
      <formula>LEN(TRIM(U41))&gt;0</formula>
    </cfRule>
  </conditionalFormatting>
  <conditionalFormatting sqref="V41:V47">
    <cfRule type="containsBlanks" dxfId="2598" priority="262" stopIfTrue="1">
      <formula>LEN(TRIM(V41))=0</formula>
    </cfRule>
  </conditionalFormatting>
  <conditionalFormatting sqref="V41:V47">
    <cfRule type="expression" dxfId="2597" priority="263" stopIfTrue="1">
      <formula>SUM($V$41:$V$47)&lt;&gt;1</formula>
    </cfRule>
  </conditionalFormatting>
  <conditionalFormatting sqref="V41:V47">
    <cfRule type="notContainsBlanks" dxfId="2596" priority="264" stopIfTrue="1">
      <formula>LEN(TRIM(V41))&gt;0</formula>
    </cfRule>
  </conditionalFormatting>
  <conditionalFormatting sqref="W41:W47">
    <cfRule type="containsBlanks" dxfId="2595" priority="265" stopIfTrue="1">
      <formula>LEN(TRIM(W41))=0</formula>
    </cfRule>
  </conditionalFormatting>
  <conditionalFormatting sqref="W41:W47">
    <cfRule type="expression" dxfId="2594" priority="266" stopIfTrue="1">
      <formula>SUM($W$41:$W$47)&lt;&gt;1</formula>
    </cfRule>
  </conditionalFormatting>
  <conditionalFormatting sqref="W41:W47">
    <cfRule type="notContainsBlanks" dxfId="2593" priority="267" stopIfTrue="1">
      <formula>LEN(TRIM(W41))&gt;0</formula>
    </cfRule>
  </conditionalFormatting>
  <conditionalFormatting sqref="X41:X47">
    <cfRule type="containsBlanks" dxfId="2592" priority="268" stopIfTrue="1">
      <formula>LEN(TRIM(X41))=0</formula>
    </cfRule>
  </conditionalFormatting>
  <conditionalFormatting sqref="X41:X47">
    <cfRule type="expression" dxfId="2591" priority="269" stopIfTrue="1">
      <formula>SUM($X$41:$X$47)&lt;&gt;1</formula>
    </cfRule>
  </conditionalFormatting>
  <conditionalFormatting sqref="X41:X47">
    <cfRule type="notContainsBlanks" dxfId="2590" priority="270" stopIfTrue="1">
      <formula>LEN(TRIM(X41))&gt;0</formula>
    </cfRule>
  </conditionalFormatting>
  <conditionalFormatting sqref="Y41:Y47">
    <cfRule type="containsBlanks" dxfId="2589" priority="271" stopIfTrue="1">
      <formula>LEN(TRIM(Y41))=0</formula>
    </cfRule>
  </conditionalFormatting>
  <conditionalFormatting sqref="Y41:Y47">
    <cfRule type="expression" dxfId="2588" priority="272" stopIfTrue="1">
      <formula>SUM($Y$41:$Y$47)&lt;&gt;1</formula>
    </cfRule>
  </conditionalFormatting>
  <conditionalFormatting sqref="Y41:Y47">
    <cfRule type="notContainsBlanks" dxfId="2587" priority="273" stopIfTrue="1">
      <formula>LEN(TRIM(Y41))&gt;0</formula>
    </cfRule>
  </conditionalFormatting>
  <conditionalFormatting sqref="Z41:Z47">
    <cfRule type="containsBlanks" dxfId="2586" priority="274" stopIfTrue="1">
      <formula>LEN(TRIM(Z41))=0</formula>
    </cfRule>
  </conditionalFormatting>
  <conditionalFormatting sqref="Z41:Z47">
    <cfRule type="expression" dxfId="2585" priority="275" stopIfTrue="1">
      <formula>SUM($Z$41:$Z$47)&lt;&gt;1</formula>
    </cfRule>
  </conditionalFormatting>
  <conditionalFormatting sqref="Z41:Z47">
    <cfRule type="notContainsBlanks" dxfId="2584" priority="276" stopIfTrue="1">
      <formula>LEN(TRIM(Z41))&gt;0</formula>
    </cfRule>
  </conditionalFormatting>
  <conditionalFormatting sqref="AA41:AA47">
    <cfRule type="containsBlanks" dxfId="2583" priority="277" stopIfTrue="1">
      <formula>LEN(TRIM(AA41))=0</formula>
    </cfRule>
  </conditionalFormatting>
  <conditionalFormatting sqref="AA41:AA47">
    <cfRule type="expression" dxfId="2582" priority="278" stopIfTrue="1">
      <formula>SUM($AA$41:$AA$47)&lt;&gt;1</formula>
    </cfRule>
  </conditionalFormatting>
  <conditionalFormatting sqref="AA41:AA47">
    <cfRule type="notContainsBlanks" dxfId="2581" priority="279" stopIfTrue="1">
      <formula>LEN(TRIM(AA41))&gt;0</formula>
    </cfRule>
  </conditionalFormatting>
  <conditionalFormatting sqref="AB41:AB47">
    <cfRule type="containsBlanks" dxfId="2580" priority="280" stopIfTrue="1">
      <formula>LEN(TRIM(AB41))=0</formula>
    </cfRule>
  </conditionalFormatting>
  <conditionalFormatting sqref="AB41:AB47">
    <cfRule type="expression" dxfId="2579" priority="281" stopIfTrue="1">
      <formula>SUM($AB$41:$AB$47)&lt;&gt;1</formula>
    </cfRule>
  </conditionalFormatting>
  <conditionalFormatting sqref="AB41:AB47">
    <cfRule type="notContainsBlanks" dxfId="2578" priority="282" stopIfTrue="1">
      <formula>LEN(TRIM(AB41))&gt;0</formula>
    </cfRule>
  </conditionalFormatting>
  <conditionalFormatting sqref="AC41:AC47">
    <cfRule type="containsBlanks" dxfId="2577" priority="283" stopIfTrue="1">
      <formula>LEN(TRIM(AC41))=0</formula>
    </cfRule>
  </conditionalFormatting>
  <conditionalFormatting sqref="AC41:AC47">
    <cfRule type="expression" dxfId="2576" priority="284" stopIfTrue="1">
      <formula>SUM($AC$41:$AC$47)&lt;&gt;1</formula>
    </cfRule>
  </conditionalFormatting>
  <conditionalFormatting sqref="AC41:AC47">
    <cfRule type="notContainsBlanks" dxfId="2575" priority="285" stopIfTrue="1">
      <formula>LEN(TRIM(AC41))&gt;0</formula>
    </cfRule>
  </conditionalFormatting>
  <conditionalFormatting sqref="AD41:AD47">
    <cfRule type="containsBlanks" dxfId="2574" priority="286" stopIfTrue="1">
      <formula>LEN(TRIM(AD41))=0</formula>
    </cfRule>
  </conditionalFormatting>
  <conditionalFormatting sqref="AD41:AD47">
    <cfRule type="expression" dxfId="2573" priority="287" stopIfTrue="1">
      <formula>SUM($AD$41:$AD$47)&lt;&gt;1</formula>
    </cfRule>
  </conditionalFormatting>
  <conditionalFormatting sqref="AD41:AD47">
    <cfRule type="notContainsBlanks" dxfId="2572" priority="288" stopIfTrue="1">
      <formula>LEN(TRIM(AD41))&gt;0</formula>
    </cfRule>
  </conditionalFormatting>
  <conditionalFormatting sqref="AE41:AE47">
    <cfRule type="containsBlanks" dxfId="2571" priority="289" stopIfTrue="1">
      <formula>LEN(TRIM(AE41))=0</formula>
    </cfRule>
  </conditionalFormatting>
  <conditionalFormatting sqref="AE41:AE47">
    <cfRule type="expression" dxfId="2570" priority="290" stopIfTrue="1">
      <formula>SUM($AE$41:$AE$47)&lt;&gt;1</formula>
    </cfRule>
  </conditionalFormatting>
  <conditionalFormatting sqref="AE41:AE47">
    <cfRule type="notContainsBlanks" dxfId="2569" priority="291" stopIfTrue="1">
      <formula>LEN(TRIM(AE41))&gt;0</formula>
    </cfRule>
  </conditionalFormatting>
  <conditionalFormatting sqref="AF41:AF47">
    <cfRule type="containsBlanks" dxfId="2568" priority="292" stopIfTrue="1">
      <formula>LEN(TRIM(AF41))=0</formula>
    </cfRule>
  </conditionalFormatting>
  <conditionalFormatting sqref="AF41:AF47">
    <cfRule type="expression" dxfId="2567" priority="293" stopIfTrue="1">
      <formula>SUM($AF$41:$AF$47)&lt;&gt;1</formula>
    </cfRule>
  </conditionalFormatting>
  <conditionalFormatting sqref="AF41:AF47">
    <cfRule type="notContainsBlanks" dxfId="2566" priority="294" stopIfTrue="1">
      <formula>LEN(TRIM(AF41))&gt;0</formula>
    </cfRule>
  </conditionalFormatting>
  <conditionalFormatting sqref="AG41:AG47">
    <cfRule type="containsBlanks" dxfId="2565" priority="295" stopIfTrue="1">
      <formula>LEN(TRIM(AG41))=0</formula>
    </cfRule>
  </conditionalFormatting>
  <conditionalFormatting sqref="AG41:AG47">
    <cfRule type="expression" dxfId="2564" priority="296" stopIfTrue="1">
      <formula>SUM($AG$41:$AG$47)&lt;&gt;1</formula>
    </cfRule>
  </conditionalFormatting>
  <conditionalFormatting sqref="AG41:AG47">
    <cfRule type="notContainsBlanks" dxfId="2563" priority="297" stopIfTrue="1">
      <formula>LEN(TRIM(AG41))&gt;0</formula>
    </cfRule>
  </conditionalFormatting>
  <conditionalFormatting sqref="AH41:AH47">
    <cfRule type="containsBlanks" dxfId="2562" priority="298" stopIfTrue="1">
      <formula>LEN(TRIM(AH41))=0</formula>
    </cfRule>
  </conditionalFormatting>
  <conditionalFormatting sqref="AH41:AH47">
    <cfRule type="expression" dxfId="2561" priority="299" stopIfTrue="1">
      <formula>SUM($AH$41:$AH$47)&lt;&gt;1</formula>
    </cfRule>
  </conditionalFormatting>
  <conditionalFormatting sqref="AH41:AH47">
    <cfRule type="notContainsBlanks" dxfId="2560" priority="300" stopIfTrue="1">
      <formula>LEN(TRIM(AH41))&gt;0</formula>
    </cfRule>
  </conditionalFormatting>
  <conditionalFormatting sqref="AI41:AI47">
    <cfRule type="containsBlanks" dxfId="2559" priority="301" stopIfTrue="1">
      <formula>LEN(TRIM(AI41))=0</formula>
    </cfRule>
  </conditionalFormatting>
  <conditionalFormatting sqref="AI41:AI47">
    <cfRule type="expression" dxfId="2558" priority="302" stopIfTrue="1">
      <formula>SUM($AI$41:$AI$47)&lt;&gt;1</formula>
    </cfRule>
  </conditionalFormatting>
  <conditionalFormatting sqref="AI41:AI47">
    <cfRule type="notContainsBlanks" dxfId="2557" priority="303" stopIfTrue="1">
      <formula>LEN(TRIM(AI41))&gt;0</formula>
    </cfRule>
  </conditionalFormatting>
  <conditionalFormatting sqref="AJ41:AJ47">
    <cfRule type="containsBlanks" dxfId="2556" priority="304" stopIfTrue="1">
      <formula>LEN(TRIM(AJ41))=0</formula>
    </cfRule>
  </conditionalFormatting>
  <conditionalFormatting sqref="AJ41:AJ47">
    <cfRule type="expression" dxfId="2555" priority="305" stopIfTrue="1">
      <formula>SUM($AJ$41:$AJ$47)&lt;&gt;1</formula>
    </cfRule>
  </conditionalFormatting>
  <conditionalFormatting sqref="AJ41:AJ47">
    <cfRule type="notContainsBlanks" dxfId="2554" priority="306" stopIfTrue="1">
      <formula>LEN(TRIM(AJ41))&gt;0</formula>
    </cfRule>
  </conditionalFormatting>
  <conditionalFormatting sqref="AK41:AK47">
    <cfRule type="containsBlanks" dxfId="2553" priority="307" stopIfTrue="1">
      <formula>LEN(TRIM(AK41))=0</formula>
    </cfRule>
  </conditionalFormatting>
  <conditionalFormatting sqref="AK41:AK47">
    <cfRule type="expression" dxfId="2552" priority="308" stopIfTrue="1">
      <formula>SUM($AK$41:$AK$47)&lt;&gt;1</formula>
    </cfRule>
  </conditionalFormatting>
  <conditionalFormatting sqref="AK41:AK47">
    <cfRule type="notContainsBlanks" dxfId="2551" priority="309" stopIfTrue="1">
      <formula>LEN(TRIM(AK41))&gt;0</formula>
    </cfRule>
  </conditionalFormatting>
  <conditionalFormatting sqref="E32:E38">
    <cfRule type="containsBlanks" dxfId="2550" priority="324" stopIfTrue="1">
      <formula>LEN(TRIM(E32))=0</formula>
    </cfRule>
    <cfRule type="expression" dxfId="2549" priority="325" stopIfTrue="1">
      <formula>SUM($E$32:$E$38)&lt;&gt;1</formula>
    </cfRule>
    <cfRule type="notContainsBlanks" dxfId="2548" priority="326" stopIfTrue="1">
      <formula>LEN(TRIM(E32))&gt;0</formula>
    </cfRule>
  </conditionalFormatting>
  <conditionalFormatting sqref="F32:F38">
    <cfRule type="containsBlanks" dxfId="2547" priority="327" stopIfTrue="1">
      <formula>LEN(TRIM(F32))=0</formula>
    </cfRule>
    <cfRule type="expression" dxfId="2546" priority="328" stopIfTrue="1">
      <formula>SUM($F$32:$F$38)&lt;&gt;1</formula>
    </cfRule>
    <cfRule type="notContainsBlanks" dxfId="2545" priority="329" stopIfTrue="1">
      <formula>LEN(TRIM(F32))&gt;0</formula>
    </cfRule>
  </conditionalFormatting>
  <conditionalFormatting sqref="G32:G38">
    <cfRule type="containsBlanks" dxfId="2544" priority="330" stopIfTrue="1">
      <formula>LEN(TRIM(G32))=0</formula>
    </cfRule>
    <cfRule type="expression" dxfId="2543" priority="331" stopIfTrue="1">
      <formula>SUM($G$32:$G$38)&lt;&gt;1</formula>
    </cfRule>
    <cfRule type="notContainsBlanks" dxfId="2542" priority="332" stopIfTrue="1">
      <formula>LEN(TRIM(G32))&gt;0</formula>
    </cfRule>
  </conditionalFormatting>
  <conditionalFormatting sqref="H32:H38">
    <cfRule type="containsBlanks" dxfId="2541" priority="333" stopIfTrue="1">
      <formula>LEN(TRIM(H32))=0</formula>
    </cfRule>
    <cfRule type="expression" dxfId="2540" priority="334" stopIfTrue="1">
      <formula>SUM($H$32:$H$38)&lt;&gt;1</formula>
    </cfRule>
    <cfRule type="notContainsBlanks" dxfId="2539" priority="335" stopIfTrue="1">
      <formula>LEN(TRIM(H32))&gt;0</formula>
    </cfRule>
  </conditionalFormatting>
  <conditionalFormatting sqref="I32:I38">
    <cfRule type="containsBlanks" dxfId="2538" priority="336" stopIfTrue="1">
      <formula>LEN(TRIM(I32))=0</formula>
    </cfRule>
    <cfRule type="expression" dxfId="2537" priority="337" stopIfTrue="1">
      <formula>SUM($I$32:$I$38)&lt;&gt;1</formula>
    </cfRule>
    <cfRule type="notContainsBlanks" dxfId="2536" priority="338" stopIfTrue="1">
      <formula>LEN(TRIM(I32))&gt;0</formula>
    </cfRule>
  </conditionalFormatting>
  <conditionalFormatting sqref="J32:J38">
    <cfRule type="containsBlanks" dxfId="2535" priority="339" stopIfTrue="1">
      <formula>LEN(TRIM(J32))=0</formula>
    </cfRule>
    <cfRule type="expression" dxfId="2534" priority="340" stopIfTrue="1">
      <formula>SUM($J$32:$J$38)&lt;&gt;1</formula>
    </cfRule>
    <cfRule type="notContainsBlanks" dxfId="2533" priority="341" stopIfTrue="1">
      <formula>LEN(TRIM(J32))&gt;0</formula>
    </cfRule>
  </conditionalFormatting>
  <conditionalFormatting sqref="K32:K38">
    <cfRule type="containsBlanks" dxfId="2532" priority="342" stopIfTrue="1">
      <formula>LEN(TRIM(K32))=0</formula>
    </cfRule>
  </conditionalFormatting>
  <conditionalFormatting sqref="K32:K38">
    <cfRule type="expression" dxfId="2531" priority="343" stopIfTrue="1">
      <formula>SUM($K$32:$K$38)&lt;&gt;1</formula>
    </cfRule>
  </conditionalFormatting>
  <conditionalFormatting sqref="K32:K38">
    <cfRule type="notContainsBlanks" dxfId="2530" priority="344" stopIfTrue="1">
      <formula>LEN(TRIM(K32))&gt;0</formula>
    </cfRule>
  </conditionalFormatting>
  <conditionalFormatting sqref="L32:L38">
    <cfRule type="containsBlanks" dxfId="2529" priority="345" stopIfTrue="1">
      <formula>LEN(TRIM(L32))=0</formula>
    </cfRule>
  </conditionalFormatting>
  <conditionalFormatting sqref="L32:L38">
    <cfRule type="expression" dxfId="2528" priority="346" stopIfTrue="1">
      <formula>SUM($L$32:$L$38)&lt;&gt;1</formula>
    </cfRule>
  </conditionalFormatting>
  <conditionalFormatting sqref="L32:L38">
    <cfRule type="notContainsBlanks" dxfId="2527" priority="347" stopIfTrue="1">
      <formula>LEN(TRIM(L32))&gt;0</formula>
    </cfRule>
  </conditionalFormatting>
  <conditionalFormatting sqref="M32:M38">
    <cfRule type="containsBlanks" dxfId="2526" priority="348" stopIfTrue="1">
      <formula>LEN(TRIM(M32))=0</formula>
    </cfRule>
  </conditionalFormatting>
  <conditionalFormatting sqref="M32:M38">
    <cfRule type="expression" dxfId="2525" priority="349" stopIfTrue="1">
      <formula>SUM($M$32:$M$38)&lt;&gt;1</formula>
    </cfRule>
  </conditionalFormatting>
  <conditionalFormatting sqref="M32:M38">
    <cfRule type="notContainsBlanks" dxfId="2524" priority="350" stopIfTrue="1">
      <formula>LEN(TRIM(M32))&gt;0</formula>
    </cfRule>
  </conditionalFormatting>
  <conditionalFormatting sqref="N32:N38">
    <cfRule type="containsBlanks" dxfId="2523" priority="351" stopIfTrue="1">
      <formula>LEN(TRIM(N32))=0</formula>
    </cfRule>
  </conditionalFormatting>
  <conditionalFormatting sqref="N32:N38">
    <cfRule type="expression" dxfId="2522" priority="352" stopIfTrue="1">
      <formula>SUM($N$32:$N$38)&lt;&gt;1</formula>
    </cfRule>
  </conditionalFormatting>
  <conditionalFormatting sqref="N32:N38">
    <cfRule type="notContainsBlanks" dxfId="2521" priority="353" stopIfTrue="1">
      <formula>LEN(TRIM(N32))&gt;0</formula>
    </cfRule>
  </conditionalFormatting>
  <conditionalFormatting sqref="O32:O38">
    <cfRule type="containsBlanks" dxfId="2520" priority="354" stopIfTrue="1">
      <formula>LEN(TRIM(O32))=0</formula>
    </cfRule>
  </conditionalFormatting>
  <conditionalFormatting sqref="O32:O38">
    <cfRule type="expression" dxfId="2519" priority="355" stopIfTrue="1">
      <formula>SUM($O$32:$O$38)&lt;&gt;1</formula>
    </cfRule>
  </conditionalFormatting>
  <conditionalFormatting sqref="O32:O38">
    <cfRule type="notContainsBlanks" dxfId="2518" priority="356" stopIfTrue="1">
      <formula>LEN(TRIM(O32))&gt;0</formula>
    </cfRule>
  </conditionalFormatting>
  <conditionalFormatting sqref="P32:P38">
    <cfRule type="containsBlanks" dxfId="2517" priority="357" stopIfTrue="1">
      <formula>LEN(TRIM(P32))=0</formula>
    </cfRule>
  </conditionalFormatting>
  <conditionalFormatting sqref="P32:P38">
    <cfRule type="expression" dxfId="2516" priority="358" stopIfTrue="1">
      <formula>SUM($P$32:$P$38)&lt;&gt;1</formula>
    </cfRule>
  </conditionalFormatting>
  <conditionalFormatting sqref="P32:P38">
    <cfRule type="notContainsBlanks" dxfId="2515" priority="359" stopIfTrue="1">
      <formula>LEN(TRIM(P32))&gt;0</formula>
    </cfRule>
  </conditionalFormatting>
  <conditionalFormatting sqref="Q32:Q38">
    <cfRule type="containsBlanks" dxfId="2514" priority="360" stopIfTrue="1">
      <formula>LEN(TRIM(Q32))=0</formula>
    </cfRule>
  </conditionalFormatting>
  <conditionalFormatting sqref="Q32:Q38">
    <cfRule type="expression" dxfId="2513" priority="361" stopIfTrue="1">
      <formula>SUM($Q$32:$Q$38)&lt;&gt;1</formula>
    </cfRule>
  </conditionalFormatting>
  <conditionalFormatting sqref="Q32:Q38">
    <cfRule type="notContainsBlanks" dxfId="2512" priority="362" stopIfTrue="1">
      <formula>LEN(TRIM(Q32))&gt;0</formula>
    </cfRule>
  </conditionalFormatting>
  <conditionalFormatting sqref="R32:R38">
    <cfRule type="containsBlanks" dxfId="2511" priority="363" stopIfTrue="1">
      <formula>LEN(TRIM(R32))=0</formula>
    </cfRule>
  </conditionalFormatting>
  <conditionalFormatting sqref="R32:R38">
    <cfRule type="expression" dxfId="2510" priority="364" stopIfTrue="1">
      <formula>SUM($R$32:$R$38)&lt;&gt;1</formula>
    </cfRule>
  </conditionalFormatting>
  <conditionalFormatting sqref="R32:R38">
    <cfRule type="notContainsBlanks" dxfId="2509" priority="365" stopIfTrue="1">
      <formula>LEN(TRIM(R32))&gt;0</formula>
    </cfRule>
  </conditionalFormatting>
  <conditionalFormatting sqref="S32:S38">
    <cfRule type="containsBlanks" dxfId="2508" priority="366" stopIfTrue="1">
      <formula>LEN(TRIM(S32))=0</formula>
    </cfRule>
  </conditionalFormatting>
  <conditionalFormatting sqref="S32:S38">
    <cfRule type="expression" dxfId="2507" priority="367" stopIfTrue="1">
      <formula>SUM($S$32:$S$38)&lt;&gt;1</formula>
    </cfRule>
  </conditionalFormatting>
  <conditionalFormatting sqref="S32:S38">
    <cfRule type="notContainsBlanks" dxfId="2506" priority="368" stopIfTrue="1">
      <formula>LEN(TRIM(S32))&gt;0</formula>
    </cfRule>
  </conditionalFormatting>
  <conditionalFormatting sqref="T32:T38">
    <cfRule type="containsBlanks" dxfId="2505" priority="369" stopIfTrue="1">
      <formula>LEN(TRIM(T32))=0</formula>
    </cfRule>
  </conditionalFormatting>
  <conditionalFormatting sqref="T32:T38">
    <cfRule type="expression" dxfId="2504" priority="370" stopIfTrue="1">
      <formula>SUM($T$32:$T$38)&lt;&gt;1</formula>
    </cfRule>
  </conditionalFormatting>
  <conditionalFormatting sqref="T32:T38">
    <cfRule type="notContainsBlanks" dxfId="2503" priority="371" stopIfTrue="1">
      <formula>LEN(TRIM(T32))&gt;0</formula>
    </cfRule>
  </conditionalFormatting>
  <conditionalFormatting sqref="U32:U38">
    <cfRule type="containsBlanks" dxfId="2502" priority="372" stopIfTrue="1">
      <formula>LEN(TRIM(U32))=0</formula>
    </cfRule>
  </conditionalFormatting>
  <conditionalFormatting sqref="U32:U38">
    <cfRule type="expression" dxfId="2501" priority="373" stopIfTrue="1">
      <formula>SUM($U$32:$U$38)&lt;&gt;1</formula>
    </cfRule>
  </conditionalFormatting>
  <conditionalFormatting sqref="U32:U38">
    <cfRule type="notContainsBlanks" dxfId="2500" priority="374" stopIfTrue="1">
      <formula>LEN(TRIM(U32))&gt;0</formula>
    </cfRule>
  </conditionalFormatting>
  <conditionalFormatting sqref="V32:V38">
    <cfRule type="containsBlanks" dxfId="2499" priority="375" stopIfTrue="1">
      <formula>LEN(TRIM(V32))=0</formula>
    </cfRule>
  </conditionalFormatting>
  <conditionalFormatting sqref="V32:V38">
    <cfRule type="expression" dxfId="2498" priority="376" stopIfTrue="1">
      <formula>SUM($V$32:$V$38)&lt;&gt;1</formula>
    </cfRule>
  </conditionalFormatting>
  <conditionalFormatting sqref="V32:V38">
    <cfRule type="notContainsBlanks" dxfId="2497" priority="377" stopIfTrue="1">
      <formula>LEN(TRIM(V32))&gt;0</formula>
    </cfRule>
  </conditionalFormatting>
  <conditionalFormatting sqref="W32:W38">
    <cfRule type="containsBlanks" dxfId="2496" priority="378" stopIfTrue="1">
      <formula>LEN(TRIM(W32))=0</formula>
    </cfRule>
  </conditionalFormatting>
  <conditionalFormatting sqref="W32:W38">
    <cfRule type="expression" dxfId="2495" priority="379" stopIfTrue="1">
      <formula>SUM($W$32:$W$38)&lt;&gt;1</formula>
    </cfRule>
  </conditionalFormatting>
  <conditionalFormatting sqref="W32:W38">
    <cfRule type="notContainsBlanks" dxfId="2494" priority="380" stopIfTrue="1">
      <formula>LEN(TRIM(W32))&gt;0</formula>
    </cfRule>
  </conditionalFormatting>
  <conditionalFormatting sqref="X32:X38">
    <cfRule type="containsBlanks" dxfId="2493" priority="381" stopIfTrue="1">
      <formula>LEN(TRIM(X32))=0</formula>
    </cfRule>
  </conditionalFormatting>
  <conditionalFormatting sqref="X32:X38">
    <cfRule type="expression" dxfId="2492" priority="382" stopIfTrue="1">
      <formula>SUM($X$32:$X$38)&lt;&gt;1</formula>
    </cfRule>
  </conditionalFormatting>
  <conditionalFormatting sqref="X32:X38">
    <cfRule type="notContainsBlanks" dxfId="2491" priority="383" stopIfTrue="1">
      <formula>LEN(TRIM(X32))&gt;0</formula>
    </cfRule>
  </conditionalFormatting>
  <conditionalFormatting sqref="Y32:Y38">
    <cfRule type="containsBlanks" dxfId="2490" priority="384" stopIfTrue="1">
      <formula>LEN(TRIM(Y32))=0</formula>
    </cfRule>
  </conditionalFormatting>
  <conditionalFormatting sqref="Y32:Y38">
    <cfRule type="expression" dxfId="2489" priority="385" stopIfTrue="1">
      <formula>SUM($Y$32:$Y$38)&lt;&gt;1</formula>
    </cfRule>
  </conditionalFormatting>
  <conditionalFormatting sqref="Y32:Y38">
    <cfRule type="notContainsBlanks" dxfId="2488" priority="386" stopIfTrue="1">
      <formula>LEN(TRIM(Y32))&gt;0</formula>
    </cfRule>
  </conditionalFormatting>
  <conditionalFormatting sqref="Z32:Z38">
    <cfRule type="containsBlanks" dxfId="2487" priority="387" stopIfTrue="1">
      <formula>LEN(TRIM(Z32))=0</formula>
    </cfRule>
  </conditionalFormatting>
  <conditionalFormatting sqref="Z32:Z38">
    <cfRule type="expression" dxfId="2486" priority="388" stopIfTrue="1">
      <formula>SUM($Z$32:$Z$38)&lt;&gt;1</formula>
    </cfRule>
  </conditionalFormatting>
  <conditionalFormatting sqref="Z32:Z38">
    <cfRule type="notContainsBlanks" dxfId="2485" priority="389" stopIfTrue="1">
      <formula>LEN(TRIM(Z32))&gt;0</formula>
    </cfRule>
  </conditionalFormatting>
  <conditionalFormatting sqref="AA32:AA38">
    <cfRule type="containsBlanks" dxfId="2484" priority="390" stopIfTrue="1">
      <formula>LEN(TRIM(AA32))=0</formula>
    </cfRule>
  </conditionalFormatting>
  <conditionalFormatting sqref="AA32:AA38">
    <cfRule type="expression" dxfId="2483" priority="391" stopIfTrue="1">
      <formula>SUM($AA$32:$AA$38)&lt;&gt;1</formula>
    </cfRule>
  </conditionalFormatting>
  <conditionalFormatting sqref="AA32:AA38">
    <cfRule type="notContainsBlanks" dxfId="2482" priority="392" stopIfTrue="1">
      <formula>LEN(TRIM(AA32))&gt;0</formula>
    </cfRule>
  </conditionalFormatting>
  <conditionalFormatting sqref="AB32:AB38">
    <cfRule type="containsBlanks" dxfId="2481" priority="393" stopIfTrue="1">
      <formula>LEN(TRIM(AB32))=0</formula>
    </cfRule>
  </conditionalFormatting>
  <conditionalFormatting sqref="AB32:AB38">
    <cfRule type="expression" dxfId="2480" priority="394" stopIfTrue="1">
      <formula>SUM($AB$32:$AB$38)&lt;&gt;1</formula>
    </cfRule>
  </conditionalFormatting>
  <conditionalFormatting sqref="AB32:AB38">
    <cfRule type="notContainsBlanks" dxfId="2479" priority="395" stopIfTrue="1">
      <formula>LEN(TRIM(AB32))&gt;0</formula>
    </cfRule>
  </conditionalFormatting>
  <conditionalFormatting sqref="AC32:AC38">
    <cfRule type="containsBlanks" dxfId="2478" priority="396" stopIfTrue="1">
      <formula>LEN(TRIM(AC32))=0</formula>
    </cfRule>
  </conditionalFormatting>
  <conditionalFormatting sqref="AC32:AC38">
    <cfRule type="expression" dxfId="2477" priority="397" stopIfTrue="1">
      <formula>SUM($AC$32:$AC$38)&lt;&gt;1</formula>
    </cfRule>
  </conditionalFormatting>
  <conditionalFormatting sqref="AC32:AC38">
    <cfRule type="notContainsBlanks" dxfId="2476" priority="398" stopIfTrue="1">
      <formula>LEN(TRIM(AC32))&gt;0</formula>
    </cfRule>
  </conditionalFormatting>
  <conditionalFormatting sqref="AD32:AD38">
    <cfRule type="containsBlanks" dxfId="2475" priority="399" stopIfTrue="1">
      <formula>LEN(TRIM(AD32))=0</formula>
    </cfRule>
  </conditionalFormatting>
  <conditionalFormatting sqref="AD32:AD38">
    <cfRule type="expression" dxfId="2474" priority="400" stopIfTrue="1">
      <formula>SUM($AD$32:$AD$38)&lt;&gt;1</formula>
    </cfRule>
  </conditionalFormatting>
  <conditionalFormatting sqref="AD32:AD38">
    <cfRule type="notContainsBlanks" dxfId="2473" priority="401" stopIfTrue="1">
      <formula>LEN(TRIM(AD32))&gt;0</formula>
    </cfRule>
  </conditionalFormatting>
  <conditionalFormatting sqref="AE32:AE38">
    <cfRule type="containsBlanks" dxfId="2472" priority="402" stopIfTrue="1">
      <formula>LEN(TRIM(AE32))=0</formula>
    </cfRule>
  </conditionalFormatting>
  <conditionalFormatting sqref="AE32:AE38">
    <cfRule type="expression" dxfId="2471" priority="403" stopIfTrue="1">
      <formula>SUM($AE$32:$AE$38)&lt;&gt;1</formula>
    </cfRule>
  </conditionalFormatting>
  <conditionalFormatting sqref="AE32:AE38">
    <cfRule type="notContainsBlanks" dxfId="2470" priority="404" stopIfTrue="1">
      <formula>LEN(TRIM(AE32))&gt;0</formula>
    </cfRule>
  </conditionalFormatting>
  <conditionalFormatting sqref="AF32:AF38">
    <cfRule type="containsBlanks" dxfId="2469" priority="405" stopIfTrue="1">
      <formula>LEN(TRIM(AF32))=0</formula>
    </cfRule>
  </conditionalFormatting>
  <conditionalFormatting sqref="AF32:AF38">
    <cfRule type="expression" dxfId="2468" priority="406" stopIfTrue="1">
      <formula>SUM($AF$32:$AF$38)&lt;&gt;1</formula>
    </cfRule>
  </conditionalFormatting>
  <conditionalFormatting sqref="AF32:AF38">
    <cfRule type="notContainsBlanks" dxfId="2467" priority="407" stopIfTrue="1">
      <formula>LEN(TRIM(AF32))&gt;0</formula>
    </cfRule>
  </conditionalFormatting>
  <conditionalFormatting sqref="AG32:AG38">
    <cfRule type="containsBlanks" dxfId="2466" priority="408" stopIfTrue="1">
      <formula>LEN(TRIM(AG32))=0</formula>
    </cfRule>
  </conditionalFormatting>
  <conditionalFormatting sqref="AG32:AG38">
    <cfRule type="expression" dxfId="2465" priority="409" stopIfTrue="1">
      <formula>SUM($AG$32:$AG$38)&lt;&gt;1</formula>
    </cfRule>
  </conditionalFormatting>
  <conditionalFormatting sqref="AG32:AG38">
    <cfRule type="notContainsBlanks" dxfId="2464" priority="410" stopIfTrue="1">
      <formula>LEN(TRIM(AG32))&gt;0</formula>
    </cfRule>
  </conditionalFormatting>
  <conditionalFormatting sqref="AH32:AH38">
    <cfRule type="containsBlanks" dxfId="2463" priority="411" stopIfTrue="1">
      <formula>LEN(TRIM(AH32))=0</formula>
    </cfRule>
  </conditionalFormatting>
  <conditionalFormatting sqref="AH32:AH38">
    <cfRule type="expression" dxfId="2462" priority="412" stopIfTrue="1">
      <formula>SUM($AH$32:$AH$38)&lt;&gt;1</formula>
    </cfRule>
  </conditionalFormatting>
  <conditionalFormatting sqref="AH32:AH38">
    <cfRule type="notContainsBlanks" dxfId="2461" priority="413" stopIfTrue="1">
      <formula>LEN(TRIM(AH32))&gt;0</formula>
    </cfRule>
  </conditionalFormatting>
  <conditionalFormatting sqref="AI32:AI38">
    <cfRule type="containsBlanks" dxfId="2460" priority="414" stopIfTrue="1">
      <formula>LEN(TRIM(AI32))=0</formula>
    </cfRule>
  </conditionalFormatting>
  <conditionalFormatting sqref="AI32:AI38">
    <cfRule type="expression" dxfId="2459" priority="415" stopIfTrue="1">
      <formula>SUM($AI$32:$AI$38)&lt;&gt;1</formula>
    </cfRule>
  </conditionalFormatting>
  <conditionalFormatting sqref="AI32:AI38">
    <cfRule type="notContainsBlanks" dxfId="2458" priority="416" stopIfTrue="1">
      <formula>LEN(TRIM(AI32))&gt;0</formula>
    </cfRule>
  </conditionalFormatting>
  <conditionalFormatting sqref="AJ32:AJ38">
    <cfRule type="containsBlanks" dxfId="2457" priority="417" stopIfTrue="1">
      <formula>LEN(TRIM(AJ32))=0</formula>
    </cfRule>
  </conditionalFormatting>
  <conditionalFormatting sqref="AJ32:AJ38">
    <cfRule type="expression" dxfId="2456" priority="418" stopIfTrue="1">
      <formula>SUM($AJ$32:$AJ$38)&lt;&gt;1</formula>
    </cfRule>
  </conditionalFormatting>
  <conditionalFormatting sqref="AJ32:AJ38">
    <cfRule type="notContainsBlanks" dxfId="2455" priority="419" stopIfTrue="1">
      <formula>LEN(TRIM(AJ32))&gt;0</formula>
    </cfRule>
  </conditionalFormatting>
  <conditionalFormatting sqref="AK32:AK38">
    <cfRule type="containsBlanks" dxfId="2454" priority="420" stopIfTrue="1">
      <formula>LEN(TRIM(AK32))=0</formula>
    </cfRule>
  </conditionalFormatting>
  <conditionalFormatting sqref="AK32:AK38">
    <cfRule type="expression" dxfId="2453" priority="421" stopIfTrue="1">
      <formula>SUM($AK$32:$AK$38)&lt;&gt;1</formula>
    </cfRule>
  </conditionalFormatting>
  <conditionalFormatting sqref="AK32:AK38">
    <cfRule type="notContainsBlanks" dxfId="2452" priority="422" stopIfTrue="1">
      <formula>LEN(TRIM(AK32))&gt;0</formula>
    </cfRule>
  </conditionalFormatting>
  <conditionalFormatting sqref="E21:AK21">
    <cfRule type="containsBlanks" dxfId="2451" priority="423" stopIfTrue="1">
      <formula>LEN(TRIM(E21))=0</formula>
    </cfRule>
  </conditionalFormatting>
  <conditionalFormatting sqref="E21:AK21">
    <cfRule type="notContainsBlanks" dxfId="2450" priority="424" stopIfTrue="1">
      <formula>LEN(TRIM(E21))&gt;0</formula>
    </cfRule>
  </conditionalFormatting>
  <conditionalFormatting sqref="E22:AK22">
    <cfRule type="containsBlanks" dxfId="2449" priority="425" stopIfTrue="1">
      <formula>LEN(TRIM(E22))=0</formula>
    </cfRule>
  </conditionalFormatting>
  <conditionalFormatting sqref="E22:AK22">
    <cfRule type="notContainsBlanks" dxfId="2448" priority="426" stopIfTrue="1">
      <formula>LEN(TRIM(E22))&gt;0</formula>
    </cfRule>
  </conditionalFormatting>
  <conditionalFormatting sqref="E24:AK24">
    <cfRule type="containsBlanks" dxfId="2447" priority="427" stopIfTrue="1">
      <formula>LEN(TRIM(E24))=0</formula>
    </cfRule>
  </conditionalFormatting>
  <conditionalFormatting sqref="E24:AK24">
    <cfRule type="notContainsBlanks" dxfId="2446" priority="428" stopIfTrue="1">
      <formula>LEN(TRIM(E24))&gt;0</formula>
    </cfRule>
  </conditionalFormatting>
  <conditionalFormatting sqref="E26:AK26">
    <cfRule type="containsBlanks" dxfId="2445" priority="429" stopIfTrue="1">
      <formula>LEN(TRIM(E26))=0</formula>
    </cfRule>
  </conditionalFormatting>
  <conditionalFormatting sqref="E26:AK26">
    <cfRule type="notContainsBlanks" dxfId="2444" priority="430" stopIfTrue="1">
      <formula>LEN(TRIM(E26))&gt;0</formula>
    </cfRule>
  </conditionalFormatting>
  <conditionalFormatting sqref="E27:AK27">
    <cfRule type="containsBlanks" dxfId="2443" priority="431" stopIfTrue="1">
      <formula>LEN(TRIM(E27))=0</formula>
    </cfRule>
  </conditionalFormatting>
  <conditionalFormatting sqref="E27:AK27">
    <cfRule type="notContainsBlanks" dxfId="2442" priority="432" stopIfTrue="1">
      <formula>LEN(TRIM(E27))&gt;0</formula>
    </cfRule>
  </conditionalFormatting>
  <conditionalFormatting sqref="E29:AK29">
    <cfRule type="containsBlanks" dxfId="2441" priority="433" stopIfTrue="1">
      <formula>LEN(TRIM(E29))=0</formula>
    </cfRule>
  </conditionalFormatting>
  <conditionalFormatting sqref="E29:AK29">
    <cfRule type="notContainsBlanks" dxfId="2440" priority="434" stopIfTrue="1">
      <formula>LEN(TRIM(E29))&gt;0</formula>
    </cfRule>
  </conditionalFormatting>
  <conditionalFormatting sqref="E13:AK13">
    <cfRule type="containsBlanks" dxfId="2439" priority="435" stopIfTrue="1">
      <formula>LEN(TRIM(E13))=0</formula>
    </cfRule>
  </conditionalFormatting>
  <conditionalFormatting sqref="E13:AK13">
    <cfRule type="notContainsBlanks" dxfId="2438" priority="436" stopIfTrue="1">
      <formula>LEN(TRIM(E13))&gt;0</formula>
    </cfRule>
  </conditionalFormatting>
  <conditionalFormatting sqref="E14:AK14">
    <cfRule type="containsBlanks" dxfId="2437" priority="437" stopIfTrue="1">
      <formula>LEN(TRIM(E14))=0</formula>
    </cfRule>
  </conditionalFormatting>
  <conditionalFormatting sqref="E14:AK14">
    <cfRule type="notContainsBlanks" dxfId="2436" priority="438" stopIfTrue="1">
      <formula>LEN(TRIM(E14))&gt;0</formula>
    </cfRule>
  </conditionalFormatting>
  <conditionalFormatting sqref="E15:AK15">
    <cfRule type="containsBlanks" dxfId="2435" priority="439" stopIfTrue="1">
      <formula>LEN(TRIM(E15))=0</formula>
    </cfRule>
  </conditionalFormatting>
  <conditionalFormatting sqref="E15:AK15">
    <cfRule type="notContainsBlanks" dxfId="2434" priority="440" stopIfTrue="1">
      <formula>LEN(TRIM(E15))&gt;0</formula>
    </cfRule>
  </conditionalFormatting>
  <conditionalFormatting sqref="E17:AK17">
    <cfRule type="containsBlanks" dxfId="2433" priority="441" stopIfTrue="1">
      <formula>LEN(TRIM(E17))=0</formula>
    </cfRule>
  </conditionalFormatting>
  <conditionalFormatting sqref="E17:AK17">
    <cfRule type="notContainsBlanks" dxfId="2432" priority="442" stopIfTrue="1">
      <formula>LEN(TRIM(E17))&gt;0</formula>
    </cfRule>
  </conditionalFormatting>
  <conditionalFormatting sqref="E5:AK5">
    <cfRule type="containsBlanks" dxfId="2431" priority="443" stopIfTrue="1">
      <formula>LEN(TRIM(E5))=0</formula>
    </cfRule>
  </conditionalFormatting>
  <conditionalFormatting sqref="E5:AK5">
    <cfRule type="notContainsBlanks" dxfId="2430" priority="444" stopIfTrue="1">
      <formula>LEN(TRIM(E5))&gt;0</formula>
    </cfRule>
  </conditionalFormatting>
  <conditionalFormatting sqref="E6:AK6">
    <cfRule type="containsBlanks" dxfId="2429" priority="445" stopIfTrue="1">
      <formula>LEN(TRIM(E6))=0</formula>
    </cfRule>
  </conditionalFormatting>
  <conditionalFormatting sqref="E6:AK6">
    <cfRule type="notContainsBlanks" dxfId="2428" priority="446" stopIfTrue="1">
      <formula>LEN(TRIM(E6))&gt;0</formula>
    </cfRule>
  </conditionalFormatting>
  <conditionalFormatting sqref="E7:AK7">
    <cfRule type="containsBlanks" dxfId="2427" priority="447" stopIfTrue="1">
      <formula>LEN(TRIM(E7))=0</formula>
    </cfRule>
  </conditionalFormatting>
  <conditionalFormatting sqref="E7:AK7">
    <cfRule type="notContainsBlanks" dxfId="2426" priority="448" stopIfTrue="1">
      <formula>LEN(TRIM(E7))&gt;0</formula>
    </cfRule>
  </conditionalFormatting>
  <conditionalFormatting sqref="E9:AK9">
    <cfRule type="containsBlanks" dxfId="2425" priority="449" stopIfTrue="1">
      <formula>LEN(TRIM(E9))=0</formula>
    </cfRule>
  </conditionalFormatting>
  <conditionalFormatting sqref="E9:AK9">
    <cfRule type="notContainsBlanks" dxfId="2424" priority="450" stopIfTrue="1">
      <formula>LEN(TRIM(E9))&gt;0</formula>
    </cfRule>
  </conditionalFormatting>
  <pageMargins left="0.7" right="0.7" top="0.75" bottom="0.75" header="0.3" footer="0.3"/>
  <customProperties>
    <customPr name="IsPC"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2:AL190"/>
  <sheetViews>
    <sheetView zoomScale="85" zoomScaleNormal="85" workbookViewId="0"/>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8.6640625" style="148" bestFit="1" customWidth="1"/>
    <col min="6" max="22" width="8.6640625" style="2" bestFit="1" customWidth="1"/>
    <col min="23" max="37" width="9.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INDEX(_doName,4,stdCSL+1)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2623.280942724673</v>
      </c>
      <c r="F5" s="28">
        <f ca="1"/>
        <v>2691.62240869985</v>
      </c>
      <c r="G5" s="28">
        <f ca="1"/>
        <v>2690.8816709175453</v>
      </c>
      <c r="H5" s="28">
        <f ca="1"/>
        <v>2701.6023306488055</v>
      </c>
      <c r="I5" s="28">
        <f ca="1"/>
        <v>2709.7624955276679</v>
      </c>
      <c r="J5" s="28">
        <f ca="1"/>
        <v>2714.2272908494911</v>
      </c>
      <c r="K5" s="28">
        <f ca="1"/>
        <v>2720.1055781422433</v>
      </c>
      <c r="L5" s="28">
        <f ca="1"/>
        <v>2744.3166723914856</v>
      </c>
      <c r="M5" s="28">
        <f ca="1"/>
        <v>2759.7055053078129</v>
      </c>
      <c r="N5" s="28">
        <f ca="1"/>
        <v>2774.1418911182832</v>
      </c>
      <c r="O5" s="28">
        <f ca="1"/>
        <v>2795.1900953665886</v>
      </c>
      <c r="P5" s="28">
        <f ca="1"/>
        <v>2826.9042805122344</v>
      </c>
      <c r="Q5" s="28">
        <f ca="1"/>
        <v>2866.3284432346777</v>
      </c>
      <c r="R5" s="28">
        <f ca="1"/>
        <v>2927.9334642182525</v>
      </c>
      <c r="S5" s="28">
        <f ca="1"/>
        <v>3022.4706581872119</v>
      </c>
      <c r="T5" s="28">
        <f ca="1"/>
        <v>3109.3923847541819</v>
      </c>
      <c r="U5" s="28">
        <f ca="1"/>
        <v>3192.8546643614513</v>
      </c>
      <c r="V5" s="28">
        <f ca="1"/>
        <v>3289.341657162433</v>
      </c>
      <c r="W5" s="28">
        <f ca="1"/>
        <v>3399.2851738312575</v>
      </c>
      <c r="X5" s="28">
        <f ca="1"/>
        <v>3456.8315170402043</v>
      </c>
      <c r="Y5" s="28">
        <f ca="1"/>
        <v>3498.8484477871798</v>
      </c>
      <c r="Z5" s="28">
        <f ca="1"/>
        <v>3522.1686853581987</v>
      </c>
      <c r="AA5" s="28">
        <f ca="1"/>
        <v>3533.6382320146058</v>
      </c>
      <c r="AB5" s="28">
        <f ca="1"/>
        <v>3587.1884363155282</v>
      </c>
      <c r="AC5" s="28">
        <f ca="1"/>
        <v>3643.4642468046768</v>
      </c>
      <c r="AD5" s="28">
        <f ca="1"/>
        <v>3707.8490087546515</v>
      </c>
      <c r="AE5" s="28">
        <f ca="1"/>
        <v>3775.3582228031537</v>
      </c>
      <c r="AF5" s="28">
        <f ca="1"/>
        <v>3841.9794308299288</v>
      </c>
      <c r="AG5" s="28">
        <f ca="1"/>
        <v>3911.099196729414</v>
      </c>
      <c r="AH5" s="28">
        <f ca="1"/>
        <v>3979.2740985482278</v>
      </c>
      <c r="AI5" s="28">
        <f ca="1"/>
        <v>4050.0118238681753</v>
      </c>
      <c r="AJ5" s="28">
        <f ca="1"/>
        <v>4119.7590534917808</v>
      </c>
      <c r="AK5" s="29">
        <f ca="1"/>
        <v>4192.1084522146421</v>
      </c>
      <c r="AL5" s="3"/>
    </row>
    <row r="6" spans="2:38">
      <c r="B6" s="3"/>
      <c r="C6" s="23" t="s">
        <v>58</v>
      </c>
      <c r="D6" s="16" t="str">
        <f>"th " &amp; _yearDol &amp; "$"</f>
        <v>th 2013$</v>
      </c>
      <c r="E6" s="141">
        <f t="array" aca="1" ref="E6:AK6" ca="1">tiecU*tShpCnU</f>
        <v>427.26330313653898</v>
      </c>
      <c r="F6" s="28">
        <f ca="1"/>
        <v>436.16003227261518</v>
      </c>
      <c r="G6" s="28">
        <f ca="1"/>
        <v>434.08299070256078</v>
      </c>
      <c r="H6" s="28">
        <f ca="1"/>
        <v>433.68871862370503</v>
      </c>
      <c r="I6" s="28">
        <f ca="1"/>
        <v>433.14649289876337</v>
      </c>
      <c r="J6" s="28">
        <f ca="1"/>
        <v>431.85230496157095</v>
      </c>
      <c r="K6" s="28">
        <f ca="1"/>
        <v>431.05237975416065</v>
      </c>
      <c r="L6" s="28">
        <f ca="1"/>
        <v>432.99203579570644</v>
      </c>
      <c r="M6" s="28">
        <f ca="1"/>
        <v>433.35622938607207</v>
      </c>
      <c r="N6" s="28">
        <f ca="1"/>
        <v>433.82041362736408</v>
      </c>
      <c r="O6" s="28">
        <f ca="1"/>
        <v>435.14468005304644</v>
      </c>
      <c r="P6" s="28">
        <f ca="1"/>
        <v>437.93141136504107</v>
      </c>
      <c r="Q6" s="28">
        <f ca="1"/>
        <v>442.12614111121729</v>
      </c>
      <c r="R6" s="28">
        <f ca="1"/>
        <v>449.51406823006408</v>
      </c>
      <c r="S6" s="28">
        <f ca="1"/>
        <v>462.12589716071881</v>
      </c>
      <c r="T6" s="28">
        <f ca="1"/>
        <v>473.29558450809498</v>
      </c>
      <c r="U6" s="28">
        <f ca="1"/>
        <v>483.64664920926981</v>
      </c>
      <c r="V6" s="28">
        <f ca="1"/>
        <v>496.1284090005081</v>
      </c>
      <c r="W6" s="28">
        <f ca="1"/>
        <v>510.32382970355638</v>
      </c>
      <c r="X6" s="28">
        <f ca="1"/>
        <v>516.83948065619268</v>
      </c>
      <c r="Y6" s="28">
        <f ca="1"/>
        <v>520.79114369808462</v>
      </c>
      <c r="Z6" s="28">
        <f ca="1"/>
        <v>521.72764150188209</v>
      </c>
      <c r="AA6" s="28">
        <f ca="1"/>
        <v>521.17647352360541</v>
      </c>
      <c r="AB6" s="28">
        <f ca="1"/>
        <v>526.60442129787259</v>
      </c>
      <c r="AC6" s="28">
        <f ca="1"/>
        <v>532.65751387345949</v>
      </c>
      <c r="AD6" s="28">
        <f ca="1"/>
        <v>539.63572320314483</v>
      </c>
      <c r="AE6" s="28">
        <f ca="1"/>
        <v>546.78464827831419</v>
      </c>
      <c r="AF6" s="28">
        <f ca="1"/>
        <v>554.00673724440526</v>
      </c>
      <c r="AG6" s="28">
        <f ca="1"/>
        <v>561.30361596566058</v>
      </c>
      <c r="AH6" s="28">
        <f ca="1"/>
        <v>568.67691030632318</v>
      </c>
      <c r="AI6" s="28">
        <f ca="1"/>
        <v>576.13068492699949</v>
      </c>
      <c r="AJ6" s="28">
        <f ca="1"/>
        <v>583.66575275981097</v>
      </c>
      <c r="AK6" s="29">
        <f ca="1"/>
        <v>591.28455260112173</v>
      </c>
      <c r="AL6" s="3"/>
    </row>
    <row r="7" spans="2:38">
      <c r="B7" s="3"/>
      <c r="C7" s="23" t="s">
        <v>59</v>
      </c>
      <c r="D7" s="16" t="str">
        <f>"th " &amp; _yearDol &amp; "$"</f>
        <v>th 2013$</v>
      </c>
      <c r="E7" s="141">
        <f t="array" aca="1" ref="E7:AK7" ca="1">tecsU*tShpCnU</f>
        <v>3050.5442458612119</v>
      </c>
      <c r="F7" s="28">
        <f ca="1"/>
        <v>3127.7824409724653</v>
      </c>
      <c r="G7" s="28">
        <f ca="1"/>
        <v>3124.9646616201062</v>
      </c>
      <c r="H7" s="28">
        <f ca="1"/>
        <v>3135.2910492725105</v>
      </c>
      <c r="I7" s="28">
        <f ca="1"/>
        <v>3142.9089884264313</v>
      </c>
      <c r="J7" s="28">
        <f ca="1"/>
        <v>3146.0795958110621</v>
      </c>
      <c r="K7" s="28">
        <f ca="1"/>
        <v>3151.1579578964038</v>
      </c>
      <c r="L7" s="28">
        <f ca="1"/>
        <v>3177.3087081871918</v>
      </c>
      <c r="M7" s="28">
        <f ca="1"/>
        <v>3193.0617346938852</v>
      </c>
      <c r="N7" s="28">
        <f ca="1"/>
        <v>3207.9623047456471</v>
      </c>
      <c r="O7" s="28">
        <f ca="1"/>
        <v>3230.3347754196352</v>
      </c>
      <c r="P7" s="28">
        <f ca="1"/>
        <v>3264.8356918772756</v>
      </c>
      <c r="Q7" s="28">
        <f ca="1"/>
        <v>3308.454584345895</v>
      </c>
      <c r="R7" s="28">
        <f ca="1"/>
        <v>3377.4475324483165</v>
      </c>
      <c r="S7" s="28">
        <f ca="1"/>
        <v>3484.5965553479309</v>
      </c>
      <c r="T7" s="28">
        <f ca="1"/>
        <v>3582.687969262277</v>
      </c>
      <c r="U7" s="28">
        <f ca="1"/>
        <v>3676.5013135707213</v>
      </c>
      <c r="V7" s="28">
        <f ca="1"/>
        <v>3785.4700661629408</v>
      </c>
      <c r="W7" s="28">
        <f ca="1"/>
        <v>3909.6090035348138</v>
      </c>
      <c r="X7" s="28">
        <f ca="1"/>
        <v>3973.6709976963971</v>
      </c>
      <c r="Y7" s="28">
        <f ca="1"/>
        <v>4019.6395914852642</v>
      </c>
      <c r="Z7" s="28">
        <f ca="1"/>
        <v>4043.8963268600805</v>
      </c>
      <c r="AA7" s="28">
        <f ca="1"/>
        <v>4054.814705538211</v>
      </c>
      <c r="AB7" s="28">
        <f ca="1"/>
        <v>4113.7928576134009</v>
      </c>
      <c r="AC7" s="28">
        <f ca="1"/>
        <v>4176.1217606781365</v>
      </c>
      <c r="AD7" s="28">
        <f ca="1"/>
        <v>4247.4847319577966</v>
      </c>
      <c r="AE7" s="28">
        <f ca="1"/>
        <v>4322.142871081468</v>
      </c>
      <c r="AF7" s="28">
        <f ca="1"/>
        <v>4395.9861680743343</v>
      </c>
      <c r="AG7" s="28">
        <f ca="1"/>
        <v>4472.4028126950743</v>
      </c>
      <c r="AH7" s="28">
        <f ca="1"/>
        <v>4547.9510088545512</v>
      </c>
      <c r="AI7" s="28">
        <f ca="1"/>
        <v>4626.1425087951748</v>
      </c>
      <c r="AJ7" s="28">
        <f ca="1"/>
        <v>4703.4248062515917</v>
      </c>
      <c r="AK7" s="29">
        <f ca="1"/>
        <v>4783.3930048157636</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tsavUElec*tShpCnU</f>
        <v>647.85210485414416</v>
      </c>
      <c r="F9" s="24">
        <f ca="1"/>
        <v>656.37824910081235</v>
      </c>
      <c r="G9" s="24">
        <f ca="1"/>
        <v>648.27597599456442</v>
      </c>
      <c r="H9" s="24">
        <f ca="1"/>
        <v>643.32243859113214</v>
      </c>
      <c r="I9" s="24">
        <f ca="1"/>
        <v>638.38494450898884</v>
      </c>
      <c r="J9" s="24">
        <f ca="1"/>
        <v>632.89028237465379</v>
      </c>
      <c r="K9" s="24">
        <f ca="1"/>
        <v>628.94172119171185</v>
      </c>
      <c r="L9" s="24">
        <f ca="1"/>
        <v>629.46088795628305</v>
      </c>
      <c r="M9" s="24">
        <f ca="1"/>
        <v>627.66709995341091</v>
      </c>
      <c r="N9" s="24">
        <f ca="1"/>
        <v>626.47936468480805</v>
      </c>
      <c r="O9" s="24">
        <f ca="1"/>
        <v>627.10667448336903</v>
      </c>
      <c r="P9" s="24">
        <f ca="1"/>
        <v>630.17618258395032</v>
      </c>
      <c r="Q9" s="24">
        <f ca="1"/>
        <v>635.40824151274182</v>
      </c>
      <c r="R9" s="24">
        <f ca="1"/>
        <v>645.42272991376774</v>
      </c>
      <c r="S9" s="24">
        <f ca="1"/>
        <v>663.05849883537769</v>
      </c>
      <c r="T9" s="24">
        <f ca="1"/>
        <v>679.02406622383921</v>
      </c>
      <c r="U9" s="24">
        <f ca="1"/>
        <v>694.00140099438772</v>
      </c>
      <c r="V9" s="24">
        <f ca="1"/>
        <v>712.10327551471789</v>
      </c>
      <c r="W9" s="24">
        <f ca="1"/>
        <v>732.75976026221804</v>
      </c>
      <c r="X9" s="24">
        <f ca="1"/>
        <v>742.38481883175189</v>
      </c>
      <c r="Y9" s="24">
        <f ca="1"/>
        <v>748.28589469084375</v>
      </c>
      <c r="Z9" s="24">
        <f ca="1"/>
        <v>749.78248650461626</v>
      </c>
      <c r="AA9" s="24">
        <f ca="1"/>
        <v>749.08981410583749</v>
      </c>
      <c r="AB9" s="24">
        <f ca="1"/>
        <v>756.89143331883122</v>
      </c>
      <c r="AC9" s="24">
        <f ca="1"/>
        <v>765.59157659574453</v>
      </c>
      <c r="AD9" s="24">
        <f ca="1"/>
        <v>775.62139527544139</v>
      </c>
      <c r="AE9" s="24">
        <f ca="1"/>
        <v>785.89658463579269</v>
      </c>
      <c r="AF9" s="24">
        <f ca="1"/>
        <v>796.2769328592816</v>
      </c>
      <c r="AG9" s="24">
        <f ca="1"/>
        <v>806.76477680953326</v>
      </c>
      <c r="AH9" s="24">
        <f ca="1"/>
        <v>817.36245335017315</v>
      </c>
      <c r="AI9" s="24">
        <f ca="1"/>
        <v>828.07580464026421</v>
      </c>
      <c r="AJ9" s="24">
        <f ca="1"/>
        <v>838.90599911161928</v>
      </c>
      <c r="AK9" s="26">
        <f ca="1"/>
        <v>849.85654205967603</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INDEX(_doName,4,stdCSL+1)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38.393715502223586</v>
      </c>
      <c r="F13" s="28">
        <f ca="1"/>
        <v>38.59039295176126</v>
      </c>
      <c r="G13" s="28">
        <f ca="1"/>
        <v>38.764372993881352</v>
      </c>
      <c r="H13" s="28">
        <f ca="1"/>
        <v>38.95419455320598</v>
      </c>
      <c r="I13" s="28">
        <f ca="1"/>
        <v>39.120766654169074</v>
      </c>
      <c r="J13" s="28">
        <f ca="1"/>
        <v>39.302656238136933</v>
      </c>
      <c r="K13" s="28">
        <f ca="1"/>
        <v>39.460869076562176</v>
      </c>
      <c r="L13" s="28">
        <f ca="1"/>
        <v>39.633757484868056</v>
      </c>
      <c r="M13" s="28">
        <f ca="1"/>
        <v>39.822509814667228</v>
      </c>
      <c r="N13" s="28">
        <f ca="1"/>
        <v>39.987993997182002</v>
      </c>
      <c r="O13" s="28">
        <f ca="1"/>
        <v>40.168776359294952</v>
      </c>
      <c r="P13" s="28">
        <f ca="1"/>
        <v>40.366020691066751</v>
      </c>
      <c r="Q13" s="28">
        <f ca="1"/>
        <v>40.540648491677075</v>
      </c>
      <c r="R13" s="28">
        <f ca="1"/>
        <v>40.731353981291704</v>
      </c>
      <c r="S13" s="28">
        <f ca="1"/>
        <v>40.899002747292343</v>
      </c>
      <c r="T13" s="28">
        <f ca="1"/>
        <v>41.082229992799057</v>
      </c>
      <c r="U13" s="28">
        <f ca="1"/>
        <v>41.2821111590697</v>
      </c>
      <c r="V13" s="28">
        <f ca="1"/>
        <v>41.459668081859945</v>
      </c>
      <c r="W13" s="28">
        <f ca="1"/>
        <v>41.653613565455544</v>
      </c>
      <c r="X13" s="28">
        <f ca="1"/>
        <v>41.824760558093203</v>
      </c>
      <c r="Y13" s="28">
        <f ca="1"/>
        <v>42.01191451132263</v>
      </c>
      <c r="Z13" s="28">
        <f ca="1"/>
        <v>42.2160151327721</v>
      </c>
      <c r="AA13" s="28">
        <f ca="1"/>
        <v>42.39827759478294</v>
      </c>
      <c r="AB13" s="28">
        <f ca="1"/>
        <v>42.597157698286992</v>
      </c>
      <c r="AC13" s="28">
        <f ca="1"/>
        <v>42.773755860298934</v>
      </c>
      <c r="AD13" s="28">
        <f ca="1"/>
        <v>42.966727806221115</v>
      </c>
      <c r="AE13" s="28">
        <f ca="1"/>
        <v>43.177031939087556</v>
      </c>
      <c r="AF13" s="28">
        <f ca="1"/>
        <v>43.366155331920254</v>
      </c>
      <c r="AG13" s="28">
        <f ca="1"/>
        <v>43.572444249958153</v>
      </c>
      <c r="AH13" s="28">
        <f ca="1"/>
        <v>43.75716652714118</v>
      </c>
      <c r="AI13" s="28">
        <f ca="1"/>
        <v>43.958839275861919</v>
      </c>
      <c r="AJ13" s="28">
        <f ca="1"/>
        <v>44.138598306390577</v>
      </c>
      <c r="AK13" s="29">
        <f ca="1"/>
        <v>44.335019954628024</v>
      </c>
      <c r="AL13" s="3"/>
    </row>
    <row r="14" spans="2:38">
      <c r="B14" s="3"/>
      <c r="C14" s="23" t="s">
        <v>58</v>
      </c>
      <c r="D14" s="16" t="str">
        <f>_yearDol &amp; "$"</f>
        <v>2013$</v>
      </c>
      <c r="E14" s="141">
        <f t="array" aca="1" ref="E14:AK14" ca="1">tlccQmpol-tlccQmbc</f>
        <v>6.2533240103998651</v>
      </c>
      <c r="F14" s="28">
        <f ca="1"/>
        <v>6.2533240103998651</v>
      </c>
      <c r="G14" s="28">
        <f ca="1"/>
        <v>6.2533240103998651</v>
      </c>
      <c r="H14" s="28">
        <f ca="1"/>
        <v>6.2533240103998651</v>
      </c>
      <c r="I14" s="28">
        <f ca="1"/>
        <v>6.2533240103998651</v>
      </c>
      <c r="J14" s="28">
        <f ca="1"/>
        <v>6.2533240103998651</v>
      </c>
      <c r="K14" s="28">
        <f ca="1"/>
        <v>6.2533240103998651</v>
      </c>
      <c r="L14" s="28">
        <f ca="1"/>
        <v>6.2533240103998651</v>
      </c>
      <c r="M14" s="28">
        <f ca="1"/>
        <v>6.2533240103998651</v>
      </c>
      <c r="N14" s="28">
        <f ca="1"/>
        <v>6.2533240103998651</v>
      </c>
      <c r="O14" s="28">
        <f ca="1"/>
        <v>6.2533240103998651</v>
      </c>
      <c r="P14" s="28">
        <f ca="1"/>
        <v>6.2533240103998651</v>
      </c>
      <c r="Q14" s="28">
        <f ca="1"/>
        <v>6.2533240103998651</v>
      </c>
      <c r="R14" s="28">
        <f ca="1"/>
        <v>6.2533240103998651</v>
      </c>
      <c r="S14" s="28">
        <f ca="1"/>
        <v>6.2533240103998651</v>
      </c>
      <c r="T14" s="28">
        <f ca="1"/>
        <v>6.2533240103998651</v>
      </c>
      <c r="U14" s="28">
        <f ca="1"/>
        <v>6.2533240103998651</v>
      </c>
      <c r="V14" s="28">
        <f ca="1"/>
        <v>6.2533240103998651</v>
      </c>
      <c r="W14" s="28">
        <f ca="1"/>
        <v>6.2533240103998651</v>
      </c>
      <c r="X14" s="28">
        <f ca="1"/>
        <v>6.2533240103998651</v>
      </c>
      <c r="Y14" s="28">
        <f ca="1"/>
        <v>6.2533240103998651</v>
      </c>
      <c r="Z14" s="28">
        <f ca="1"/>
        <v>6.2533240103998651</v>
      </c>
      <c r="AA14" s="28">
        <f ca="1"/>
        <v>6.2533240103998651</v>
      </c>
      <c r="AB14" s="28">
        <f ca="1"/>
        <v>6.2533240103998651</v>
      </c>
      <c r="AC14" s="28">
        <f ca="1"/>
        <v>6.2533240103998651</v>
      </c>
      <c r="AD14" s="28">
        <f ca="1"/>
        <v>6.2533240103998651</v>
      </c>
      <c r="AE14" s="28">
        <f ca="1"/>
        <v>6.2533240103998651</v>
      </c>
      <c r="AF14" s="28">
        <f ca="1"/>
        <v>6.2533240103998651</v>
      </c>
      <c r="AG14" s="28">
        <f ca="1"/>
        <v>6.2533240103998651</v>
      </c>
      <c r="AH14" s="28">
        <f ca="1"/>
        <v>6.2533240103998651</v>
      </c>
      <c r="AI14" s="28">
        <f ca="1"/>
        <v>6.2533240103998651</v>
      </c>
      <c r="AJ14" s="28">
        <f ca="1"/>
        <v>6.2533240103998651</v>
      </c>
      <c r="AK14" s="29">
        <f ca="1"/>
        <v>6.2533240103998651</v>
      </c>
      <c r="AL14" s="3"/>
    </row>
    <row r="15" spans="2:38">
      <c r="B15" s="3"/>
      <c r="C15" s="23" t="s">
        <v>59</v>
      </c>
      <c r="D15" s="16" t="str">
        <f>_yearDol &amp; "$"</f>
        <v>2013$</v>
      </c>
      <c r="E15" s="141">
        <f t="array" aca="1" ref="E15:AK15" ca="1">tlccEmbc-tlccEmpol</f>
        <v>44.647039512623451</v>
      </c>
      <c r="F15" s="28">
        <f ca="1"/>
        <v>44.843716962161125</v>
      </c>
      <c r="G15" s="28">
        <f ca="1"/>
        <v>45.017697004281217</v>
      </c>
      <c r="H15" s="28">
        <f ca="1"/>
        <v>45.207518563605845</v>
      </c>
      <c r="I15" s="28">
        <f ca="1"/>
        <v>45.374090664568939</v>
      </c>
      <c r="J15" s="28">
        <f ca="1"/>
        <v>45.555980248536798</v>
      </c>
      <c r="K15" s="28">
        <f ca="1"/>
        <v>45.714193086962041</v>
      </c>
      <c r="L15" s="28">
        <f ca="1"/>
        <v>45.887081495267921</v>
      </c>
      <c r="M15" s="28">
        <f ca="1"/>
        <v>46.075833825067093</v>
      </c>
      <c r="N15" s="28">
        <f ca="1"/>
        <v>46.241318007581867</v>
      </c>
      <c r="O15" s="28">
        <f ca="1"/>
        <v>46.422100369694817</v>
      </c>
      <c r="P15" s="28">
        <f ca="1"/>
        <v>46.619344701466616</v>
      </c>
      <c r="Q15" s="28">
        <f ca="1"/>
        <v>46.79397250207694</v>
      </c>
      <c r="R15" s="28">
        <f ca="1"/>
        <v>46.984677991691569</v>
      </c>
      <c r="S15" s="28">
        <f ca="1"/>
        <v>47.152326757692208</v>
      </c>
      <c r="T15" s="28">
        <f ca="1"/>
        <v>47.335554003198922</v>
      </c>
      <c r="U15" s="28">
        <f ca="1"/>
        <v>47.535435169469565</v>
      </c>
      <c r="V15" s="28">
        <f ca="1"/>
        <v>47.71299209225981</v>
      </c>
      <c r="W15" s="28">
        <f ca="1"/>
        <v>47.906937575855409</v>
      </c>
      <c r="X15" s="28">
        <f ca="1"/>
        <v>48.078084568493068</v>
      </c>
      <c r="Y15" s="28">
        <f ca="1"/>
        <v>48.265238521722495</v>
      </c>
      <c r="Z15" s="28">
        <f ca="1"/>
        <v>48.469339143171965</v>
      </c>
      <c r="AA15" s="28">
        <f ca="1"/>
        <v>48.651601605182805</v>
      </c>
      <c r="AB15" s="28">
        <f ca="1"/>
        <v>48.850481708686857</v>
      </c>
      <c r="AC15" s="28">
        <f ca="1"/>
        <v>49.027079870698799</v>
      </c>
      <c r="AD15" s="28">
        <f ca="1"/>
        <v>49.22005181662098</v>
      </c>
      <c r="AE15" s="28">
        <f ca="1"/>
        <v>49.430355949487421</v>
      </c>
      <c r="AF15" s="28">
        <f ca="1"/>
        <v>49.619479342320119</v>
      </c>
      <c r="AG15" s="28">
        <f ca="1"/>
        <v>49.825768260358018</v>
      </c>
      <c r="AH15" s="28">
        <f ca="1"/>
        <v>50.010490537541045</v>
      </c>
      <c r="AI15" s="28">
        <f ca="1"/>
        <v>50.212163286261784</v>
      </c>
      <c r="AJ15" s="28">
        <f ca="1"/>
        <v>50.391922316790442</v>
      </c>
      <c r="AK15" s="29">
        <f ca="1"/>
        <v>50.588343965027889</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9.481809209291896</v>
      </c>
      <c r="F17" s="24">
        <f ca="1"/>
        <v>9.4106418775227212</v>
      </c>
      <c r="G17" s="24">
        <f ca="1"/>
        <v>9.3389508754789858</v>
      </c>
      <c r="H17" s="24">
        <f ca="1"/>
        <v>9.2760163659258978</v>
      </c>
      <c r="I17" s="24">
        <f ca="1"/>
        <v>9.2163458941104182</v>
      </c>
      <c r="J17" s="24">
        <f ca="1"/>
        <v>9.1644017022772459</v>
      </c>
      <c r="K17" s="24">
        <f ca="1"/>
        <v>9.1241263266274473</v>
      </c>
      <c r="L17" s="24">
        <f ca="1"/>
        <v>9.0907512352532649</v>
      </c>
      <c r="M17" s="24">
        <f ca="1"/>
        <v>9.0572270121447218</v>
      </c>
      <c r="N17" s="24">
        <f ca="1"/>
        <v>9.0304151905784238</v>
      </c>
      <c r="O17" s="24">
        <f ca="1"/>
        <v>9.0119479896911798</v>
      </c>
      <c r="P17" s="24">
        <f ca="1"/>
        <v>8.9984316061072604</v>
      </c>
      <c r="Q17" s="24">
        <f ca="1"/>
        <v>8.987058768049792</v>
      </c>
      <c r="R17" s="24">
        <f ca="1"/>
        <v>8.9786677193869764</v>
      </c>
      <c r="S17" s="24">
        <f ca="1"/>
        <v>8.9722728298538641</v>
      </c>
      <c r="T17" s="24">
        <f ca="1"/>
        <v>8.9714707593775529</v>
      </c>
      <c r="U17" s="24">
        <f ca="1"/>
        <v>8.9731121495096886</v>
      </c>
      <c r="V17" s="24">
        <f ca="1"/>
        <v>8.9755241382599706</v>
      </c>
      <c r="W17" s="24">
        <f ca="1"/>
        <v>8.9789736163493217</v>
      </c>
      <c r="X17" s="24">
        <f ca="1"/>
        <v>8.9822333360889388</v>
      </c>
      <c r="Y17" s="24">
        <f ca="1"/>
        <v>8.9849341881790679</v>
      </c>
      <c r="Z17" s="24">
        <f ca="1"/>
        <v>8.9867441409460298</v>
      </c>
      <c r="AA17" s="24">
        <f ca="1"/>
        <v>8.9879370203034341</v>
      </c>
      <c r="AB17" s="24">
        <f ca="1"/>
        <v>8.9879370203034341</v>
      </c>
      <c r="AC17" s="24">
        <f ca="1"/>
        <v>8.9879370203034341</v>
      </c>
      <c r="AD17" s="24">
        <f ca="1"/>
        <v>8.9879370203034341</v>
      </c>
      <c r="AE17" s="24">
        <f ca="1"/>
        <v>8.9879370203034341</v>
      </c>
      <c r="AF17" s="24">
        <f ca="1"/>
        <v>8.9879370203034341</v>
      </c>
      <c r="AG17" s="24">
        <f ca="1"/>
        <v>8.9879370203034341</v>
      </c>
      <c r="AH17" s="24">
        <f ca="1"/>
        <v>8.9879370203034341</v>
      </c>
      <c r="AI17" s="24">
        <f ca="1"/>
        <v>8.9879370203034341</v>
      </c>
      <c r="AJ17" s="24">
        <f ca="1"/>
        <v>8.9879370203034341</v>
      </c>
      <c r="AK17" s="26">
        <f ca="1"/>
        <v>8.9879370203034341</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INDEX(_doName,4,1)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1677.8832471234</v>
      </c>
      <c r="F21" s="28">
        <f ca="1">SUMPRODUCT(INDEX(bcEff,,2),INDEX(tlccQubc,,2))</f>
        <v>1677.8832471234</v>
      </c>
      <c r="G21" s="28">
        <f ca="1">SUMPRODUCT(INDEX(bcEff,,3),INDEX(tlccQubc,,3))</f>
        <v>1677.8832471234</v>
      </c>
      <c r="H21" s="28">
        <f ca="1">SUMPRODUCT(INDEX(bcEff,,4),INDEX(tlccQubc,,4))</f>
        <v>1677.8832471234</v>
      </c>
      <c r="I21" s="28">
        <f ca="1">SUMPRODUCT(INDEX(bcEff,,5),INDEX(tlccQubc,,5))</f>
        <v>1677.8832471234</v>
      </c>
      <c r="J21" s="28">
        <f ca="1">SUMPRODUCT(INDEX(bcEff,,6),INDEX(tlccQubc,,6))</f>
        <v>1677.8832471234</v>
      </c>
      <c r="K21" s="28">
        <f ca="1">SUMPRODUCT(INDEX(bcEff,,7),INDEX(tlccQubc,,7))</f>
        <v>1677.8832471234</v>
      </c>
      <c r="L21" s="28">
        <f ca="1">SUMPRODUCT(INDEX(bcEff,,8),INDEX(tlccQubc,,8))</f>
        <v>1677.8832471234</v>
      </c>
      <c r="M21" s="28">
        <f ca="1">SUMPRODUCT(INDEX(bcEff,,9),INDEX(tlccQubc,,9))</f>
        <v>1677.8832471234</v>
      </c>
      <c r="N21" s="28">
        <f ca="1">SUMPRODUCT(INDEX(bcEff,,10),INDEX(tlccQubc,,10))</f>
        <v>1677.8832471234</v>
      </c>
      <c r="O21" s="28">
        <f ca="1">SUMPRODUCT(INDEX(bcEff,,11),INDEX(tlccQubc,,11))</f>
        <v>1677.8832471234</v>
      </c>
      <c r="P21" s="28">
        <f ca="1">SUMPRODUCT(INDEX(bcEff,,12),INDEX(tlccQubc,,12))</f>
        <v>1677.8832471234</v>
      </c>
      <c r="Q21" s="28">
        <f ca="1">SUMPRODUCT(INDEX(bcEff,,13),INDEX(tlccQubc,,13))</f>
        <v>1677.8832471234</v>
      </c>
      <c r="R21" s="28">
        <f ca="1">SUMPRODUCT(INDEX(bcEff,,14),INDEX(tlccQubc,,14))</f>
        <v>1677.8832471234</v>
      </c>
      <c r="S21" s="28">
        <f ca="1">SUMPRODUCT(INDEX(bcEff,,15),INDEX(tlccQubc,,15))</f>
        <v>1677.8832471234</v>
      </c>
      <c r="T21" s="28">
        <f ca="1">SUMPRODUCT(INDEX(bcEff,,16),INDEX(tlccQubc,,16))</f>
        <v>1677.8832471234</v>
      </c>
      <c r="U21" s="28">
        <f ca="1">SUMPRODUCT(INDEX(bcEff,,17),INDEX(tlccQubc,,17))</f>
        <v>1677.8832471234</v>
      </c>
      <c r="V21" s="28">
        <f ca="1">SUMPRODUCT(INDEX(bcEff,,18),INDEX(tlccQubc,,18))</f>
        <v>1677.8832471234</v>
      </c>
      <c r="W21" s="28">
        <f ca="1">SUMPRODUCT(INDEX(bcEff,,19),INDEX(tlccQubc,,19))</f>
        <v>1677.8832471234</v>
      </c>
      <c r="X21" s="28">
        <f ca="1">SUMPRODUCT(INDEX(bcEff,,20),INDEX(tlccQubc,,20))</f>
        <v>1677.8832471234</v>
      </c>
      <c r="Y21" s="28">
        <f ca="1">SUMPRODUCT(INDEX(bcEff,,21),INDEX(tlccQubc,,21))</f>
        <v>1677.8832471234</v>
      </c>
      <c r="Z21" s="28">
        <f ca="1">SUMPRODUCT(INDEX(bcEff,,22),INDEX(tlccQubc,,22))</f>
        <v>1677.8832471234</v>
      </c>
      <c r="AA21" s="28">
        <f ca="1">SUMPRODUCT(INDEX(bcEff,,23),INDEX(tlccQubc,,23))</f>
        <v>1677.8832471234</v>
      </c>
      <c r="AB21" s="28">
        <f ca="1">SUMPRODUCT(INDEX(bcEff,,24),INDEX(tlccQubc,,24))</f>
        <v>1677.8832471234</v>
      </c>
      <c r="AC21" s="28">
        <f ca="1">SUMPRODUCT(INDEX(bcEff,,25),INDEX(tlccQubc,,25))</f>
        <v>1677.8832471234</v>
      </c>
      <c r="AD21" s="28">
        <f ca="1">SUMPRODUCT(INDEX(bcEff,,26),INDEX(tlccQubc,,26))</f>
        <v>1677.8832471234</v>
      </c>
      <c r="AE21" s="28">
        <f ca="1">SUMPRODUCT(INDEX(bcEff,,27),INDEX(tlccQubc,,27))</f>
        <v>1677.8832471234</v>
      </c>
      <c r="AF21" s="28">
        <f ca="1">SUMPRODUCT(INDEX(bcEff,,28),INDEX(tlccQubc,,28))</f>
        <v>1677.8832471234</v>
      </c>
      <c r="AG21" s="28">
        <f ca="1">SUMPRODUCT(INDEX(bcEff,,29),INDEX(tlccQubc,,29))</f>
        <v>1677.8832471234</v>
      </c>
      <c r="AH21" s="28">
        <f ca="1">SUMPRODUCT(INDEX(bcEff,,30),INDEX(tlccQubc,,30))</f>
        <v>1677.8832471234</v>
      </c>
      <c r="AI21" s="28">
        <f ca="1">SUMPRODUCT(INDEX(bcEff,,31),INDEX(tlccQubc,,31))</f>
        <v>1677.8832471234</v>
      </c>
      <c r="AJ21" s="28">
        <f ca="1">SUMPRODUCT(INDEX(bcEff,,32),INDEX(tlccQubc,,32))</f>
        <v>1677.8832471234</v>
      </c>
      <c r="AK21" s="29">
        <f ca="1">SUMPRODUCT(INDEX(bcEff,,33),INDEX(tlccQubc,,33))</f>
        <v>1677.8832471234</v>
      </c>
      <c r="AL21" s="3"/>
    </row>
    <row r="22" spans="2:38">
      <c r="B22" s="3"/>
      <c r="C22" s="23" t="s">
        <v>47</v>
      </c>
      <c r="D22" s="16" t="str">
        <f>_yearDol &amp; "$"</f>
        <v>2013$</v>
      </c>
      <c r="E22" s="141">
        <f ca="1">SUMPRODUCT(INDEX(bcEff,,1),INDEX(tlccEubc,,1))</f>
        <v>39776.582361267108</v>
      </c>
      <c r="F22" s="28">
        <f ca="1">SUMPRODUCT(INDEX(bcEff,,2),INDEX(tlccEubc,,2))</f>
        <v>39951.80465720041</v>
      </c>
      <c r="G22" s="28">
        <f ca="1">SUMPRODUCT(INDEX(bcEff,,3),INDEX(tlccEubc,,3))</f>
        <v>40106.805560962035</v>
      </c>
      <c r="H22" s="28">
        <f ca="1">SUMPRODUCT(INDEX(bcEff,,4),INDEX(tlccEubc,,4))</f>
        <v>40275.919862183509</v>
      </c>
      <c r="I22" s="28">
        <f ca="1">SUMPRODUCT(INDEX(bcEff,,5),INDEX(tlccEubc,,5))</f>
        <v>40424.320942412567</v>
      </c>
      <c r="J22" s="28">
        <f ca="1">SUMPRODUCT(INDEX(bcEff,,6),INDEX(tlccEubc,,6))</f>
        <v>40586.368551755964</v>
      </c>
      <c r="K22" s="28">
        <f ca="1">SUMPRODUCT(INDEX(bcEff,,7),INDEX(tlccEubc,,7))</f>
        <v>40727.322264854942</v>
      </c>
      <c r="L22" s="28">
        <f ca="1">SUMPRODUCT(INDEX(bcEff,,8),INDEX(tlccEubc,,8))</f>
        <v>40881.350618969678</v>
      </c>
      <c r="M22" s="28">
        <f ca="1">SUMPRODUCT(INDEX(bcEff,,9),INDEX(tlccEubc,,9))</f>
        <v>41049.512330792335</v>
      </c>
      <c r="N22" s="28">
        <f ca="1">SUMPRODUCT(INDEX(bcEff,,10),INDEX(tlccEubc,,10))</f>
        <v>41196.944171455674</v>
      </c>
      <c r="O22" s="28">
        <f ca="1">SUMPRODUCT(INDEX(bcEff,,11),INDEX(tlccEubc,,11))</f>
        <v>41358.005343577002</v>
      </c>
      <c r="P22" s="28">
        <f ca="1">SUMPRODUCT(INDEX(bcEff,,12),INDEX(tlccEubc,,12))</f>
        <v>41533.732681681402</v>
      </c>
      <c r="Q22" s="28">
        <f ca="1">SUMPRODUCT(INDEX(bcEff,,13),INDEX(tlccEubc,,13))</f>
        <v>41689.310681245508</v>
      </c>
      <c r="R22" s="28">
        <f ca="1">SUMPRODUCT(INDEX(bcEff,,14),INDEX(tlccEubc,,14))</f>
        <v>41859.212486550692</v>
      </c>
      <c r="S22" s="28">
        <f ca="1">SUMPRODUCT(INDEX(bcEff,,15),INDEX(tlccEubc,,15))</f>
        <v>42008.572780564624</v>
      </c>
      <c r="T22" s="28">
        <f ca="1">SUMPRODUCT(INDEX(bcEff,,16),INDEX(tlccEubc,,16))</f>
        <v>42171.812128598489</v>
      </c>
      <c r="U22" s="28">
        <f ca="1">SUMPRODUCT(INDEX(bcEff,,17),INDEX(tlccEubc,,17))</f>
        <v>42349.888654146518</v>
      </c>
      <c r="V22" s="28">
        <f ca="1">SUMPRODUCT(INDEX(bcEff,,18),INDEX(tlccEubc,,18))</f>
        <v>42508.076243749078</v>
      </c>
      <c r="W22" s="28">
        <f ca="1">SUMPRODUCT(INDEX(bcEff,,19),INDEX(tlccEubc,,19))</f>
        <v>42680.864598499233</v>
      </c>
      <c r="X22" s="28">
        <f ca="1">SUMPRODUCT(INDEX(bcEff,,20),INDEX(tlccEubc,,20))</f>
        <v>42833.341504533644</v>
      </c>
      <c r="Y22" s="28">
        <f ca="1">SUMPRODUCT(INDEX(bcEff,,21),INDEX(tlccEubc,,21))</f>
        <v>43000.079203517562</v>
      </c>
      <c r="Z22" s="28">
        <f ca="1">SUMPRODUCT(INDEX(bcEff,,22),INDEX(tlccEubc,,22))</f>
        <v>43181.914892234126</v>
      </c>
      <c r="AA22" s="28">
        <f ca="1">SUMPRODUCT(INDEX(bcEff,,23),INDEX(tlccEubc,,23))</f>
        <v>43344.294703099084</v>
      </c>
      <c r="AB22" s="28">
        <f ca="1">SUMPRODUCT(INDEX(bcEff,,24),INDEX(tlccEubc,,24))</f>
        <v>43521.479369842469</v>
      </c>
      <c r="AC22" s="28">
        <f ca="1">SUMPRODUCT(INDEX(bcEff,,25),INDEX(tlccEubc,,25))</f>
        <v>43678.812787977906</v>
      </c>
      <c r="AD22" s="28">
        <f ca="1">SUMPRODUCT(INDEX(bcEff,,26),INDEX(tlccEubc,,26))</f>
        <v>43850.73380634551</v>
      </c>
      <c r="AE22" s="28">
        <f ca="1">SUMPRODUCT(INDEX(bcEff,,27),INDEX(tlccEubc,,27))</f>
        <v>44038.096277701159</v>
      </c>
      <c r="AF22" s="28">
        <f ca="1">SUMPRODUCT(INDEX(bcEff,,28),INDEX(tlccEubc,,28))</f>
        <v>44206.588574033012</v>
      </c>
      <c r="AG22" s="28">
        <f ca="1">SUMPRODUCT(INDEX(bcEff,,29),INDEX(tlccEubc,,29))</f>
        <v>44390.373842397428</v>
      </c>
      <c r="AH22" s="28">
        <f ca="1">SUMPRODUCT(INDEX(bcEff,,30),INDEX(tlccEubc,,30))</f>
        <v>44554.945132057343</v>
      </c>
      <c r="AI22" s="28">
        <f ca="1">SUMPRODUCT(INDEX(bcEff,,31),INDEX(tlccEubc,,31))</f>
        <v>44734.617799877873</v>
      </c>
      <c r="AJ22" s="28">
        <f ca="1">SUMPRODUCT(INDEX(bcEff,,32),INDEX(tlccEubc,,32))</f>
        <v>44894.767273644531</v>
      </c>
      <c r="AK22" s="29">
        <f ca="1">SUMPRODUCT(INDEX(bcEff,,33),INDEX(tlccEubc,,33))</f>
        <v>45069.761673133013</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8447.4574140697314</v>
      </c>
      <c r="F24" s="22">
        <f ca="1">SUMPRODUCT(INDEX(bcEff,,2),INDEX(tlccFubcElec,,2))</f>
        <v>8384.0535856319966</v>
      </c>
      <c r="G24" s="22">
        <f ca="1">SUMPRODUCT(INDEX(bcEff,,3),INDEX(tlccFubcElec,,3))</f>
        <v>8320.1832130726089</v>
      </c>
      <c r="H24" s="22">
        <f ca="1">SUMPRODUCT(INDEX(bcEff,,4),INDEX(tlccFubcElec,,4))</f>
        <v>8264.1141045739096</v>
      </c>
      <c r="I24" s="22">
        <f ca="1">SUMPRODUCT(INDEX(bcEff,,5),INDEX(tlccFubcElec,,5))</f>
        <v>8210.9529663951653</v>
      </c>
      <c r="J24" s="22">
        <f ca="1">SUMPRODUCT(INDEX(bcEff,,6),INDEX(tlccFubcElec,,6))</f>
        <v>8164.6752636154488</v>
      </c>
      <c r="K24" s="22">
        <f ca="1">SUMPRODUCT(INDEX(bcEff,,7),INDEX(tlccFubcElec,,7))</f>
        <v>8128.7934489602721</v>
      </c>
      <c r="L24" s="22">
        <f ca="1">SUMPRODUCT(INDEX(bcEff,,8),INDEX(tlccFubcElec,,8))</f>
        <v>8099.0591802303188</v>
      </c>
      <c r="M24" s="22">
        <f ca="1">SUMPRODUCT(INDEX(bcEff,,9),INDEX(tlccFubcElec,,9))</f>
        <v>8069.1920482523747</v>
      </c>
      <c r="N24" s="22">
        <f ca="1">SUMPRODUCT(INDEX(bcEff,,10),INDEX(tlccFubcElec,,10))</f>
        <v>8045.3050752205245</v>
      </c>
      <c r="O24" s="22">
        <f ca="1">SUMPRODUCT(INDEX(bcEff,,11),INDEX(tlccFubcElec,,11))</f>
        <v>8028.852424718496</v>
      </c>
      <c r="P24" s="22">
        <f ca="1">SUMPRODUCT(INDEX(bcEff,,12),INDEX(tlccFubcElec,,12))</f>
        <v>8016.8105166606638</v>
      </c>
      <c r="Q24" s="22">
        <f ca="1">SUMPRODUCT(INDEX(bcEff,,13),INDEX(tlccFubcElec,,13))</f>
        <v>8006.6783189919342</v>
      </c>
      <c r="R24" s="22">
        <f ca="1">SUMPRODUCT(INDEX(bcEff,,14),INDEX(tlccFubcElec,,14))</f>
        <v>7999.2026332149717</v>
      </c>
      <c r="S24" s="22">
        <f ca="1">SUMPRODUCT(INDEX(bcEff,,15),INDEX(tlccFubcElec,,15))</f>
        <v>7993.5053495218272</v>
      </c>
      <c r="T24" s="22">
        <f ca="1">SUMPRODUCT(INDEX(bcEff,,16),INDEX(tlccFubcElec,,16))</f>
        <v>7992.7907753253185</v>
      </c>
      <c r="U24" s="22">
        <f ca="1">SUMPRODUCT(INDEX(bcEff,,17),INDEX(tlccFubcElec,,17))</f>
        <v>7994.2531094578953</v>
      </c>
      <c r="V24" s="22">
        <f ca="1">SUMPRODUCT(INDEX(bcEff,,18),INDEX(tlccFubcElec,,18))</f>
        <v>7996.4019791300534</v>
      </c>
      <c r="W24" s="22">
        <f ca="1">SUMPRODUCT(INDEX(bcEff,,19),INDEX(tlccFubcElec,,19))</f>
        <v>7999.475160483561</v>
      </c>
      <c r="X24" s="22">
        <f ca="1">SUMPRODUCT(INDEX(bcEff,,20),INDEX(tlccFubcElec,,20))</f>
        <v>8002.3792838504423</v>
      </c>
      <c r="Y24" s="22">
        <f ca="1">SUMPRODUCT(INDEX(bcEff,,21),INDEX(tlccFubcElec,,21))</f>
        <v>8004.7855053329822</v>
      </c>
      <c r="Z24" s="22">
        <f ca="1">SUMPRODUCT(INDEX(bcEff,,22),INDEX(tlccFubcElec,,22))</f>
        <v>8006.3980139357755</v>
      </c>
      <c r="AA24" s="22">
        <f ca="1">SUMPRODUCT(INDEX(bcEff,,23),INDEX(tlccFubcElec,,23))</f>
        <v>8007.460764444244</v>
      </c>
      <c r="AB24" s="22">
        <f ca="1">SUMPRODUCT(INDEX(bcEff,,24),INDEX(tlccFubcElec,,24))</f>
        <v>8007.460764444244</v>
      </c>
      <c r="AC24" s="22">
        <f ca="1">SUMPRODUCT(INDEX(bcEff,,25),INDEX(tlccFubcElec,,25))</f>
        <v>8007.460764444244</v>
      </c>
      <c r="AD24" s="22">
        <f ca="1">SUMPRODUCT(INDEX(bcEff,,26),INDEX(tlccFubcElec,,26))</f>
        <v>8007.460764444244</v>
      </c>
      <c r="AE24" s="22">
        <f ca="1">SUMPRODUCT(INDEX(bcEff,,27),INDEX(tlccFubcElec,,27))</f>
        <v>8007.460764444244</v>
      </c>
      <c r="AF24" s="22">
        <f ca="1">SUMPRODUCT(INDEX(bcEff,,28),INDEX(tlccFubcElec,,28))</f>
        <v>8007.460764444244</v>
      </c>
      <c r="AG24" s="22">
        <f ca="1">SUMPRODUCT(INDEX(bcEff,,29),INDEX(tlccFubcElec,,29))</f>
        <v>8007.460764444244</v>
      </c>
      <c r="AH24" s="22">
        <f ca="1">SUMPRODUCT(INDEX(bcEff,,30),INDEX(tlccFubcElec,,30))</f>
        <v>8007.460764444244</v>
      </c>
      <c r="AI24" s="22">
        <f ca="1">SUMPRODUCT(INDEX(bcEff,,31),INDEX(tlccFubcElec,,31))</f>
        <v>8007.460764444244</v>
      </c>
      <c r="AJ24" s="22">
        <f ca="1">SUMPRODUCT(INDEX(bcEff,,32),INDEX(tlccFubcElec,,32))</f>
        <v>8007.460764444244</v>
      </c>
      <c r="AK24" s="25">
        <f ca="1">SUMPRODUCT(INDEX(bcEff,,33),INDEX(tlccFubcElec,,33))</f>
        <v>8007.460764444244</v>
      </c>
      <c r="AL24" s="3"/>
    </row>
    <row r="25" spans="2:38">
      <c r="B25" s="3"/>
      <c r="C25" s="30" t="str">
        <f>"Std (CSL " &amp; stdCSL &amp; "): " &amp; INDEX(_doName,4,stdCSL+1)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1684.1365711337999</v>
      </c>
      <c r="F26" s="28">
        <f ca="1">SUMPRODUCT(INDEX(polEff,,2),INDEX(tlccQupol,,2))</f>
        <v>1684.1365711337999</v>
      </c>
      <c r="G26" s="28">
        <f ca="1">SUMPRODUCT(INDEX(polEff,,3),INDEX(tlccQupol,,3))</f>
        <v>1684.1365711337999</v>
      </c>
      <c r="H26" s="28">
        <f ca="1">SUMPRODUCT(INDEX(polEff,,4),INDEX(tlccQupol,,4))</f>
        <v>1684.1365711337999</v>
      </c>
      <c r="I26" s="28">
        <f ca="1">SUMPRODUCT(INDEX(polEff,,5),INDEX(tlccQupol,,5))</f>
        <v>1684.1365711337999</v>
      </c>
      <c r="J26" s="28">
        <f ca="1">SUMPRODUCT(INDEX(polEff,,6),INDEX(tlccQupol,,6))</f>
        <v>1684.1365711337999</v>
      </c>
      <c r="K26" s="28">
        <f ca="1">SUMPRODUCT(INDEX(polEff,,7),INDEX(tlccQupol,,7))</f>
        <v>1684.1365711337999</v>
      </c>
      <c r="L26" s="28">
        <f ca="1">SUMPRODUCT(INDEX(polEff,,8),INDEX(tlccQupol,,8))</f>
        <v>1684.1365711337999</v>
      </c>
      <c r="M26" s="28">
        <f ca="1">SUMPRODUCT(INDEX(polEff,,9),INDEX(tlccQupol,,9))</f>
        <v>1684.1365711337999</v>
      </c>
      <c r="N26" s="28">
        <f ca="1">SUMPRODUCT(INDEX(polEff,,10),INDEX(tlccQupol,,10))</f>
        <v>1684.1365711337999</v>
      </c>
      <c r="O26" s="28">
        <f ca="1">SUMPRODUCT(INDEX(polEff,,11),INDEX(tlccQupol,,11))</f>
        <v>1684.1365711337999</v>
      </c>
      <c r="P26" s="28">
        <f ca="1">SUMPRODUCT(INDEX(polEff,,12),INDEX(tlccQupol,,12))</f>
        <v>1684.1365711337999</v>
      </c>
      <c r="Q26" s="28">
        <f ca="1">SUMPRODUCT(INDEX(polEff,,13),INDEX(tlccQupol,,13))</f>
        <v>1684.1365711337999</v>
      </c>
      <c r="R26" s="28">
        <f ca="1">SUMPRODUCT(INDEX(polEff,,14),INDEX(tlccQupol,,14))</f>
        <v>1684.1365711337999</v>
      </c>
      <c r="S26" s="28">
        <f ca="1">SUMPRODUCT(INDEX(polEff,,15),INDEX(tlccQupol,,15))</f>
        <v>1684.1365711337999</v>
      </c>
      <c r="T26" s="28">
        <f ca="1">SUMPRODUCT(INDEX(polEff,,16),INDEX(tlccQupol,,16))</f>
        <v>1684.1365711337999</v>
      </c>
      <c r="U26" s="28">
        <f ca="1">SUMPRODUCT(INDEX(polEff,,17),INDEX(tlccQupol,,17))</f>
        <v>1684.1365711337999</v>
      </c>
      <c r="V26" s="28">
        <f ca="1">SUMPRODUCT(INDEX(polEff,,18),INDEX(tlccQupol,,18))</f>
        <v>1684.1365711337999</v>
      </c>
      <c r="W26" s="28">
        <f ca="1">SUMPRODUCT(INDEX(polEff,,19),INDEX(tlccQupol,,19))</f>
        <v>1684.1365711337999</v>
      </c>
      <c r="X26" s="28">
        <f ca="1">SUMPRODUCT(INDEX(polEff,,20),INDEX(tlccQupol,,20))</f>
        <v>1684.1365711337999</v>
      </c>
      <c r="Y26" s="28">
        <f ca="1">SUMPRODUCT(INDEX(polEff,,21),INDEX(tlccQupol,,21))</f>
        <v>1684.1365711337999</v>
      </c>
      <c r="Z26" s="28">
        <f ca="1">SUMPRODUCT(INDEX(polEff,,22),INDEX(tlccQupol,,22))</f>
        <v>1684.1365711337999</v>
      </c>
      <c r="AA26" s="28">
        <f ca="1">SUMPRODUCT(INDEX(polEff,,23),INDEX(tlccQupol,,23))</f>
        <v>1684.1365711337999</v>
      </c>
      <c r="AB26" s="28">
        <f ca="1">SUMPRODUCT(INDEX(polEff,,24),INDEX(tlccQupol,,24))</f>
        <v>1684.1365711337999</v>
      </c>
      <c r="AC26" s="28">
        <f ca="1">SUMPRODUCT(INDEX(polEff,,25),INDEX(tlccQupol,,25))</f>
        <v>1684.1365711337999</v>
      </c>
      <c r="AD26" s="28">
        <f ca="1">SUMPRODUCT(INDEX(polEff,,26),INDEX(tlccQupol,,26))</f>
        <v>1684.1365711337999</v>
      </c>
      <c r="AE26" s="28">
        <f ca="1">SUMPRODUCT(INDEX(polEff,,27),INDEX(tlccQupol,,27))</f>
        <v>1684.1365711337999</v>
      </c>
      <c r="AF26" s="28">
        <f ca="1">SUMPRODUCT(INDEX(polEff,,28),INDEX(tlccQupol,,28))</f>
        <v>1684.1365711337999</v>
      </c>
      <c r="AG26" s="28">
        <f ca="1">SUMPRODUCT(INDEX(polEff,,29),INDEX(tlccQupol,,29))</f>
        <v>1684.1365711337999</v>
      </c>
      <c r="AH26" s="28">
        <f ca="1">SUMPRODUCT(INDEX(polEff,,30),INDEX(tlccQupol,,30))</f>
        <v>1684.1365711337999</v>
      </c>
      <c r="AI26" s="28">
        <f ca="1">SUMPRODUCT(INDEX(polEff,,31),INDEX(tlccQupol,,31))</f>
        <v>1684.1365711337999</v>
      </c>
      <c r="AJ26" s="28">
        <f ca="1">SUMPRODUCT(INDEX(polEff,,32),INDEX(tlccQupol,,32))</f>
        <v>1684.1365711337999</v>
      </c>
      <c r="AK26" s="29">
        <f ca="1">SUMPRODUCT(INDEX(polEff,,33),INDEX(tlccQupol,,33))</f>
        <v>1684.1365711337999</v>
      </c>
      <c r="AL26" s="3"/>
    </row>
    <row r="27" spans="2:38">
      <c r="B27" s="3"/>
      <c r="C27" s="23" t="s">
        <v>47</v>
      </c>
      <c r="D27" s="16" t="str">
        <f>_yearDol &amp; "$"</f>
        <v>2013$</v>
      </c>
      <c r="E27" s="141">
        <f ca="1">SUMPRODUCT(INDEX(polEff,,1),INDEX(tlccEupol,,1))</f>
        <v>39731.935321754485</v>
      </c>
      <c r="F27" s="28">
        <f ca="1">SUMPRODUCT(INDEX(polEff,,2),INDEX(tlccEupol,,2))</f>
        <v>39906.960940238248</v>
      </c>
      <c r="G27" s="28">
        <f ca="1">SUMPRODUCT(INDEX(polEff,,3),INDEX(tlccEupol,,3))</f>
        <v>40061.787863957754</v>
      </c>
      <c r="H27" s="28">
        <f ca="1">SUMPRODUCT(INDEX(polEff,,4),INDEX(tlccEupol,,4))</f>
        <v>40230.712343619904</v>
      </c>
      <c r="I27" s="28">
        <f ca="1">SUMPRODUCT(INDEX(polEff,,5),INDEX(tlccEupol,,5))</f>
        <v>40378.946851747998</v>
      </c>
      <c r="J27" s="28">
        <f ca="1">SUMPRODUCT(INDEX(polEff,,6),INDEX(tlccEupol,,6))</f>
        <v>40540.812571507427</v>
      </c>
      <c r="K27" s="28">
        <f ca="1">SUMPRODUCT(INDEX(polEff,,7),INDEX(tlccEupol,,7))</f>
        <v>40681.60807176798</v>
      </c>
      <c r="L27" s="28">
        <f ca="1">SUMPRODUCT(INDEX(polEff,,8),INDEX(tlccEupol,,8))</f>
        <v>40835.46353747441</v>
      </c>
      <c r="M27" s="28">
        <f ca="1">SUMPRODUCT(INDEX(polEff,,9),INDEX(tlccEupol,,9))</f>
        <v>41003.436496967268</v>
      </c>
      <c r="N27" s="28">
        <f ca="1">SUMPRODUCT(INDEX(polEff,,10),INDEX(tlccEupol,,10))</f>
        <v>41150.702853448092</v>
      </c>
      <c r="O27" s="28">
        <f ca="1">SUMPRODUCT(INDEX(polEff,,11),INDEX(tlccEupol,,11))</f>
        <v>41311.583243207308</v>
      </c>
      <c r="P27" s="28">
        <f ca="1">SUMPRODUCT(INDEX(polEff,,12),INDEX(tlccEupol,,12))</f>
        <v>41487.113336979935</v>
      </c>
      <c r="Q27" s="28">
        <f ca="1">SUMPRODUCT(INDEX(polEff,,13),INDEX(tlccEupol,,13))</f>
        <v>41642.516708743431</v>
      </c>
      <c r="R27" s="28">
        <f ca="1">SUMPRODUCT(INDEX(polEff,,14),INDEX(tlccEupol,,14))</f>
        <v>41812.227808559001</v>
      </c>
      <c r="S27" s="28">
        <f ca="1">SUMPRODUCT(INDEX(polEff,,15),INDEX(tlccEupol,,15))</f>
        <v>41961.420453806932</v>
      </c>
      <c r="T27" s="28">
        <f ca="1">SUMPRODUCT(INDEX(polEff,,16),INDEX(tlccEupol,,16))</f>
        <v>42124.47657459529</v>
      </c>
      <c r="U27" s="28">
        <f ca="1">SUMPRODUCT(INDEX(polEff,,17),INDEX(tlccEupol,,17))</f>
        <v>42302.353218977049</v>
      </c>
      <c r="V27" s="28">
        <f ca="1">SUMPRODUCT(INDEX(polEff,,18),INDEX(tlccEupol,,18))</f>
        <v>42460.363251656818</v>
      </c>
      <c r="W27" s="28">
        <f ca="1">SUMPRODUCT(INDEX(polEff,,19),INDEX(tlccEupol,,19))</f>
        <v>42632.957660923377</v>
      </c>
      <c r="X27" s="28">
        <f ca="1">SUMPRODUCT(INDEX(polEff,,20),INDEX(tlccEupol,,20))</f>
        <v>42785.263419965151</v>
      </c>
      <c r="Y27" s="28">
        <f ca="1">SUMPRODUCT(INDEX(polEff,,21),INDEX(tlccEupol,,21))</f>
        <v>42951.813964995839</v>
      </c>
      <c r="Z27" s="28">
        <f ca="1">SUMPRODUCT(INDEX(polEff,,22),INDEX(tlccEupol,,22))</f>
        <v>43133.445553090954</v>
      </c>
      <c r="AA27" s="28">
        <f ca="1">SUMPRODUCT(INDEX(polEff,,23),INDEX(tlccEupol,,23))</f>
        <v>43295.643101493901</v>
      </c>
      <c r="AB27" s="28">
        <f ca="1">SUMPRODUCT(INDEX(polEff,,24),INDEX(tlccEupol,,24))</f>
        <v>43472.628888133782</v>
      </c>
      <c r="AC27" s="28">
        <f ca="1">SUMPRODUCT(INDEX(polEff,,25),INDEX(tlccEupol,,25))</f>
        <v>43629.785708107207</v>
      </c>
      <c r="AD27" s="28">
        <f ca="1">SUMPRODUCT(INDEX(polEff,,26),INDEX(tlccEupol,,26))</f>
        <v>43801.513754528889</v>
      </c>
      <c r="AE27" s="28">
        <f ca="1">SUMPRODUCT(INDEX(polEff,,27),INDEX(tlccEupol,,27))</f>
        <v>43988.665921751672</v>
      </c>
      <c r="AF27" s="28">
        <f ca="1">SUMPRODUCT(INDEX(polEff,,28),INDEX(tlccEupol,,28))</f>
        <v>44156.969094690692</v>
      </c>
      <c r="AG27" s="28">
        <f ca="1">SUMPRODUCT(INDEX(polEff,,29),INDEX(tlccEupol,,29))</f>
        <v>44340.54807413707</v>
      </c>
      <c r="AH27" s="28">
        <f ca="1">SUMPRODUCT(INDEX(polEff,,30),INDEX(tlccEupol,,30))</f>
        <v>44504.934641519802</v>
      </c>
      <c r="AI27" s="28">
        <f ca="1">SUMPRODUCT(INDEX(polEff,,31),INDEX(tlccEupol,,31))</f>
        <v>44684.405636591611</v>
      </c>
      <c r="AJ27" s="28">
        <f ca="1">SUMPRODUCT(INDEX(polEff,,32),INDEX(tlccEupol,,32))</f>
        <v>44844.375351327741</v>
      </c>
      <c r="AK27" s="29">
        <f ca="1">SUMPRODUCT(INDEX(polEff,,33),INDEX(tlccEupol,,33))</f>
        <v>45019.173329167985</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8437.9756048604395</v>
      </c>
      <c r="F29" s="24">
        <f ca="1">SUMPRODUCT(INDEX(polEff,,2),INDEX(tlccFupolElec,,2))</f>
        <v>8374.6429437544739</v>
      </c>
      <c r="G29" s="24">
        <f ca="1">SUMPRODUCT(INDEX(polEff,,3),INDEX(tlccFupolElec,,3))</f>
        <v>8310.8442621971299</v>
      </c>
      <c r="H29" s="24">
        <f ca="1">SUMPRODUCT(INDEX(polEff,,4),INDEX(tlccFupolElec,,4))</f>
        <v>8254.8380882079837</v>
      </c>
      <c r="I29" s="24">
        <f ca="1">SUMPRODUCT(INDEX(polEff,,5),INDEX(tlccFupolElec,,5))</f>
        <v>8201.7366205010549</v>
      </c>
      <c r="J29" s="24">
        <f ca="1">SUMPRODUCT(INDEX(polEff,,6),INDEX(tlccFupolElec,,6))</f>
        <v>8155.5108619131715</v>
      </c>
      <c r="K29" s="24">
        <f ca="1">SUMPRODUCT(INDEX(polEff,,7),INDEX(tlccFupolElec,,7))</f>
        <v>8119.6693226336447</v>
      </c>
      <c r="L29" s="24">
        <f ca="1">SUMPRODUCT(INDEX(polEff,,8),INDEX(tlccFupolElec,,8))</f>
        <v>8089.9684289950656</v>
      </c>
      <c r="M29" s="24">
        <f ca="1">SUMPRODUCT(INDEX(polEff,,9),INDEX(tlccFupolElec,,9))</f>
        <v>8060.1348212402299</v>
      </c>
      <c r="N29" s="24">
        <f ca="1">SUMPRODUCT(INDEX(polEff,,10),INDEX(tlccFupolElec,,10))</f>
        <v>8036.2746600299461</v>
      </c>
      <c r="O29" s="24">
        <f ca="1">SUMPRODUCT(INDEX(polEff,,11),INDEX(tlccFupolElec,,11))</f>
        <v>8019.8404767288048</v>
      </c>
      <c r="P29" s="24">
        <f ca="1">SUMPRODUCT(INDEX(polEff,,12),INDEX(tlccFupolElec,,12))</f>
        <v>8007.8120850545565</v>
      </c>
      <c r="Q29" s="24">
        <f ca="1">SUMPRODUCT(INDEX(polEff,,13),INDEX(tlccFupolElec,,13))</f>
        <v>7997.6912602238845</v>
      </c>
      <c r="R29" s="24">
        <f ca="1">SUMPRODUCT(INDEX(polEff,,14),INDEX(tlccFupolElec,,14))</f>
        <v>7990.2239654955847</v>
      </c>
      <c r="S29" s="24">
        <f ca="1">SUMPRODUCT(INDEX(polEff,,15),INDEX(tlccFupolElec,,15))</f>
        <v>7984.5330766919733</v>
      </c>
      <c r="T29" s="24">
        <f ca="1">SUMPRODUCT(INDEX(polEff,,16),INDEX(tlccFupolElec,,16))</f>
        <v>7983.8193045659409</v>
      </c>
      <c r="U29" s="24">
        <f ca="1">SUMPRODUCT(INDEX(polEff,,17),INDEX(tlccFupolElec,,17))</f>
        <v>7985.2799973083856</v>
      </c>
      <c r="V29" s="24">
        <f ca="1">SUMPRODUCT(INDEX(polEff,,18),INDEX(tlccFupolElec,,18))</f>
        <v>7987.4264549917934</v>
      </c>
      <c r="W29" s="24">
        <f ca="1">SUMPRODUCT(INDEX(polEff,,19),INDEX(tlccFupolElec,,19))</f>
        <v>7990.4961868672117</v>
      </c>
      <c r="X29" s="24">
        <f ca="1">SUMPRODUCT(INDEX(polEff,,20),INDEX(tlccFupolElec,,20))</f>
        <v>7993.3970505143534</v>
      </c>
      <c r="Y29" s="24">
        <f ca="1">SUMPRODUCT(INDEX(polEff,,21),INDEX(tlccFupolElec,,21))</f>
        <v>7995.8005711448031</v>
      </c>
      <c r="Z29" s="24">
        <f ca="1">SUMPRODUCT(INDEX(polEff,,22),INDEX(tlccFupolElec,,22))</f>
        <v>7997.4112697948294</v>
      </c>
      <c r="AA29" s="24">
        <f ca="1">SUMPRODUCT(INDEX(polEff,,23),INDEX(tlccFupolElec,,23))</f>
        <v>7998.4728274239405</v>
      </c>
      <c r="AB29" s="24">
        <f ca="1">SUMPRODUCT(INDEX(polEff,,24),INDEX(tlccFupolElec,,24))</f>
        <v>7998.4728274239405</v>
      </c>
      <c r="AC29" s="24">
        <f ca="1">SUMPRODUCT(INDEX(polEff,,25),INDEX(tlccFupolElec,,25))</f>
        <v>7998.4728274239405</v>
      </c>
      <c r="AD29" s="24">
        <f ca="1">SUMPRODUCT(INDEX(polEff,,26),INDEX(tlccFupolElec,,26))</f>
        <v>7998.4728274239405</v>
      </c>
      <c r="AE29" s="24">
        <f ca="1">SUMPRODUCT(INDEX(polEff,,27),INDEX(tlccFupolElec,,27))</f>
        <v>7998.4728274239405</v>
      </c>
      <c r="AF29" s="24">
        <f ca="1">SUMPRODUCT(INDEX(polEff,,28),INDEX(tlccFupolElec,,28))</f>
        <v>7998.4728274239405</v>
      </c>
      <c r="AG29" s="24">
        <f ca="1">SUMPRODUCT(INDEX(polEff,,29),INDEX(tlccFupolElec,,29))</f>
        <v>7998.4728274239405</v>
      </c>
      <c r="AH29" s="24">
        <f ca="1">SUMPRODUCT(INDEX(polEff,,30),INDEX(tlccFupolElec,,30))</f>
        <v>7998.4728274239405</v>
      </c>
      <c r="AI29" s="24">
        <f ca="1">SUMPRODUCT(INDEX(polEff,,31),INDEX(tlccFupolElec,,31))</f>
        <v>7998.4728274239405</v>
      </c>
      <c r="AJ29" s="24">
        <f ca="1">SUMPRODUCT(INDEX(polEff,,32),INDEX(tlccFupolElec,,32))</f>
        <v>7998.4728274239405</v>
      </c>
      <c r="AK29" s="26">
        <f ca="1">SUMPRODUCT(INDEX(polEff,,33),INDEX(tlccFupolElec,,33))</f>
        <v>7998.4728274239405</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INDEX(_doName,4,1)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INDEX(_doName,4,2)</f>
        <v>EL 1: EL 1</v>
      </c>
      <c r="D33" s="16" t="s">
        <v>35</v>
      </c>
      <c r="E33" s="145">
        <v>6.720000000000001E-2</v>
      </c>
      <c r="F33" s="17">
        <f t="array" ref="F33:AK33">$E$33</f>
        <v>6.720000000000001E-2</v>
      </c>
      <c r="G33" s="17">
        <v>6.720000000000001E-2</v>
      </c>
      <c r="H33" s="17">
        <v>6.720000000000001E-2</v>
      </c>
      <c r="I33" s="17">
        <v>6.720000000000001E-2</v>
      </c>
      <c r="J33" s="17">
        <v>6.720000000000001E-2</v>
      </c>
      <c r="K33" s="17">
        <v>6.720000000000001E-2</v>
      </c>
      <c r="L33" s="17">
        <v>6.720000000000001E-2</v>
      </c>
      <c r="M33" s="17">
        <v>6.720000000000001E-2</v>
      </c>
      <c r="N33" s="17">
        <v>6.720000000000001E-2</v>
      </c>
      <c r="O33" s="17">
        <v>6.720000000000001E-2</v>
      </c>
      <c r="P33" s="17">
        <v>6.720000000000001E-2</v>
      </c>
      <c r="Q33" s="17">
        <v>6.720000000000001E-2</v>
      </c>
      <c r="R33" s="17">
        <v>6.720000000000001E-2</v>
      </c>
      <c r="S33" s="17">
        <v>6.720000000000001E-2</v>
      </c>
      <c r="T33" s="17">
        <v>6.720000000000001E-2</v>
      </c>
      <c r="U33" s="17">
        <v>6.720000000000001E-2</v>
      </c>
      <c r="V33" s="17">
        <v>6.720000000000001E-2</v>
      </c>
      <c r="W33" s="17">
        <v>6.720000000000001E-2</v>
      </c>
      <c r="X33" s="17">
        <v>6.720000000000001E-2</v>
      </c>
      <c r="Y33" s="17">
        <v>6.720000000000001E-2</v>
      </c>
      <c r="Z33" s="17">
        <v>6.720000000000001E-2</v>
      </c>
      <c r="AA33" s="17">
        <v>6.720000000000001E-2</v>
      </c>
      <c r="AB33" s="17">
        <v>6.720000000000001E-2</v>
      </c>
      <c r="AC33" s="17">
        <v>6.720000000000001E-2</v>
      </c>
      <c r="AD33" s="17">
        <v>6.720000000000001E-2</v>
      </c>
      <c r="AE33" s="17">
        <v>6.720000000000001E-2</v>
      </c>
      <c r="AF33" s="17">
        <v>6.720000000000001E-2</v>
      </c>
      <c r="AG33" s="17">
        <v>6.720000000000001E-2</v>
      </c>
      <c r="AH33" s="17">
        <v>6.720000000000001E-2</v>
      </c>
      <c r="AI33" s="17">
        <v>6.720000000000001E-2</v>
      </c>
      <c r="AJ33" s="17">
        <v>6.720000000000001E-2</v>
      </c>
      <c r="AK33" s="18">
        <v>6.720000000000001E-2</v>
      </c>
      <c r="AL33" s="3"/>
    </row>
    <row r="34" spans="2:38">
      <c r="B34" s="3"/>
      <c r="C34" s="12" t="str">
        <f>"EL 2: " &amp; INDEX(_doName,4,3)</f>
        <v>EL 2: EL 2</v>
      </c>
      <c r="D34" s="16" t="s">
        <v>35</v>
      </c>
      <c r="E34" s="145">
        <v>9.5999999999999992E-3</v>
      </c>
      <c r="F34" s="17">
        <f t="array" ref="F34:AK34">$E$34</f>
        <v>9.5999999999999992E-3</v>
      </c>
      <c r="G34" s="17">
        <v>9.5999999999999992E-3</v>
      </c>
      <c r="H34" s="17">
        <v>9.5999999999999992E-3</v>
      </c>
      <c r="I34" s="17">
        <v>9.5999999999999992E-3</v>
      </c>
      <c r="J34" s="17">
        <v>9.5999999999999992E-3</v>
      </c>
      <c r="K34" s="17">
        <v>9.5999999999999992E-3</v>
      </c>
      <c r="L34" s="17">
        <v>9.5999999999999992E-3</v>
      </c>
      <c r="M34" s="17">
        <v>9.5999999999999992E-3</v>
      </c>
      <c r="N34" s="17">
        <v>9.5999999999999992E-3</v>
      </c>
      <c r="O34" s="17">
        <v>9.5999999999999992E-3</v>
      </c>
      <c r="P34" s="17">
        <v>9.5999999999999992E-3</v>
      </c>
      <c r="Q34" s="17">
        <v>9.5999999999999992E-3</v>
      </c>
      <c r="R34" s="17">
        <v>9.5999999999999992E-3</v>
      </c>
      <c r="S34" s="17">
        <v>9.5999999999999992E-3</v>
      </c>
      <c r="T34" s="17">
        <v>9.5999999999999992E-3</v>
      </c>
      <c r="U34" s="17">
        <v>9.5999999999999992E-3</v>
      </c>
      <c r="V34" s="17">
        <v>9.5999999999999992E-3</v>
      </c>
      <c r="W34" s="17">
        <v>9.5999999999999992E-3</v>
      </c>
      <c r="X34" s="17">
        <v>9.5999999999999992E-3</v>
      </c>
      <c r="Y34" s="17">
        <v>9.5999999999999992E-3</v>
      </c>
      <c r="Z34" s="17">
        <v>9.5999999999999992E-3</v>
      </c>
      <c r="AA34" s="17">
        <v>9.5999999999999992E-3</v>
      </c>
      <c r="AB34" s="17">
        <v>9.5999999999999992E-3</v>
      </c>
      <c r="AC34" s="17">
        <v>9.5999999999999992E-3</v>
      </c>
      <c r="AD34" s="17">
        <v>9.5999999999999992E-3</v>
      </c>
      <c r="AE34" s="17">
        <v>9.5999999999999992E-3</v>
      </c>
      <c r="AF34" s="17">
        <v>9.5999999999999992E-3</v>
      </c>
      <c r="AG34" s="17">
        <v>9.5999999999999992E-3</v>
      </c>
      <c r="AH34" s="17">
        <v>9.5999999999999992E-3</v>
      </c>
      <c r="AI34" s="17">
        <v>9.5999999999999992E-3</v>
      </c>
      <c r="AJ34" s="17">
        <v>9.5999999999999992E-3</v>
      </c>
      <c r="AK34" s="18">
        <v>9.5999999999999992E-3</v>
      </c>
      <c r="AL34" s="3"/>
    </row>
    <row r="35" spans="2:38">
      <c r="B35" s="3"/>
      <c r="C35" s="12" t="str">
        <f>"EL 3: " &amp; INDEX(_doName,4,4)</f>
        <v>EL 3: EL 3</v>
      </c>
      <c r="D35" s="16" t="s">
        <v>35</v>
      </c>
      <c r="E35" s="145">
        <v>0.03</v>
      </c>
      <c r="F35" s="17">
        <f t="array" ref="F35:AK35">$E$35</f>
        <v>0.03</v>
      </c>
      <c r="G35" s="17">
        <v>0.03</v>
      </c>
      <c r="H35" s="17">
        <v>0.03</v>
      </c>
      <c r="I35" s="17">
        <v>0.03</v>
      </c>
      <c r="J35" s="17">
        <v>0.03</v>
      </c>
      <c r="K35" s="17">
        <v>0.03</v>
      </c>
      <c r="L35" s="17">
        <v>0.03</v>
      </c>
      <c r="M35" s="17">
        <v>0.03</v>
      </c>
      <c r="N35" s="17">
        <v>0.03</v>
      </c>
      <c r="O35" s="17">
        <v>0.03</v>
      </c>
      <c r="P35" s="17">
        <v>0.03</v>
      </c>
      <c r="Q35" s="17">
        <v>0.03</v>
      </c>
      <c r="R35" s="17">
        <v>0.03</v>
      </c>
      <c r="S35" s="17">
        <v>0.03</v>
      </c>
      <c r="T35" s="17">
        <v>0.03</v>
      </c>
      <c r="U35" s="17">
        <v>0.03</v>
      </c>
      <c r="V35" s="17">
        <v>0.03</v>
      </c>
      <c r="W35" s="17">
        <v>0.03</v>
      </c>
      <c r="X35" s="17">
        <v>0.03</v>
      </c>
      <c r="Y35" s="17">
        <v>0.03</v>
      </c>
      <c r="Z35" s="17">
        <v>0.03</v>
      </c>
      <c r="AA35" s="17">
        <v>0.03</v>
      </c>
      <c r="AB35" s="17">
        <v>0.03</v>
      </c>
      <c r="AC35" s="17">
        <v>0.03</v>
      </c>
      <c r="AD35" s="17">
        <v>0.03</v>
      </c>
      <c r="AE35" s="17">
        <v>0.03</v>
      </c>
      <c r="AF35" s="17">
        <v>0.03</v>
      </c>
      <c r="AG35" s="17">
        <v>0.03</v>
      </c>
      <c r="AH35" s="17">
        <v>0.03</v>
      </c>
      <c r="AI35" s="17">
        <v>0.03</v>
      </c>
      <c r="AJ35" s="17">
        <v>0.03</v>
      </c>
      <c r="AK35" s="18">
        <v>0.03</v>
      </c>
      <c r="AL35" s="3"/>
    </row>
    <row r="36" spans="2:38">
      <c r="B36" s="3"/>
      <c r="C36" s="12" t="str">
        <f>"EL 4: " &amp; INDEX(_doName,4,5)</f>
        <v>EL 4: EL 4</v>
      </c>
      <c r="D36" s="16" t="s">
        <v>35</v>
      </c>
      <c r="E36" s="145">
        <v>0.21410000000000001</v>
      </c>
      <c r="F36" s="17">
        <f t="array" ref="F36:AK36">$E$36</f>
        <v>0.21410000000000001</v>
      </c>
      <c r="G36" s="17">
        <v>0.21410000000000001</v>
      </c>
      <c r="H36" s="17">
        <v>0.21410000000000001</v>
      </c>
      <c r="I36" s="17">
        <v>0.21410000000000001</v>
      </c>
      <c r="J36" s="17">
        <v>0.21410000000000001</v>
      </c>
      <c r="K36" s="17">
        <v>0.21410000000000001</v>
      </c>
      <c r="L36" s="17">
        <v>0.21410000000000001</v>
      </c>
      <c r="M36" s="17">
        <v>0.21410000000000001</v>
      </c>
      <c r="N36" s="17">
        <v>0.21410000000000001</v>
      </c>
      <c r="O36" s="17">
        <v>0.21410000000000001</v>
      </c>
      <c r="P36" s="17">
        <v>0.21410000000000001</v>
      </c>
      <c r="Q36" s="17">
        <v>0.21410000000000001</v>
      </c>
      <c r="R36" s="17">
        <v>0.21410000000000001</v>
      </c>
      <c r="S36" s="17">
        <v>0.21410000000000001</v>
      </c>
      <c r="T36" s="17">
        <v>0.21410000000000001</v>
      </c>
      <c r="U36" s="17">
        <v>0.21410000000000001</v>
      </c>
      <c r="V36" s="17">
        <v>0.21410000000000001</v>
      </c>
      <c r="W36" s="17">
        <v>0.21410000000000001</v>
      </c>
      <c r="X36" s="17">
        <v>0.21410000000000001</v>
      </c>
      <c r="Y36" s="17">
        <v>0.21410000000000001</v>
      </c>
      <c r="Z36" s="17">
        <v>0.21410000000000001</v>
      </c>
      <c r="AA36" s="17">
        <v>0.21410000000000001</v>
      </c>
      <c r="AB36" s="17">
        <v>0.21410000000000001</v>
      </c>
      <c r="AC36" s="17">
        <v>0.21410000000000001</v>
      </c>
      <c r="AD36" s="17">
        <v>0.21410000000000001</v>
      </c>
      <c r="AE36" s="17">
        <v>0.21410000000000001</v>
      </c>
      <c r="AF36" s="17">
        <v>0.21410000000000001</v>
      </c>
      <c r="AG36" s="17">
        <v>0.21410000000000001</v>
      </c>
      <c r="AH36" s="17">
        <v>0.21410000000000001</v>
      </c>
      <c r="AI36" s="17">
        <v>0.21410000000000001</v>
      </c>
      <c r="AJ36" s="17">
        <v>0.21410000000000001</v>
      </c>
      <c r="AK36" s="18">
        <v>0.21410000000000001</v>
      </c>
      <c r="AL36" s="3"/>
    </row>
    <row r="37" spans="2:38">
      <c r="B37" s="3"/>
      <c r="C37" s="12" t="str">
        <f>"EL 5: " &amp; INDEX(_doName,4,6)</f>
        <v>EL 5: EL 5</v>
      </c>
      <c r="D37" s="16" t="s">
        <v>35</v>
      </c>
      <c r="E37" s="145">
        <v>0.2772</v>
      </c>
      <c r="F37" s="17">
        <f t="array" ref="F37:AK37">$E$37</f>
        <v>0.2772</v>
      </c>
      <c r="G37" s="17">
        <v>0.2772</v>
      </c>
      <c r="H37" s="17">
        <v>0.2772</v>
      </c>
      <c r="I37" s="17">
        <v>0.2772</v>
      </c>
      <c r="J37" s="17">
        <v>0.2772</v>
      </c>
      <c r="K37" s="17">
        <v>0.2772</v>
      </c>
      <c r="L37" s="17">
        <v>0.2772</v>
      </c>
      <c r="M37" s="17">
        <v>0.2772</v>
      </c>
      <c r="N37" s="17">
        <v>0.2772</v>
      </c>
      <c r="O37" s="17">
        <v>0.2772</v>
      </c>
      <c r="P37" s="17">
        <v>0.2772</v>
      </c>
      <c r="Q37" s="17">
        <v>0.2772</v>
      </c>
      <c r="R37" s="17">
        <v>0.2772</v>
      </c>
      <c r="S37" s="17">
        <v>0.2772</v>
      </c>
      <c r="T37" s="17">
        <v>0.2772</v>
      </c>
      <c r="U37" s="17">
        <v>0.2772</v>
      </c>
      <c r="V37" s="17">
        <v>0.2772</v>
      </c>
      <c r="W37" s="17">
        <v>0.2772</v>
      </c>
      <c r="X37" s="17">
        <v>0.2772</v>
      </c>
      <c r="Y37" s="17">
        <v>0.2772</v>
      </c>
      <c r="Z37" s="17">
        <v>0.2772</v>
      </c>
      <c r="AA37" s="17">
        <v>0.2772</v>
      </c>
      <c r="AB37" s="17">
        <v>0.2772</v>
      </c>
      <c r="AC37" s="17">
        <v>0.2772</v>
      </c>
      <c r="AD37" s="17">
        <v>0.2772</v>
      </c>
      <c r="AE37" s="17">
        <v>0.2772</v>
      </c>
      <c r="AF37" s="17">
        <v>0.2772</v>
      </c>
      <c r="AG37" s="17">
        <v>0.2772</v>
      </c>
      <c r="AH37" s="17">
        <v>0.2772</v>
      </c>
      <c r="AI37" s="17">
        <v>0.2772</v>
      </c>
      <c r="AJ37" s="17">
        <v>0.2772</v>
      </c>
      <c r="AK37" s="18">
        <v>0.2772</v>
      </c>
      <c r="AL37" s="3"/>
    </row>
    <row r="38" spans="2:38">
      <c r="B38" s="3"/>
      <c r="C38" s="4" t="str">
        <f>"EL 6: " &amp; INDEX(_doName,4,7)</f>
        <v>EL 6: EL 6</v>
      </c>
      <c r="D38" s="5" t="s">
        <v>35</v>
      </c>
      <c r="E38" s="146">
        <v>0.40189999999999992</v>
      </c>
      <c r="F38" s="19">
        <f t="array" ref="F38:AK38">$E$38</f>
        <v>0.40189999999999992</v>
      </c>
      <c r="G38" s="19">
        <v>0.40189999999999992</v>
      </c>
      <c r="H38" s="19">
        <v>0.40189999999999992</v>
      </c>
      <c r="I38" s="19">
        <v>0.40189999999999992</v>
      </c>
      <c r="J38" s="19">
        <v>0.40189999999999992</v>
      </c>
      <c r="K38" s="19">
        <v>0.40189999999999992</v>
      </c>
      <c r="L38" s="19">
        <v>0.40189999999999992</v>
      </c>
      <c r="M38" s="19">
        <v>0.40189999999999992</v>
      </c>
      <c r="N38" s="19">
        <v>0.40189999999999992</v>
      </c>
      <c r="O38" s="19">
        <v>0.40189999999999992</v>
      </c>
      <c r="P38" s="19">
        <v>0.40189999999999992</v>
      </c>
      <c r="Q38" s="19">
        <v>0.40189999999999992</v>
      </c>
      <c r="R38" s="19">
        <v>0.40189999999999992</v>
      </c>
      <c r="S38" s="19">
        <v>0.40189999999999992</v>
      </c>
      <c r="T38" s="19">
        <v>0.40189999999999992</v>
      </c>
      <c r="U38" s="19">
        <v>0.40189999999999992</v>
      </c>
      <c r="V38" s="19">
        <v>0.40189999999999992</v>
      </c>
      <c r="W38" s="19">
        <v>0.40189999999999992</v>
      </c>
      <c r="X38" s="19">
        <v>0.40189999999999992</v>
      </c>
      <c r="Y38" s="19">
        <v>0.40189999999999992</v>
      </c>
      <c r="Z38" s="19">
        <v>0.40189999999999992</v>
      </c>
      <c r="AA38" s="19">
        <v>0.40189999999999992</v>
      </c>
      <c r="AB38" s="19">
        <v>0.40189999999999992</v>
      </c>
      <c r="AC38" s="19">
        <v>0.40189999999999992</v>
      </c>
      <c r="AD38" s="19">
        <v>0.40189999999999992</v>
      </c>
      <c r="AE38" s="19">
        <v>0.40189999999999992</v>
      </c>
      <c r="AF38" s="19">
        <v>0.40189999999999992</v>
      </c>
      <c r="AG38" s="19">
        <v>0.40189999999999992</v>
      </c>
      <c r="AH38" s="19">
        <v>0.40189999999999992</v>
      </c>
      <c r="AI38" s="19">
        <v>0.40189999999999992</v>
      </c>
      <c r="AJ38" s="19">
        <v>0.40189999999999992</v>
      </c>
      <c r="AK38" s="20">
        <v>0.40189999999999992</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INDEX(_doName,4,1)</f>
        <v>EL 0: EL 0</v>
      </c>
      <c r="D41" s="16" t="s">
        <v>35</v>
      </c>
      <c r="E41" s="145">
        <f>INDEX(bcCnU,1)</f>
        <v>3.5400000000000001E-2</v>
      </c>
      <c r="F41" s="17">
        <f t="array" ref="F41:AK41">$E$41</f>
        <v>3.5400000000000001E-2</v>
      </c>
      <c r="G41" s="17">
        <v>3.5400000000000001E-2</v>
      </c>
      <c r="H41" s="17">
        <v>3.5400000000000001E-2</v>
      </c>
      <c r="I41" s="17">
        <v>3.5400000000000001E-2</v>
      </c>
      <c r="J41" s="17">
        <v>3.5400000000000001E-2</v>
      </c>
      <c r="K41" s="17">
        <v>3.5400000000000001E-2</v>
      </c>
      <c r="L41" s="17">
        <v>3.5400000000000001E-2</v>
      </c>
      <c r="M41" s="17">
        <v>3.5400000000000001E-2</v>
      </c>
      <c r="N41" s="17">
        <v>3.5400000000000001E-2</v>
      </c>
      <c r="O41" s="17">
        <v>3.5400000000000001E-2</v>
      </c>
      <c r="P41" s="17">
        <v>3.5400000000000001E-2</v>
      </c>
      <c r="Q41" s="17">
        <v>3.5400000000000001E-2</v>
      </c>
      <c r="R41" s="17">
        <v>3.5400000000000001E-2</v>
      </c>
      <c r="S41" s="17">
        <v>3.5400000000000001E-2</v>
      </c>
      <c r="T41" s="17">
        <v>3.5400000000000001E-2</v>
      </c>
      <c r="U41" s="17">
        <v>3.5400000000000001E-2</v>
      </c>
      <c r="V41" s="17">
        <v>3.5400000000000001E-2</v>
      </c>
      <c r="W41" s="17">
        <v>3.5400000000000001E-2</v>
      </c>
      <c r="X41" s="17">
        <v>3.5400000000000001E-2</v>
      </c>
      <c r="Y41" s="17">
        <v>3.5400000000000001E-2</v>
      </c>
      <c r="Z41" s="17">
        <v>3.5400000000000001E-2</v>
      </c>
      <c r="AA41" s="17">
        <v>3.5400000000000001E-2</v>
      </c>
      <c r="AB41" s="17">
        <v>3.5400000000000001E-2</v>
      </c>
      <c r="AC41" s="17">
        <v>3.5400000000000001E-2</v>
      </c>
      <c r="AD41" s="17">
        <v>3.5400000000000001E-2</v>
      </c>
      <c r="AE41" s="17">
        <v>3.5400000000000001E-2</v>
      </c>
      <c r="AF41" s="17">
        <v>3.5400000000000001E-2</v>
      </c>
      <c r="AG41" s="17">
        <v>3.5400000000000001E-2</v>
      </c>
      <c r="AH41" s="17">
        <v>3.5400000000000001E-2</v>
      </c>
      <c r="AI41" s="17">
        <v>3.5400000000000001E-2</v>
      </c>
      <c r="AJ41" s="17">
        <v>3.5400000000000001E-2</v>
      </c>
      <c r="AK41" s="18">
        <v>3.5400000000000001E-2</v>
      </c>
      <c r="AL41" s="3"/>
    </row>
    <row r="42" spans="2:38">
      <c r="B42" s="3"/>
      <c r="C42" s="12" t="str">
        <f>"EL 1: " &amp; INDEX(_doName,4,2)</f>
        <v>EL 1: EL 1</v>
      </c>
      <c r="D42" s="16" t="s">
        <v>35</v>
      </c>
      <c r="E42" s="145">
        <f>INDEX(bcCnU,2)</f>
        <v>3.1800000000000002E-2</v>
      </c>
      <c r="F42" s="17">
        <f t="array" ref="F42:AK42">$E$42</f>
        <v>3.1800000000000002E-2</v>
      </c>
      <c r="G42" s="17">
        <v>3.1800000000000002E-2</v>
      </c>
      <c r="H42" s="17">
        <v>3.1800000000000002E-2</v>
      </c>
      <c r="I42" s="17">
        <v>3.1800000000000002E-2</v>
      </c>
      <c r="J42" s="17">
        <v>3.1800000000000002E-2</v>
      </c>
      <c r="K42" s="17">
        <v>3.1800000000000002E-2</v>
      </c>
      <c r="L42" s="17">
        <v>3.1800000000000002E-2</v>
      </c>
      <c r="M42" s="17">
        <v>3.1800000000000002E-2</v>
      </c>
      <c r="N42" s="17">
        <v>3.1800000000000002E-2</v>
      </c>
      <c r="O42" s="17">
        <v>3.1800000000000002E-2</v>
      </c>
      <c r="P42" s="17">
        <v>3.1800000000000002E-2</v>
      </c>
      <c r="Q42" s="17">
        <v>3.1800000000000002E-2</v>
      </c>
      <c r="R42" s="17">
        <v>3.1800000000000002E-2</v>
      </c>
      <c r="S42" s="17">
        <v>3.1800000000000002E-2</v>
      </c>
      <c r="T42" s="17">
        <v>3.1800000000000002E-2</v>
      </c>
      <c r="U42" s="17">
        <v>3.1800000000000002E-2</v>
      </c>
      <c r="V42" s="17">
        <v>3.1800000000000002E-2</v>
      </c>
      <c r="W42" s="17">
        <v>3.1800000000000002E-2</v>
      </c>
      <c r="X42" s="17">
        <v>3.1800000000000002E-2</v>
      </c>
      <c r="Y42" s="17">
        <v>3.1800000000000002E-2</v>
      </c>
      <c r="Z42" s="17">
        <v>3.1800000000000002E-2</v>
      </c>
      <c r="AA42" s="17">
        <v>3.1800000000000002E-2</v>
      </c>
      <c r="AB42" s="17">
        <v>3.1800000000000002E-2</v>
      </c>
      <c r="AC42" s="17">
        <v>3.1800000000000002E-2</v>
      </c>
      <c r="AD42" s="17">
        <v>3.1800000000000002E-2</v>
      </c>
      <c r="AE42" s="17">
        <v>3.1800000000000002E-2</v>
      </c>
      <c r="AF42" s="17">
        <v>3.1800000000000002E-2</v>
      </c>
      <c r="AG42" s="17">
        <v>3.1800000000000002E-2</v>
      </c>
      <c r="AH42" s="17">
        <v>3.1800000000000002E-2</v>
      </c>
      <c r="AI42" s="17">
        <v>3.1800000000000002E-2</v>
      </c>
      <c r="AJ42" s="17">
        <v>3.1800000000000002E-2</v>
      </c>
      <c r="AK42" s="18">
        <v>3.1800000000000002E-2</v>
      </c>
      <c r="AL42" s="3"/>
    </row>
    <row r="43" spans="2:38">
      <c r="B43" s="3"/>
      <c r="C43" s="12" t="str">
        <f>"EL 2: " &amp; INDEX(_doName,4,3)</f>
        <v>EL 2: EL 2</v>
      </c>
      <c r="D43" s="16" t="s">
        <v>35</v>
      </c>
      <c r="E43" s="145">
        <f>INDEX(bcCnU,3)</f>
        <v>9.5999999999999992E-3</v>
      </c>
      <c r="F43" s="17">
        <f t="array" ref="F43:AK43">$E$43</f>
        <v>9.5999999999999992E-3</v>
      </c>
      <c r="G43" s="17">
        <v>9.5999999999999992E-3</v>
      </c>
      <c r="H43" s="17">
        <v>9.5999999999999992E-3</v>
      </c>
      <c r="I43" s="17">
        <v>9.5999999999999992E-3</v>
      </c>
      <c r="J43" s="17">
        <v>9.5999999999999992E-3</v>
      </c>
      <c r="K43" s="17">
        <v>9.5999999999999992E-3</v>
      </c>
      <c r="L43" s="17">
        <v>9.5999999999999992E-3</v>
      </c>
      <c r="M43" s="17">
        <v>9.5999999999999992E-3</v>
      </c>
      <c r="N43" s="17">
        <v>9.5999999999999992E-3</v>
      </c>
      <c r="O43" s="17">
        <v>9.5999999999999992E-3</v>
      </c>
      <c r="P43" s="17">
        <v>9.5999999999999992E-3</v>
      </c>
      <c r="Q43" s="17">
        <v>9.5999999999999992E-3</v>
      </c>
      <c r="R43" s="17">
        <v>9.5999999999999992E-3</v>
      </c>
      <c r="S43" s="17">
        <v>9.5999999999999992E-3</v>
      </c>
      <c r="T43" s="17">
        <v>9.5999999999999992E-3</v>
      </c>
      <c r="U43" s="17">
        <v>9.5999999999999992E-3</v>
      </c>
      <c r="V43" s="17">
        <v>9.5999999999999992E-3</v>
      </c>
      <c r="W43" s="17">
        <v>9.5999999999999992E-3</v>
      </c>
      <c r="X43" s="17">
        <v>9.5999999999999992E-3</v>
      </c>
      <c r="Y43" s="17">
        <v>9.5999999999999992E-3</v>
      </c>
      <c r="Z43" s="17">
        <v>9.5999999999999992E-3</v>
      </c>
      <c r="AA43" s="17">
        <v>9.5999999999999992E-3</v>
      </c>
      <c r="AB43" s="17">
        <v>9.5999999999999992E-3</v>
      </c>
      <c r="AC43" s="17">
        <v>9.5999999999999992E-3</v>
      </c>
      <c r="AD43" s="17">
        <v>9.5999999999999992E-3</v>
      </c>
      <c r="AE43" s="17">
        <v>9.5999999999999992E-3</v>
      </c>
      <c r="AF43" s="17">
        <v>9.5999999999999992E-3</v>
      </c>
      <c r="AG43" s="17">
        <v>9.5999999999999992E-3</v>
      </c>
      <c r="AH43" s="17">
        <v>9.5999999999999992E-3</v>
      </c>
      <c r="AI43" s="17">
        <v>9.5999999999999992E-3</v>
      </c>
      <c r="AJ43" s="17">
        <v>9.5999999999999992E-3</v>
      </c>
      <c r="AK43" s="18">
        <v>9.5999999999999992E-3</v>
      </c>
      <c r="AL43" s="3"/>
    </row>
    <row r="44" spans="2:38">
      <c r="B44" s="3"/>
      <c r="C44" s="12" t="str">
        <f>"EL 3: " &amp; INDEX(_doName,4,4)</f>
        <v>EL 3: EL 3</v>
      </c>
      <c r="D44" s="16" t="s">
        <v>35</v>
      </c>
      <c r="E44" s="145">
        <f>INDEX(bcCnU,4)</f>
        <v>0.03</v>
      </c>
      <c r="F44" s="17">
        <f t="array" ref="F44:AK44">$E$44</f>
        <v>0.03</v>
      </c>
      <c r="G44" s="17">
        <v>0.03</v>
      </c>
      <c r="H44" s="17">
        <v>0.03</v>
      </c>
      <c r="I44" s="17">
        <v>0.03</v>
      </c>
      <c r="J44" s="17">
        <v>0.03</v>
      </c>
      <c r="K44" s="17">
        <v>0.03</v>
      </c>
      <c r="L44" s="17">
        <v>0.03</v>
      </c>
      <c r="M44" s="17">
        <v>0.03</v>
      </c>
      <c r="N44" s="17">
        <v>0.03</v>
      </c>
      <c r="O44" s="17">
        <v>0.03</v>
      </c>
      <c r="P44" s="17">
        <v>0.03</v>
      </c>
      <c r="Q44" s="17">
        <v>0.03</v>
      </c>
      <c r="R44" s="17">
        <v>0.03</v>
      </c>
      <c r="S44" s="17">
        <v>0.03</v>
      </c>
      <c r="T44" s="17">
        <v>0.03</v>
      </c>
      <c r="U44" s="17">
        <v>0.03</v>
      </c>
      <c r="V44" s="17">
        <v>0.03</v>
      </c>
      <c r="W44" s="17">
        <v>0.03</v>
      </c>
      <c r="X44" s="17">
        <v>0.03</v>
      </c>
      <c r="Y44" s="17">
        <v>0.03</v>
      </c>
      <c r="Z44" s="17">
        <v>0.03</v>
      </c>
      <c r="AA44" s="17">
        <v>0.03</v>
      </c>
      <c r="AB44" s="17">
        <v>0.03</v>
      </c>
      <c r="AC44" s="17">
        <v>0.03</v>
      </c>
      <c r="AD44" s="17">
        <v>0.03</v>
      </c>
      <c r="AE44" s="17">
        <v>0.03</v>
      </c>
      <c r="AF44" s="17">
        <v>0.03</v>
      </c>
      <c r="AG44" s="17">
        <v>0.03</v>
      </c>
      <c r="AH44" s="17">
        <v>0.03</v>
      </c>
      <c r="AI44" s="17">
        <v>0.03</v>
      </c>
      <c r="AJ44" s="17">
        <v>0.03</v>
      </c>
      <c r="AK44" s="18">
        <v>0.03</v>
      </c>
      <c r="AL44" s="3"/>
    </row>
    <row r="45" spans="2:38">
      <c r="B45" s="3"/>
      <c r="C45" s="12" t="str">
        <f>"EL 4: " &amp; INDEX(_doName,4,5)</f>
        <v>EL 4: EL 4</v>
      </c>
      <c r="D45" s="16" t="s">
        <v>35</v>
      </c>
      <c r="E45" s="145">
        <f>INDEX(bcCnU,5)</f>
        <v>0.21410000000000001</v>
      </c>
      <c r="F45" s="17">
        <f t="array" ref="F45:AK45">$E$45</f>
        <v>0.21410000000000001</v>
      </c>
      <c r="G45" s="17">
        <v>0.21410000000000001</v>
      </c>
      <c r="H45" s="17">
        <v>0.21410000000000001</v>
      </c>
      <c r="I45" s="17">
        <v>0.21410000000000001</v>
      </c>
      <c r="J45" s="17">
        <v>0.21410000000000001</v>
      </c>
      <c r="K45" s="17">
        <v>0.21410000000000001</v>
      </c>
      <c r="L45" s="17">
        <v>0.21410000000000001</v>
      </c>
      <c r="M45" s="17">
        <v>0.21410000000000001</v>
      </c>
      <c r="N45" s="17">
        <v>0.21410000000000001</v>
      </c>
      <c r="O45" s="17">
        <v>0.21410000000000001</v>
      </c>
      <c r="P45" s="17">
        <v>0.21410000000000001</v>
      </c>
      <c r="Q45" s="17">
        <v>0.21410000000000001</v>
      </c>
      <c r="R45" s="17">
        <v>0.21410000000000001</v>
      </c>
      <c r="S45" s="17">
        <v>0.21410000000000001</v>
      </c>
      <c r="T45" s="17">
        <v>0.21410000000000001</v>
      </c>
      <c r="U45" s="17">
        <v>0.21410000000000001</v>
      </c>
      <c r="V45" s="17">
        <v>0.21410000000000001</v>
      </c>
      <c r="W45" s="17">
        <v>0.21410000000000001</v>
      </c>
      <c r="X45" s="17">
        <v>0.21410000000000001</v>
      </c>
      <c r="Y45" s="17">
        <v>0.21410000000000001</v>
      </c>
      <c r="Z45" s="17">
        <v>0.21410000000000001</v>
      </c>
      <c r="AA45" s="17">
        <v>0.21410000000000001</v>
      </c>
      <c r="AB45" s="17">
        <v>0.21410000000000001</v>
      </c>
      <c r="AC45" s="17">
        <v>0.21410000000000001</v>
      </c>
      <c r="AD45" s="17">
        <v>0.21410000000000001</v>
      </c>
      <c r="AE45" s="17">
        <v>0.21410000000000001</v>
      </c>
      <c r="AF45" s="17">
        <v>0.21410000000000001</v>
      </c>
      <c r="AG45" s="17">
        <v>0.21410000000000001</v>
      </c>
      <c r="AH45" s="17">
        <v>0.21410000000000001</v>
      </c>
      <c r="AI45" s="17">
        <v>0.21410000000000001</v>
      </c>
      <c r="AJ45" s="17">
        <v>0.21410000000000001</v>
      </c>
      <c r="AK45" s="18">
        <v>0.21410000000000001</v>
      </c>
      <c r="AL45" s="3"/>
    </row>
    <row r="46" spans="2:38">
      <c r="B46" s="3"/>
      <c r="C46" s="12" t="str">
        <f>"EL 5: " &amp; INDEX(_doName,4,6)</f>
        <v>EL 5: EL 5</v>
      </c>
      <c r="D46" s="16" t="s">
        <v>35</v>
      </c>
      <c r="E46" s="145">
        <f>INDEX(bcCnU,6)</f>
        <v>0.2772</v>
      </c>
      <c r="F46" s="17">
        <f t="array" ref="F46:AK46">$E$46</f>
        <v>0.2772</v>
      </c>
      <c r="G46" s="17">
        <v>0.2772</v>
      </c>
      <c r="H46" s="17">
        <v>0.2772</v>
      </c>
      <c r="I46" s="17">
        <v>0.2772</v>
      </c>
      <c r="J46" s="17">
        <v>0.2772</v>
      </c>
      <c r="K46" s="17">
        <v>0.2772</v>
      </c>
      <c r="L46" s="17">
        <v>0.2772</v>
      </c>
      <c r="M46" s="17">
        <v>0.2772</v>
      </c>
      <c r="N46" s="17">
        <v>0.2772</v>
      </c>
      <c r="O46" s="17">
        <v>0.2772</v>
      </c>
      <c r="P46" s="17">
        <v>0.2772</v>
      </c>
      <c r="Q46" s="17">
        <v>0.2772</v>
      </c>
      <c r="R46" s="17">
        <v>0.2772</v>
      </c>
      <c r="S46" s="17">
        <v>0.2772</v>
      </c>
      <c r="T46" s="17">
        <v>0.2772</v>
      </c>
      <c r="U46" s="17">
        <v>0.2772</v>
      </c>
      <c r="V46" s="17">
        <v>0.2772</v>
      </c>
      <c r="W46" s="17">
        <v>0.2772</v>
      </c>
      <c r="X46" s="17">
        <v>0.2772</v>
      </c>
      <c r="Y46" s="17">
        <v>0.2772</v>
      </c>
      <c r="Z46" s="17">
        <v>0.2772</v>
      </c>
      <c r="AA46" s="17">
        <v>0.2772</v>
      </c>
      <c r="AB46" s="17">
        <v>0.2772</v>
      </c>
      <c r="AC46" s="17">
        <v>0.2772</v>
      </c>
      <c r="AD46" s="17">
        <v>0.2772</v>
      </c>
      <c r="AE46" s="17">
        <v>0.2772</v>
      </c>
      <c r="AF46" s="17">
        <v>0.2772</v>
      </c>
      <c r="AG46" s="17">
        <v>0.2772</v>
      </c>
      <c r="AH46" s="17">
        <v>0.2772</v>
      </c>
      <c r="AI46" s="17">
        <v>0.2772</v>
      </c>
      <c r="AJ46" s="17">
        <v>0.2772</v>
      </c>
      <c r="AK46" s="18">
        <v>0.2772</v>
      </c>
      <c r="AL46" s="3"/>
    </row>
    <row r="47" spans="2:38">
      <c r="B47" s="3"/>
      <c r="C47" s="4" t="str">
        <f>"EL 6: " &amp; INDEX(_doName,4,7)</f>
        <v>EL 6: EL 6</v>
      </c>
      <c r="D47" s="5" t="s">
        <v>35</v>
      </c>
      <c r="E47" s="146">
        <f>INDEX(bcCnU,7)</f>
        <v>0.40189999999999992</v>
      </c>
      <c r="F47" s="19">
        <f t="array" ref="F47:AK47">$E$47</f>
        <v>0.40189999999999992</v>
      </c>
      <c r="G47" s="19">
        <v>0.40189999999999992</v>
      </c>
      <c r="H47" s="19">
        <v>0.40189999999999992</v>
      </c>
      <c r="I47" s="19">
        <v>0.40189999999999992</v>
      </c>
      <c r="J47" s="19">
        <v>0.40189999999999992</v>
      </c>
      <c r="K47" s="19">
        <v>0.40189999999999992</v>
      </c>
      <c r="L47" s="19">
        <v>0.40189999999999992</v>
      </c>
      <c r="M47" s="19">
        <v>0.40189999999999992</v>
      </c>
      <c r="N47" s="19">
        <v>0.40189999999999992</v>
      </c>
      <c r="O47" s="19">
        <v>0.40189999999999992</v>
      </c>
      <c r="P47" s="19">
        <v>0.40189999999999992</v>
      </c>
      <c r="Q47" s="19">
        <v>0.40189999999999992</v>
      </c>
      <c r="R47" s="19">
        <v>0.40189999999999992</v>
      </c>
      <c r="S47" s="19">
        <v>0.40189999999999992</v>
      </c>
      <c r="T47" s="19">
        <v>0.40189999999999992</v>
      </c>
      <c r="U47" s="19">
        <v>0.40189999999999992</v>
      </c>
      <c r="V47" s="19">
        <v>0.40189999999999992</v>
      </c>
      <c r="W47" s="19">
        <v>0.40189999999999992</v>
      </c>
      <c r="X47" s="19">
        <v>0.40189999999999992</v>
      </c>
      <c r="Y47" s="19">
        <v>0.40189999999999992</v>
      </c>
      <c r="Z47" s="19">
        <v>0.40189999999999992</v>
      </c>
      <c r="AA47" s="19">
        <v>0.40189999999999992</v>
      </c>
      <c r="AB47" s="19">
        <v>0.40189999999999992</v>
      </c>
      <c r="AC47" s="19">
        <v>0.40189999999999992</v>
      </c>
      <c r="AD47" s="19">
        <v>0.40189999999999992</v>
      </c>
      <c r="AE47" s="19">
        <v>0.40189999999999992</v>
      </c>
      <c r="AF47" s="19">
        <v>0.40189999999999992</v>
      </c>
      <c r="AG47" s="19">
        <v>0.40189999999999992</v>
      </c>
      <c r="AH47" s="19">
        <v>0.40189999999999992</v>
      </c>
      <c r="AI47" s="19">
        <v>0.40189999999999992</v>
      </c>
      <c r="AJ47" s="19">
        <v>0.40189999999999992</v>
      </c>
      <c r="AK47" s="20">
        <v>0.40189999999999992</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857.64327600000001</v>
      </c>
      <c r="F50" s="28">
        <f ca="1"/>
        <v>857.64327600000001</v>
      </c>
      <c r="G50" s="28">
        <f ca="1"/>
        <v>857.64327600000001</v>
      </c>
      <c r="H50" s="28">
        <f ca="1"/>
        <v>857.64327600000001</v>
      </c>
      <c r="I50" s="28">
        <f ca="1"/>
        <v>857.64327600000001</v>
      </c>
      <c r="J50" s="28">
        <f ca="1"/>
        <v>857.64327600000001</v>
      </c>
      <c r="K50" s="28">
        <f ca="1"/>
        <v>857.64327600000001</v>
      </c>
      <c r="L50" s="28">
        <f ca="1"/>
        <v>857.64327600000001</v>
      </c>
      <c r="M50" s="28">
        <f ca="1"/>
        <v>857.64327600000001</v>
      </c>
      <c r="N50" s="28">
        <f ca="1"/>
        <v>857.64327600000001</v>
      </c>
      <c r="O50" s="28">
        <f ca="1"/>
        <v>857.64327600000001</v>
      </c>
      <c r="P50" s="28">
        <f ca="1"/>
        <v>857.64327600000001</v>
      </c>
      <c r="Q50" s="28">
        <f ca="1"/>
        <v>857.64327600000001</v>
      </c>
      <c r="R50" s="28">
        <f ca="1"/>
        <v>857.64327600000001</v>
      </c>
      <c r="S50" s="28">
        <f ca="1"/>
        <v>857.64327600000001</v>
      </c>
      <c r="T50" s="28">
        <f ca="1"/>
        <v>857.64327600000001</v>
      </c>
      <c r="U50" s="28">
        <f ca="1"/>
        <v>857.64327600000001</v>
      </c>
      <c r="V50" s="28">
        <f ca="1"/>
        <v>857.64327600000001</v>
      </c>
      <c r="W50" s="28">
        <f ca="1"/>
        <v>857.64327600000001</v>
      </c>
      <c r="X50" s="28">
        <f ca="1"/>
        <v>857.64327600000001</v>
      </c>
      <c r="Y50" s="28">
        <f ca="1"/>
        <v>857.64327600000001</v>
      </c>
      <c r="Z50" s="28">
        <f ca="1"/>
        <v>857.64327600000001</v>
      </c>
      <c r="AA50" s="28">
        <f ca="1"/>
        <v>857.64327600000001</v>
      </c>
      <c r="AB50" s="28">
        <f ca="1"/>
        <v>857.64327600000001</v>
      </c>
      <c r="AC50" s="28">
        <f ca="1"/>
        <v>857.64327600000001</v>
      </c>
      <c r="AD50" s="28">
        <f ca="1"/>
        <v>857.64327600000001</v>
      </c>
      <c r="AE50" s="28">
        <f ca="1"/>
        <v>857.64327600000001</v>
      </c>
      <c r="AF50" s="28">
        <f ca="1"/>
        <v>857.64327600000001</v>
      </c>
      <c r="AG50" s="28">
        <f ca="1"/>
        <v>857.64327600000001</v>
      </c>
      <c r="AH50" s="28">
        <f ca="1"/>
        <v>857.64327600000001</v>
      </c>
      <c r="AI50" s="28">
        <f ca="1"/>
        <v>857.64327600000001</v>
      </c>
      <c r="AJ50" s="28">
        <f ca="1"/>
        <v>857.64327600000001</v>
      </c>
      <c r="AK50" s="29">
        <f ca="1"/>
        <v>857.64327600000001</v>
      </c>
      <c r="AL50" s="3"/>
    </row>
    <row r="51" spans="2:38" hidden="1">
      <c r="B51" s="3"/>
      <c r="C51" s="12"/>
      <c r="D51" s="16"/>
      <c r="E51" s="141">
        <f t="array" aca="1" ref="E51:AK51" ca="1">tlccQubc1</f>
        <v>2014.9057440000001</v>
      </c>
      <c r="F51" s="28">
        <f ca="1"/>
        <v>2014.9057440000001</v>
      </c>
      <c r="G51" s="28">
        <f ca="1"/>
        <v>2014.9057440000001</v>
      </c>
      <c r="H51" s="28">
        <f ca="1"/>
        <v>2014.9057440000001</v>
      </c>
      <c r="I51" s="28">
        <f ca="1"/>
        <v>2014.9057440000001</v>
      </c>
      <c r="J51" s="28">
        <f ca="1"/>
        <v>2014.9057440000001</v>
      </c>
      <c r="K51" s="28">
        <f ca="1"/>
        <v>2014.9057440000001</v>
      </c>
      <c r="L51" s="28">
        <f ca="1"/>
        <v>2014.9057440000001</v>
      </c>
      <c r="M51" s="28">
        <f ca="1"/>
        <v>2014.9057440000001</v>
      </c>
      <c r="N51" s="28">
        <f ca="1"/>
        <v>2014.9057440000001</v>
      </c>
      <c r="O51" s="28">
        <f ca="1"/>
        <v>2014.9057440000001</v>
      </c>
      <c r="P51" s="28">
        <f ca="1"/>
        <v>2014.9057440000001</v>
      </c>
      <c r="Q51" s="28">
        <f ca="1"/>
        <v>2014.9057440000001</v>
      </c>
      <c r="R51" s="28">
        <f ca="1"/>
        <v>2014.9057440000001</v>
      </c>
      <c r="S51" s="28">
        <f ca="1"/>
        <v>2014.9057440000001</v>
      </c>
      <c r="T51" s="28">
        <f ca="1"/>
        <v>2014.9057440000001</v>
      </c>
      <c r="U51" s="28">
        <f ca="1"/>
        <v>2014.9057440000001</v>
      </c>
      <c r="V51" s="28">
        <f ca="1"/>
        <v>2014.9057440000001</v>
      </c>
      <c r="W51" s="28">
        <f ca="1"/>
        <v>2014.9057440000001</v>
      </c>
      <c r="X51" s="28">
        <f ca="1"/>
        <v>2014.9057440000001</v>
      </c>
      <c r="Y51" s="28">
        <f ca="1"/>
        <v>2014.9057440000001</v>
      </c>
      <c r="Z51" s="28">
        <f ca="1"/>
        <v>2014.9057440000001</v>
      </c>
      <c r="AA51" s="28">
        <f ca="1"/>
        <v>2014.9057440000001</v>
      </c>
      <c r="AB51" s="28">
        <f ca="1"/>
        <v>2014.9057440000001</v>
      </c>
      <c r="AC51" s="28">
        <f ca="1"/>
        <v>2014.9057440000001</v>
      </c>
      <c r="AD51" s="28">
        <f ca="1"/>
        <v>2014.9057440000001</v>
      </c>
      <c r="AE51" s="28">
        <f ca="1"/>
        <v>2014.9057440000001</v>
      </c>
      <c r="AF51" s="28">
        <f ca="1"/>
        <v>2014.9057440000001</v>
      </c>
      <c r="AG51" s="28">
        <f ca="1"/>
        <v>2014.9057440000001</v>
      </c>
      <c r="AH51" s="28">
        <f ca="1"/>
        <v>2014.9057440000001</v>
      </c>
      <c r="AI51" s="28">
        <f ca="1"/>
        <v>2014.9057440000001</v>
      </c>
      <c r="AJ51" s="28">
        <f ca="1"/>
        <v>2014.9057440000001</v>
      </c>
      <c r="AK51" s="29">
        <f ca="1"/>
        <v>2014.9057440000001</v>
      </c>
      <c r="AL51" s="3"/>
    </row>
    <row r="52" spans="2:38" hidden="1">
      <c r="B52" s="3"/>
      <c r="C52" s="12"/>
      <c r="D52" s="16"/>
      <c r="E52" s="141">
        <f t="array" aca="1" ref="E52:AK52" ca="1">tlccQubc2</f>
        <v>2207.5431360000002</v>
      </c>
      <c r="F52" s="28">
        <f ca="1"/>
        <v>2207.5431360000002</v>
      </c>
      <c r="G52" s="28">
        <f ca="1"/>
        <v>2207.5431360000002</v>
      </c>
      <c r="H52" s="28">
        <f ca="1"/>
        <v>2207.5431360000002</v>
      </c>
      <c r="I52" s="28">
        <f ca="1"/>
        <v>2207.5431360000002</v>
      </c>
      <c r="J52" s="28">
        <f ca="1"/>
        <v>2207.5431360000002</v>
      </c>
      <c r="K52" s="28">
        <f ca="1"/>
        <v>2207.5431360000002</v>
      </c>
      <c r="L52" s="28">
        <f ca="1"/>
        <v>2207.5431360000002</v>
      </c>
      <c r="M52" s="28">
        <f ca="1"/>
        <v>2207.5431360000002</v>
      </c>
      <c r="N52" s="28">
        <f ca="1"/>
        <v>2207.5431360000002</v>
      </c>
      <c r="O52" s="28">
        <f ca="1"/>
        <v>2207.5431360000002</v>
      </c>
      <c r="P52" s="28">
        <f ca="1"/>
        <v>2207.5431360000002</v>
      </c>
      <c r="Q52" s="28">
        <f ca="1"/>
        <v>2207.5431360000002</v>
      </c>
      <c r="R52" s="28">
        <f ca="1"/>
        <v>2207.5431360000002</v>
      </c>
      <c r="S52" s="28">
        <f ca="1"/>
        <v>2207.5431360000002</v>
      </c>
      <c r="T52" s="28">
        <f ca="1"/>
        <v>2207.5431360000002</v>
      </c>
      <c r="U52" s="28">
        <f ca="1"/>
        <v>2207.5431360000002</v>
      </c>
      <c r="V52" s="28">
        <f ca="1"/>
        <v>2207.5431360000002</v>
      </c>
      <c r="W52" s="28">
        <f ca="1"/>
        <v>2207.5431360000002</v>
      </c>
      <c r="X52" s="28">
        <f ca="1"/>
        <v>2207.5431360000002</v>
      </c>
      <c r="Y52" s="28">
        <f ca="1"/>
        <v>2207.5431360000002</v>
      </c>
      <c r="Z52" s="28">
        <f ca="1"/>
        <v>2207.5431360000002</v>
      </c>
      <c r="AA52" s="28">
        <f ca="1"/>
        <v>2207.5431360000002</v>
      </c>
      <c r="AB52" s="28">
        <f ca="1"/>
        <v>2207.5431360000002</v>
      </c>
      <c r="AC52" s="28">
        <f ca="1"/>
        <v>2207.5431360000002</v>
      </c>
      <c r="AD52" s="28">
        <f ca="1"/>
        <v>2207.5431360000002</v>
      </c>
      <c r="AE52" s="28">
        <f ca="1"/>
        <v>2207.5431360000002</v>
      </c>
      <c r="AF52" s="28">
        <f ca="1"/>
        <v>2207.5431360000002</v>
      </c>
      <c r="AG52" s="28">
        <f ca="1"/>
        <v>2207.5431360000002</v>
      </c>
      <c r="AH52" s="28">
        <f ca="1"/>
        <v>2207.5431360000002</v>
      </c>
      <c r="AI52" s="28">
        <f ca="1"/>
        <v>2207.5431360000002</v>
      </c>
      <c r="AJ52" s="28">
        <f ca="1"/>
        <v>2207.5431360000002</v>
      </c>
      <c r="AK52" s="29">
        <f ca="1"/>
        <v>2207.5431360000002</v>
      </c>
      <c r="AL52" s="3"/>
    </row>
    <row r="53" spans="2:38" hidden="1">
      <c r="B53" s="3"/>
      <c r="C53" s="12"/>
      <c r="D53" s="16"/>
      <c r="E53" s="141">
        <f t="array" aca="1" ref="E53:AK53" ca="1">tlccQubc3</f>
        <v>1585.3124339999999</v>
      </c>
      <c r="F53" s="28">
        <f ca="1"/>
        <v>1585.3124339999999</v>
      </c>
      <c r="G53" s="28">
        <f ca="1"/>
        <v>1585.3124339999999</v>
      </c>
      <c r="H53" s="28">
        <f ca="1"/>
        <v>1585.3124339999999</v>
      </c>
      <c r="I53" s="28">
        <f ca="1"/>
        <v>1585.3124339999999</v>
      </c>
      <c r="J53" s="28">
        <f ca="1"/>
        <v>1585.3124339999999</v>
      </c>
      <c r="K53" s="28">
        <f ca="1"/>
        <v>1585.3124339999999</v>
      </c>
      <c r="L53" s="28">
        <f ca="1"/>
        <v>1585.3124339999999</v>
      </c>
      <c r="M53" s="28">
        <f ca="1"/>
        <v>1585.3124339999999</v>
      </c>
      <c r="N53" s="28">
        <f ca="1"/>
        <v>1585.3124339999999</v>
      </c>
      <c r="O53" s="28">
        <f ca="1"/>
        <v>1585.3124339999999</v>
      </c>
      <c r="P53" s="28">
        <f ca="1"/>
        <v>1585.3124339999999</v>
      </c>
      <c r="Q53" s="28">
        <f ca="1"/>
        <v>1585.3124339999999</v>
      </c>
      <c r="R53" s="28">
        <f ca="1"/>
        <v>1585.3124339999999</v>
      </c>
      <c r="S53" s="28">
        <f ca="1"/>
        <v>1585.3124339999999</v>
      </c>
      <c r="T53" s="28">
        <f ca="1"/>
        <v>1585.3124339999999</v>
      </c>
      <c r="U53" s="28">
        <f ca="1"/>
        <v>1585.3124339999999</v>
      </c>
      <c r="V53" s="28">
        <f ca="1"/>
        <v>1585.3124339999999</v>
      </c>
      <c r="W53" s="28">
        <f ca="1"/>
        <v>1585.3124339999999</v>
      </c>
      <c r="X53" s="28">
        <f ca="1"/>
        <v>1585.3124339999999</v>
      </c>
      <c r="Y53" s="28">
        <f ca="1"/>
        <v>1585.3124339999999</v>
      </c>
      <c r="Z53" s="28">
        <f ca="1"/>
        <v>1585.3124339999999</v>
      </c>
      <c r="AA53" s="28">
        <f ca="1"/>
        <v>1585.3124339999999</v>
      </c>
      <c r="AB53" s="28">
        <f ca="1"/>
        <v>1585.3124339999999</v>
      </c>
      <c r="AC53" s="28">
        <f ca="1"/>
        <v>1585.3124339999999</v>
      </c>
      <c r="AD53" s="28">
        <f ca="1"/>
        <v>1585.3124339999999</v>
      </c>
      <c r="AE53" s="28">
        <f ca="1"/>
        <v>1585.3124339999999</v>
      </c>
      <c r="AF53" s="28">
        <f ca="1"/>
        <v>1585.3124339999999</v>
      </c>
      <c r="AG53" s="28">
        <f ca="1"/>
        <v>1585.3124339999999</v>
      </c>
      <c r="AH53" s="28">
        <f ca="1"/>
        <v>1585.3124339999999</v>
      </c>
      <c r="AI53" s="28">
        <f ca="1"/>
        <v>1585.3124339999999</v>
      </c>
      <c r="AJ53" s="28">
        <f ca="1"/>
        <v>1585.3124339999999</v>
      </c>
      <c r="AK53" s="29">
        <f ca="1"/>
        <v>1585.3124339999999</v>
      </c>
      <c r="AL53" s="3"/>
    </row>
    <row r="54" spans="2:38" hidden="1">
      <c r="B54" s="3"/>
      <c r="C54" s="12"/>
      <c r="D54" s="16"/>
      <c r="E54" s="141">
        <f t="array" aca="1" ref="E54:AK54" ca="1">tlccQubc4</f>
        <v>1495.8686339999999</v>
      </c>
      <c r="F54" s="28">
        <f ca="1"/>
        <v>1495.8686339999999</v>
      </c>
      <c r="G54" s="28">
        <f ca="1"/>
        <v>1495.8686339999999</v>
      </c>
      <c r="H54" s="28">
        <f ca="1"/>
        <v>1495.8686339999999</v>
      </c>
      <c r="I54" s="28">
        <f ca="1"/>
        <v>1495.8686339999999</v>
      </c>
      <c r="J54" s="28">
        <f ca="1"/>
        <v>1495.8686339999999</v>
      </c>
      <c r="K54" s="28">
        <f ca="1"/>
        <v>1495.8686339999999</v>
      </c>
      <c r="L54" s="28">
        <f ca="1"/>
        <v>1495.8686339999999</v>
      </c>
      <c r="M54" s="28">
        <f ca="1"/>
        <v>1495.8686339999999</v>
      </c>
      <c r="N54" s="28">
        <f ca="1"/>
        <v>1495.8686339999999</v>
      </c>
      <c r="O54" s="28">
        <f ca="1"/>
        <v>1495.8686339999999</v>
      </c>
      <c r="P54" s="28">
        <f ca="1"/>
        <v>1495.8686339999999</v>
      </c>
      <c r="Q54" s="28">
        <f ca="1"/>
        <v>1495.8686339999999</v>
      </c>
      <c r="R54" s="28">
        <f ca="1"/>
        <v>1495.8686339999999</v>
      </c>
      <c r="S54" s="28">
        <f ca="1"/>
        <v>1495.8686339999999</v>
      </c>
      <c r="T54" s="28">
        <f ca="1"/>
        <v>1495.8686339999999</v>
      </c>
      <c r="U54" s="28">
        <f ca="1"/>
        <v>1495.8686339999999</v>
      </c>
      <c r="V54" s="28">
        <f ca="1"/>
        <v>1495.8686339999999</v>
      </c>
      <c r="W54" s="28">
        <f ca="1"/>
        <v>1495.8686339999999</v>
      </c>
      <c r="X54" s="28">
        <f ca="1"/>
        <v>1495.8686339999999</v>
      </c>
      <c r="Y54" s="28">
        <f ca="1"/>
        <v>1495.8686339999999</v>
      </c>
      <c r="Z54" s="28">
        <f ca="1"/>
        <v>1495.8686339999999</v>
      </c>
      <c r="AA54" s="28">
        <f ca="1"/>
        <v>1495.8686339999999</v>
      </c>
      <c r="AB54" s="28">
        <f ca="1"/>
        <v>1495.8686339999999</v>
      </c>
      <c r="AC54" s="28">
        <f ca="1"/>
        <v>1495.8686339999999</v>
      </c>
      <c r="AD54" s="28">
        <f ca="1"/>
        <v>1495.8686339999999</v>
      </c>
      <c r="AE54" s="28">
        <f ca="1"/>
        <v>1495.8686339999999</v>
      </c>
      <c r="AF54" s="28">
        <f ca="1"/>
        <v>1495.8686339999999</v>
      </c>
      <c r="AG54" s="28">
        <f ca="1"/>
        <v>1495.8686339999999</v>
      </c>
      <c r="AH54" s="28">
        <f ca="1"/>
        <v>1495.8686339999999</v>
      </c>
      <c r="AI54" s="28">
        <f ca="1"/>
        <v>1495.8686339999999</v>
      </c>
      <c r="AJ54" s="28">
        <f ca="1"/>
        <v>1495.8686339999999</v>
      </c>
      <c r="AK54" s="29">
        <f ca="1"/>
        <v>1495.8686339999999</v>
      </c>
      <c r="AL54" s="3"/>
    </row>
    <row r="55" spans="2:38" hidden="1">
      <c r="B55" s="3"/>
      <c r="C55" s="12"/>
      <c r="D55" s="16"/>
      <c r="E55" s="141">
        <f t="array" aca="1" ref="E55:AK55" ca="1">tlccQubc5</f>
        <v>1745.2063800000001</v>
      </c>
      <c r="F55" s="28">
        <f ca="1"/>
        <v>1745.2063800000001</v>
      </c>
      <c r="G55" s="28">
        <f ca="1"/>
        <v>1745.2063800000001</v>
      </c>
      <c r="H55" s="28">
        <f ca="1"/>
        <v>1745.2063800000001</v>
      </c>
      <c r="I55" s="28">
        <f ca="1"/>
        <v>1745.2063800000001</v>
      </c>
      <c r="J55" s="28">
        <f ca="1"/>
        <v>1745.2063800000001</v>
      </c>
      <c r="K55" s="28">
        <f ca="1"/>
        <v>1745.2063800000001</v>
      </c>
      <c r="L55" s="28">
        <f ca="1"/>
        <v>1745.2063800000001</v>
      </c>
      <c r="M55" s="28">
        <f ca="1"/>
        <v>1745.2063800000001</v>
      </c>
      <c r="N55" s="28">
        <f ca="1"/>
        <v>1745.2063800000001</v>
      </c>
      <c r="O55" s="28">
        <f ca="1"/>
        <v>1745.2063800000001</v>
      </c>
      <c r="P55" s="28">
        <f ca="1"/>
        <v>1745.2063800000001</v>
      </c>
      <c r="Q55" s="28">
        <f ca="1"/>
        <v>1745.2063800000001</v>
      </c>
      <c r="R55" s="28">
        <f ca="1"/>
        <v>1745.2063800000001</v>
      </c>
      <c r="S55" s="28">
        <f ca="1"/>
        <v>1745.2063800000001</v>
      </c>
      <c r="T55" s="28">
        <f ca="1"/>
        <v>1745.2063800000001</v>
      </c>
      <c r="U55" s="28">
        <f ca="1"/>
        <v>1745.2063800000001</v>
      </c>
      <c r="V55" s="28">
        <f ca="1"/>
        <v>1745.2063800000001</v>
      </c>
      <c r="W55" s="28">
        <f ca="1"/>
        <v>1745.2063800000001</v>
      </c>
      <c r="X55" s="28">
        <f ca="1"/>
        <v>1745.2063800000001</v>
      </c>
      <c r="Y55" s="28">
        <f ca="1"/>
        <v>1745.2063800000001</v>
      </c>
      <c r="Z55" s="28">
        <f ca="1"/>
        <v>1745.2063800000001</v>
      </c>
      <c r="AA55" s="28">
        <f ca="1"/>
        <v>1745.2063800000001</v>
      </c>
      <c r="AB55" s="28">
        <f ca="1"/>
        <v>1745.2063800000001</v>
      </c>
      <c r="AC55" s="28">
        <f ca="1"/>
        <v>1745.2063800000001</v>
      </c>
      <c r="AD55" s="28">
        <f ca="1"/>
        <v>1745.2063800000001</v>
      </c>
      <c r="AE55" s="28">
        <f ca="1"/>
        <v>1745.2063800000001</v>
      </c>
      <c r="AF55" s="28">
        <f ca="1"/>
        <v>1745.2063800000001</v>
      </c>
      <c r="AG55" s="28">
        <f ca="1"/>
        <v>1745.2063800000001</v>
      </c>
      <c r="AH55" s="28">
        <f ca="1"/>
        <v>1745.2063800000001</v>
      </c>
      <c r="AI55" s="28">
        <f ca="1"/>
        <v>1745.2063800000001</v>
      </c>
      <c r="AJ55" s="28">
        <f ca="1"/>
        <v>1745.2063800000001</v>
      </c>
      <c r="AK55" s="29">
        <f ca="1"/>
        <v>1745.2063800000001</v>
      </c>
      <c r="AL55" s="3"/>
    </row>
    <row r="56" spans="2:38" hidden="1">
      <c r="B56" s="3"/>
      <c r="C56" s="4"/>
      <c r="D56" s="5"/>
      <c r="E56" s="147">
        <f t="array" aca="1" ref="E56:AK56" ca="1">tlccQubc6</f>
        <v>1768.2513120000001</v>
      </c>
      <c r="F56" s="35">
        <f ca="1"/>
        <v>1768.2513120000001</v>
      </c>
      <c r="G56" s="35">
        <f ca="1"/>
        <v>1768.2513120000001</v>
      </c>
      <c r="H56" s="35">
        <f ca="1"/>
        <v>1768.2513120000001</v>
      </c>
      <c r="I56" s="35">
        <f ca="1"/>
        <v>1768.2513120000001</v>
      </c>
      <c r="J56" s="35">
        <f ca="1"/>
        <v>1768.2513120000001</v>
      </c>
      <c r="K56" s="35">
        <f ca="1"/>
        <v>1768.2513120000001</v>
      </c>
      <c r="L56" s="35">
        <f ca="1"/>
        <v>1768.2513120000001</v>
      </c>
      <c r="M56" s="35">
        <f ca="1"/>
        <v>1768.2513120000001</v>
      </c>
      <c r="N56" s="35">
        <f ca="1"/>
        <v>1768.2513120000001</v>
      </c>
      <c r="O56" s="35">
        <f ca="1"/>
        <v>1768.2513120000001</v>
      </c>
      <c r="P56" s="35">
        <f ca="1"/>
        <v>1768.2513120000001</v>
      </c>
      <c r="Q56" s="35">
        <f ca="1"/>
        <v>1768.2513120000001</v>
      </c>
      <c r="R56" s="35">
        <f ca="1"/>
        <v>1768.2513120000001</v>
      </c>
      <c r="S56" s="35">
        <f ca="1"/>
        <v>1768.2513120000001</v>
      </c>
      <c r="T56" s="35">
        <f ca="1"/>
        <v>1768.2513120000001</v>
      </c>
      <c r="U56" s="35">
        <f ca="1"/>
        <v>1768.2513120000001</v>
      </c>
      <c r="V56" s="35">
        <f ca="1"/>
        <v>1768.2513120000001</v>
      </c>
      <c r="W56" s="35">
        <f ca="1"/>
        <v>1768.2513120000001</v>
      </c>
      <c r="X56" s="35">
        <f ca="1"/>
        <v>1768.2513120000001</v>
      </c>
      <c r="Y56" s="35">
        <f ca="1"/>
        <v>1768.2513120000001</v>
      </c>
      <c r="Z56" s="35">
        <f ca="1"/>
        <v>1768.2513120000001</v>
      </c>
      <c r="AA56" s="35">
        <f ca="1"/>
        <v>1768.2513120000001</v>
      </c>
      <c r="AB56" s="35">
        <f ca="1"/>
        <v>1768.2513120000001</v>
      </c>
      <c r="AC56" s="35">
        <f ca="1"/>
        <v>1768.2513120000001</v>
      </c>
      <c r="AD56" s="35">
        <f ca="1"/>
        <v>1768.2513120000001</v>
      </c>
      <c r="AE56" s="35">
        <f ca="1"/>
        <v>1768.2513120000001</v>
      </c>
      <c r="AF56" s="35">
        <f ca="1"/>
        <v>1768.2513120000001</v>
      </c>
      <c r="AG56" s="35">
        <f ca="1"/>
        <v>1768.2513120000001</v>
      </c>
      <c r="AH56" s="35">
        <f ca="1"/>
        <v>1768.2513120000001</v>
      </c>
      <c r="AI56" s="35">
        <f ca="1"/>
        <v>1768.2513120000001</v>
      </c>
      <c r="AJ56" s="35">
        <f ca="1"/>
        <v>1768.2513120000001</v>
      </c>
      <c r="AK56" s="36">
        <f ca="1"/>
        <v>1768.2513120000001</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20786.306893052075</v>
      </c>
      <c r="F59" s="28">
        <f ca="1"/>
        <v>20877.873945864583</v>
      </c>
      <c r="G59" s="28">
        <f ca="1"/>
        <v>20958.873774482992</v>
      </c>
      <c r="H59" s="28">
        <f ca="1"/>
        <v>21047.248932842904</v>
      </c>
      <c r="I59" s="28">
        <f ca="1"/>
        <v>21124.799848828738</v>
      </c>
      <c r="J59" s="28">
        <f ca="1"/>
        <v>21209.482120133616</v>
      </c>
      <c r="K59" s="28">
        <f ca="1"/>
        <v>21283.141217126416</v>
      </c>
      <c r="L59" s="28">
        <f ca="1"/>
        <v>21363.632814161625</v>
      </c>
      <c r="M59" s="28">
        <f ca="1"/>
        <v>21451.510171694747</v>
      </c>
      <c r="N59" s="28">
        <f ca="1"/>
        <v>21528.554585867932</v>
      </c>
      <c r="O59" s="28">
        <f ca="1"/>
        <v>21612.721368269231</v>
      </c>
      <c r="P59" s="28">
        <f ca="1"/>
        <v>21704.552344248063</v>
      </c>
      <c r="Q59" s="28">
        <f ca="1"/>
        <v>21785.853749566792</v>
      </c>
      <c r="R59" s="28">
        <f ca="1"/>
        <v>21874.640439048588</v>
      </c>
      <c r="S59" s="28">
        <f ca="1"/>
        <v>21952.692617609631</v>
      </c>
      <c r="T59" s="28">
        <f ca="1"/>
        <v>22037.997663539321</v>
      </c>
      <c r="U59" s="28">
        <f ca="1"/>
        <v>22131.056269652589</v>
      </c>
      <c r="V59" s="28">
        <f ca="1"/>
        <v>22213.721385380395</v>
      </c>
      <c r="W59" s="28">
        <f ca="1"/>
        <v>22304.016517746513</v>
      </c>
      <c r="X59" s="28">
        <f ca="1"/>
        <v>22383.697364485648</v>
      </c>
      <c r="Y59" s="28">
        <f ca="1"/>
        <v>22470.830566384262</v>
      </c>
      <c r="Z59" s="28">
        <f ca="1"/>
        <v>22565.853622800809</v>
      </c>
      <c r="AA59" s="28">
        <f ca="1"/>
        <v>22650.709494811614</v>
      </c>
      <c r="AB59" s="28">
        <f ca="1"/>
        <v>22743.30203647897</v>
      </c>
      <c r="AC59" s="28">
        <f ca="1"/>
        <v>22825.520782277519</v>
      </c>
      <c r="AD59" s="28">
        <f ca="1"/>
        <v>22915.362665039036</v>
      </c>
      <c r="AE59" s="28">
        <f ca="1"/>
        <v>23013.273888141797</v>
      </c>
      <c r="AF59" s="28">
        <f ca="1"/>
        <v>23101.324001368219</v>
      </c>
      <c r="AG59" s="28">
        <f ca="1"/>
        <v>23197.365862278933</v>
      </c>
      <c r="AH59" s="28">
        <f ca="1"/>
        <v>23283.366949591738</v>
      </c>
      <c r="AI59" s="28">
        <f ca="1"/>
        <v>23377.259662135275</v>
      </c>
      <c r="AJ59" s="28">
        <f ca="1"/>
        <v>23460.950012408208</v>
      </c>
      <c r="AK59" s="29">
        <f ca="1"/>
        <v>23552.397971895931</v>
      </c>
      <c r="AL59" s="3"/>
    </row>
    <row r="60" spans="2:38" hidden="1">
      <c r="B60" s="3"/>
      <c r="C60" s="12"/>
      <c r="D60" s="16"/>
      <c r="E60" s="141">
        <f t="array" aca="1" ref="E60:AK60" ca="1">tlccEubc1</f>
        <v>41125.495423413071</v>
      </c>
      <c r="F60" s="28">
        <f ca="1"/>
        <v>41306.659900140519</v>
      </c>
      <c r="G60" s="28">
        <f ca="1"/>
        <v>41466.91723196402</v>
      </c>
      <c r="H60" s="28">
        <f ca="1"/>
        <v>41641.766578188654</v>
      </c>
      <c r="I60" s="28">
        <f ca="1"/>
        <v>41795.200271670903</v>
      </c>
      <c r="J60" s="28">
        <f ca="1"/>
        <v>41962.743278656737</v>
      </c>
      <c r="K60" s="28">
        <f ca="1"/>
        <v>42108.477048097149</v>
      </c>
      <c r="L60" s="28">
        <f ca="1"/>
        <v>42267.728848935374</v>
      </c>
      <c r="M60" s="28">
        <f ca="1"/>
        <v>42441.593301319554</v>
      </c>
      <c r="N60" s="28">
        <f ca="1"/>
        <v>42594.024886149979</v>
      </c>
      <c r="O60" s="28">
        <f ca="1"/>
        <v>42760.548003616554</v>
      </c>
      <c r="P60" s="28">
        <f ca="1"/>
        <v>42942.234649627113</v>
      </c>
      <c r="Q60" s="28">
        <f ca="1"/>
        <v>43103.088647865232</v>
      </c>
      <c r="R60" s="28">
        <f ca="1"/>
        <v>43278.752204202123</v>
      </c>
      <c r="S60" s="28">
        <f ca="1"/>
        <v>43433.177640558657</v>
      </c>
      <c r="T60" s="28">
        <f ca="1"/>
        <v>43601.952800765117</v>
      </c>
      <c r="U60" s="28">
        <f ca="1"/>
        <v>43786.068300430903</v>
      </c>
      <c r="V60" s="28">
        <f ca="1"/>
        <v>43949.620385754737</v>
      </c>
      <c r="W60" s="28">
        <f ca="1"/>
        <v>44128.268380898138</v>
      </c>
      <c r="X60" s="28">
        <f ca="1"/>
        <v>44285.916120574257</v>
      </c>
      <c r="Y60" s="28">
        <f ca="1"/>
        <v>44458.308268652589</v>
      </c>
      <c r="Z60" s="28">
        <f ca="1"/>
        <v>44646.310413135674</v>
      </c>
      <c r="AA60" s="28">
        <f ca="1"/>
        <v>44814.19688734127</v>
      </c>
      <c r="AB60" s="28">
        <f ca="1"/>
        <v>44997.390283271357</v>
      </c>
      <c r="AC60" s="28">
        <f ca="1"/>
        <v>45160.059230259103</v>
      </c>
      <c r="AD60" s="28">
        <f ca="1"/>
        <v>45337.810475699167</v>
      </c>
      <c r="AE60" s="28">
        <f ca="1"/>
        <v>45531.526828408241</v>
      </c>
      <c r="AF60" s="28">
        <f ca="1"/>
        <v>45705.733076163306</v>
      </c>
      <c r="AG60" s="28">
        <f ca="1"/>
        <v>45895.750914909862</v>
      </c>
      <c r="AH60" s="28">
        <f ca="1"/>
        <v>46065.903185868279</v>
      </c>
      <c r="AI60" s="28">
        <f ca="1"/>
        <v>46251.668956568603</v>
      </c>
      <c r="AJ60" s="28">
        <f ca="1"/>
        <v>46417.249457945843</v>
      </c>
      <c r="AK60" s="29">
        <f ca="1"/>
        <v>46598.178309749215</v>
      </c>
      <c r="AL60" s="3"/>
    </row>
    <row r="61" spans="2:38" hidden="1">
      <c r="B61" s="3"/>
      <c r="C61" s="12"/>
      <c r="D61" s="16"/>
      <c r="E61" s="141">
        <f t="array" aca="1" ref="E61:AK61" ca="1">tlccEubc2</f>
        <v>54017.634718068228</v>
      </c>
      <c r="F61" s="28">
        <f ca="1"/>
        <v>54255.591159127471</v>
      </c>
      <c r="G61" s="28">
        <f ca="1"/>
        <v>54466.086423007087</v>
      </c>
      <c r="H61" s="28">
        <f ca="1"/>
        <v>54695.748048181777</v>
      </c>
      <c r="I61" s="28">
        <f ca="1"/>
        <v>54897.280579829989</v>
      </c>
      <c r="J61" s="28">
        <f ca="1"/>
        <v>55117.345453401751</v>
      </c>
      <c r="K61" s="28">
        <f ca="1"/>
        <v>55308.764266541148</v>
      </c>
      <c r="L61" s="28">
        <f ca="1"/>
        <v>55517.938782672943</v>
      </c>
      <c r="M61" s="28">
        <f ca="1"/>
        <v>55746.306766636473</v>
      </c>
      <c r="N61" s="28">
        <f ca="1"/>
        <v>55946.523045713271</v>
      </c>
      <c r="O61" s="28">
        <f ca="1"/>
        <v>56165.248311848394</v>
      </c>
      <c r="P61" s="28">
        <f ca="1"/>
        <v>56403.890613328389</v>
      </c>
      <c r="Q61" s="28">
        <f ca="1"/>
        <v>56615.169588336707</v>
      </c>
      <c r="R61" s="28">
        <f ca="1"/>
        <v>56845.900664565444</v>
      </c>
      <c r="S61" s="28">
        <f ca="1"/>
        <v>57048.735833513601</v>
      </c>
      <c r="T61" s="28">
        <f ca="1"/>
        <v>57270.419119262551</v>
      </c>
      <c r="U61" s="28">
        <f ca="1"/>
        <v>57512.251678469089</v>
      </c>
      <c r="V61" s="28">
        <f ca="1"/>
        <v>57727.074544709176</v>
      </c>
      <c r="W61" s="28">
        <f ca="1"/>
        <v>57961.725630256406</v>
      </c>
      <c r="X61" s="28">
        <f ca="1"/>
        <v>58168.793239491948</v>
      </c>
      <c r="Y61" s="28">
        <f ca="1"/>
        <v>58395.227376935982</v>
      </c>
      <c r="Z61" s="28">
        <f ca="1"/>
        <v>58642.164977622437</v>
      </c>
      <c r="AA61" s="28">
        <f ca="1"/>
        <v>58862.680989511755</v>
      </c>
      <c r="AB61" s="28">
        <f ca="1"/>
        <v>59103.302381235619</v>
      </c>
      <c r="AC61" s="28">
        <f ca="1"/>
        <v>59316.965260378835</v>
      </c>
      <c r="AD61" s="28">
        <f ca="1"/>
        <v>59550.438480531142</v>
      </c>
      <c r="AE61" s="28">
        <f ca="1"/>
        <v>59804.881595971303</v>
      </c>
      <c r="AF61" s="28">
        <f ca="1"/>
        <v>60033.698522307495</v>
      </c>
      <c r="AG61" s="28">
        <f ca="1"/>
        <v>60283.283702927212</v>
      </c>
      <c r="AH61" s="28">
        <f ca="1"/>
        <v>60506.775800091084</v>
      </c>
      <c r="AI61" s="28">
        <f ca="1"/>
        <v>60750.775962070809</v>
      </c>
      <c r="AJ61" s="28">
        <f ca="1"/>
        <v>60968.26311809761</v>
      </c>
      <c r="AK61" s="29">
        <f ca="1"/>
        <v>61205.910069849888</v>
      </c>
      <c r="AL61" s="3"/>
    </row>
    <row r="62" spans="2:38" hidden="1">
      <c r="B62" s="3"/>
      <c r="C62" s="12"/>
      <c r="D62" s="16"/>
      <c r="E62" s="141">
        <f t="array" aca="1" ref="E62:AK62" ca="1">tlccEubc3</f>
        <v>47476.07586674246</v>
      </c>
      <c r="F62" s="28">
        <f ca="1"/>
        <v>47685.21568020658</v>
      </c>
      <c r="G62" s="28">
        <f ca="1"/>
        <v>47870.219876886033</v>
      </c>
      <c r="H62" s="28">
        <f ca="1"/>
        <v>48072.06938024507</v>
      </c>
      <c r="I62" s="28">
        <f ca="1"/>
        <v>48249.196235430158</v>
      </c>
      <c r="J62" s="28">
        <f ca="1"/>
        <v>48442.611157942534</v>
      </c>
      <c r="K62" s="28">
        <f ca="1"/>
        <v>48610.84907029022</v>
      </c>
      <c r="L62" s="28">
        <f ca="1"/>
        <v>48794.692462343468</v>
      </c>
      <c r="M62" s="28">
        <f ca="1"/>
        <v>48995.40498499971</v>
      </c>
      <c r="N62" s="28">
        <f ca="1"/>
        <v>49171.37498636722</v>
      </c>
      <c r="O62" s="28">
        <f ca="1"/>
        <v>49363.612528481033</v>
      </c>
      <c r="P62" s="28">
        <f ca="1"/>
        <v>49573.355144373265</v>
      </c>
      <c r="Q62" s="28">
        <f ca="1"/>
        <v>49759.048144425833</v>
      </c>
      <c r="R62" s="28">
        <f ca="1"/>
        <v>49961.837587855269</v>
      </c>
      <c r="S62" s="28">
        <f ca="1"/>
        <v>50140.109330401669</v>
      </c>
      <c r="T62" s="28">
        <f ca="1"/>
        <v>50334.946674678889</v>
      </c>
      <c r="U62" s="28">
        <f ca="1"/>
        <v>50547.493206711668</v>
      </c>
      <c r="V62" s="28">
        <f ca="1"/>
        <v>50736.300931240105</v>
      </c>
      <c r="W62" s="28">
        <f ca="1"/>
        <v>50942.535669169658</v>
      </c>
      <c r="X62" s="28">
        <f ca="1"/>
        <v>51124.527301660055</v>
      </c>
      <c r="Y62" s="28">
        <f ca="1"/>
        <v>51323.540167443978</v>
      </c>
      <c r="Z62" s="28">
        <f ca="1"/>
        <v>51540.573518232697</v>
      </c>
      <c r="AA62" s="28">
        <f ca="1"/>
        <v>51734.384946017883</v>
      </c>
      <c r="AB62" s="28">
        <f ca="1"/>
        <v>51945.866983472231</v>
      </c>
      <c r="AC62" s="28">
        <f ca="1"/>
        <v>52133.655195841267</v>
      </c>
      <c r="AD62" s="28">
        <f ca="1"/>
        <v>52338.854708382969</v>
      </c>
      <c r="AE62" s="28">
        <f ca="1"/>
        <v>52562.484652853105</v>
      </c>
      <c r="AF62" s="28">
        <f ca="1"/>
        <v>52763.591750767155</v>
      </c>
      <c r="AG62" s="28">
        <f ca="1"/>
        <v>52982.952058417788</v>
      </c>
      <c r="AH62" s="28">
        <f ca="1"/>
        <v>53179.37916626779</v>
      </c>
      <c r="AI62" s="28">
        <f ca="1"/>
        <v>53393.830803443496</v>
      </c>
      <c r="AJ62" s="28">
        <f ca="1"/>
        <v>53584.980171116906</v>
      </c>
      <c r="AK62" s="29">
        <f ca="1"/>
        <v>53793.847974562486</v>
      </c>
      <c r="AL62" s="3"/>
    </row>
    <row r="63" spans="2:38" hidden="1">
      <c r="B63" s="3"/>
      <c r="C63" s="12"/>
      <c r="D63" s="16"/>
      <c r="E63" s="141">
        <f t="array" aca="1" ref="E63:AK63" ca="1">tlccEubc4</f>
        <v>46396.010712905525</v>
      </c>
      <c r="F63" s="28">
        <f ca="1"/>
        <v>46600.392664211067</v>
      </c>
      <c r="G63" s="28">
        <f ca="1"/>
        <v>46781.18807609738</v>
      </c>
      <c r="H63" s="28">
        <f ca="1"/>
        <v>46978.445569461546</v>
      </c>
      <c r="I63" s="28">
        <f ca="1"/>
        <v>47151.542846788674</v>
      </c>
      <c r="J63" s="28">
        <f ca="1"/>
        <v>47340.557643253887</v>
      </c>
      <c r="K63" s="28">
        <f ca="1"/>
        <v>47504.968198277646</v>
      </c>
      <c r="L63" s="28">
        <f ca="1"/>
        <v>47684.629213462242</v>
      </c>
      <c r="M63" s="28">
        <f ca="1"/>
        <v>47880.775592061676</v>
      </c>
      <c r="N63" s="28">
        <f ca="1"/>
        <v>48052.742333616152</v>
      </c>
      <c r="O63" s="28">
        <f ca="1"/>
        <v>48240.606534700724</v>
      </c>
      <c r="P63" s="28">
        <f ca="1"/>
        <v>48445.577574876887</v>
      </c>
      <c r="Q63" s="28">
        <f ca="1"/>
        <v>48627.04612008547</v>
      </c>
      <c r="R63" s="28">
        <f ca="1"/>
        <v>48825.222170191708</v>
      </c>
      <c r="S63" s="28">
        <f ca="1"/>
        <v>48999.438289068261</v>
      </c>
      <c r="T63" s="28">
        <f ca="1"/>
        <v>49189.843147669737</v>
      </c>
      <c r="U63" s="28">
        <f ca="1"/>
        <v>49397.554315813926</v>
      </c>
      <c r="V63" s="28">
        <f ca="1"/>
        <v>49582.066726538163</v>
      </c>
      <c r="W63" s="28">
        <f ca="1"/>
        <v>49783.609691824684</v>
      </c>
      <c r="X63" s="28">
        <f ca="1"/>
        <v>49961.461074369108</v>
      </c>
      <c r="Y63" s="28">
        <f ca="1"/>
        <v>50155.946462732587</v>
      </c>
      <c r="Z63" s="28">
        <f ca="1"/>
        <v>50368.042375977726</v>
      </c>
      <c r="AA63" s="28">
        <f ca="1"/>
        <v>50557.444657350861</v>
      </c>
      <c r="AB63" s="28">
        <f ca="1"/>
        <v>50764.115547819143</v>
      </c>
      <c r="AC63" s="28">
        <f ca="1"/>
        <v>50947.631639951236</v>
      </c>
      <c r="AD63" s="28">
        <f ca="1"/>
        <v>51148.162930887978</v>
      </c>
      <c r="AE63" s="28">
        <f ca="1"/>
        <v>51366.705367471914</v>
      </c>
      <c r="AF63" s="28">
        <f ca="1"/>
        <v>51563.237344871435</v>
      </c>
      <c r="AG63" s="28">
        <f ca="1"/>
        <v>51777.607277473107</v>
      </c>
      <c r="AH63" s="28">
        <f ca="1"/>
        <v>51969.565733047566</v>
      </c>
      <c r="AI63" s="28">
        <f ca="1"/>
        <v>52179.138665817562</v>
      </c>
      <c r="AJ63" s="28">
        <f ca="1"/>
        <v>52365.939448073288</v>
      </c>
      <c r="AK63" s="29">
        <f ca="1"/>
        <v>52570.055577499028</v>
      </c>
      <c r="AL63" s="3"/>
    </row>
    <row r="64" spans="2:38" hidden="1">
      <c r="B64" s="3"/>
      <c r="C64" s="12"/>
      <c r="D64" s="16"/>
      <c r="E64" s="141">
        <f t="array" aca="1" ref="E64:AK64" ca="1">tlccEubc5</f>
        <v>33332.157748538812</v>
      </c>
      <c r="F64" s="28">
        <f ca="1"/>
        <v>33478.991308950419</v>
      </c>
      <c r="G64" s="28">
        <f ca="1"/>
        <v>33608.879657034835</v>
      </c>
      <c r="H64" s="28">
        <f ca="1"/>
        <v>33750.594812817988</v>
      </c>
      <c r="I64" s="28">
        <f ca="1"/>
        <v>33874.952611366942</v>
      </c>
      <c r="J64" s="28">
        <f ca="1"/>
        <v>34010.74598919788</v>
      </c>
      <c r="K64" s="28">
        <f ca="1"/>
        <v>34128.863009850524</v>
      </c>
      <c r="L64" s="28">
        <f ca="1"/>
        <v>34257.93637644776</v>
      </c>
      <c r="M64" s="28">
        <f ca="1"/>
        <v>34398.853277121343</v>
      </c>
      <c r="N64" s="28">
        <f ca="1"/>
        <v>34522.398867979689</v>
      </c>
      <c r="O64" s="28">
        <f ca="1"/>
        <v>34657.365626751292</v>
      </c>
      <c r="P64" s="28">
        <f ca="1"/>
        <v>34804.622404652087</v>
      </c>
      <c r="Q64" s="28">
        <f ca="1"/>
        <v>34934.994350048866</v>
      </c>
      <c r="R64" s="28">
        <f ca="1"/>
        <v>35077.369422013544</v>
      </c>
      <c r="S64" s="28">
        <f ca="1"/>
        <v>35202.531026804601</v>
      </c>
      <c r="T64" s="28">
        <f ca="1"/>
        <v>35339.323063134296</v>
      </c>
      <c r="U64" s="28">
        <f ca="1"/>
        <v>35488.548423598106</v>
      </c>
      <c r="V64" s="28">
        <f ca="1"/>
        <v>35621.107164884728</v>
      </c>
      <c r="W64" s="28">
        <f ca="1"/>
        <v>35765.901120416995</v>
      </c>
      <c r="X64" s="28">
        <f ca="1"/>
        <v>35893.674397637937</v>
      </c>
      <c r="Y64" s="28">
        <f ca="1"/>
        <v>36033.397997686916</v>
      </c>
      <c r="Z64" s="28">
        <f ca="1"/>
        <v>36185.773478455143</v>
      </c>
      <c r="AA64" s="28">
        <f ca="1"/>
        <v>36321.845235997564</v>
      </c>
      <c r="AB64" s="28">
        <f ca="1"/>
        <v>36470.323232645766</v>
      </c>
      <c r="AC64" s="28">
        <f ca="1"/>
        <v>36602.166191519827</v>
      </c>
      <c r="AD64" s="28">
        <f ca="1"/>
        <v>36746.233332644995</v>
      </c>
      <c r="AE64" s="28">
        <f ca="1"/>
        <v>36903.240171358811</v>
      </c>
      <c r="AF64" s="28">
        <f ca="1"/>
        <v>37044.434096712648</v>
      </c>
      <c r="AG64" s="28">
        <f ca="1"/>
        <v>37198.443294922348</v>
      </c>
      <c r="AH64" s="28">
        <f ca="1"/>
        <v>37336.35147763155</v>
      </c>
      <c r="AI64" s="28">
        <f ca="1"/>
        <v>37486.914380509959</v>
      </c>
      <c r="AJ64" s="28">
        <f ca="1"/>
        <v>37621.11715023141</v>
      </c>
      <c r="AK64" s="29">
        <f ca="1"/>
        <v>37767.759736964574</v>
      </c>
      <c r="AL64" s="3"/>
    </row>
    <row r="65" spans="2:38" hidden="1">
      <c r="B65" s="3"/>
      <c r="C65" s="4"/>
      <c r="D65" s="5"/>
      <c r="E65" s="147">
        <f t="array" aca="1" ref="E65:AK65" ca="1">tlccEubc6</f>
        <v>41346.217347511236</v>
      </c>
      <c r="F65" s="35">
        <f ca="1"/>
        <v>41528.35414010915</v>
      </c>
      <c r="G65" s="35">
        <f ca="1"/>
        <v>41689.471578449688</v>
      </c>
      <c r="H65" s="35">
        <f ca="1"/>
        <v>41865.259347025923</v>
      </c>
      <c r="I65" s="35">
        <f ca="1"/>
        <v>42019.516524327577</v>
      </c>
      <c r="J65" s="35">
        <f ca="1"/>
        <v>42187.958740295369</v>
      </c>
      <c r="K65" s="35">
        <f ca="1"/>
        <v>42334.474667802606</v>
      </c>
      <c r="L65" s="35">
        <f ca="1"/>
        <v>42494.581178439083</v>
      </c>
      <c r="M65" s="35">
        <f ca="1"/>
        <v>42669.378767216316</v>
      </c>
      <c r="N65" s="35">
        <f ca="1"/>
        <v>42822.628457515129</v>
      </c>
      <c r="O65" s="35">
        <f ca="1"/>
        <v>42990.045310182155</v>
      </c>
      <c r="P65" s="35">
        <f ca="1"/>
        <v>43172.707074563383</v>
      </c>
      <c r="Q65" s="35">
        <f ca="1"/>
        <v>43334.424381647368</v>
      </c>
      <c r="R65" s="35">
        <f ca="1"/>
        <v>43511.030730229082</v>
      </c>
      <c r="S65" s="35">
        <f ca="1"/>
        <v>43666.284973122543</v>
      </c>
      <c r="T65" s="35">
        <f ca="1"/>
        <v>43835.965955318898</v>
      </c>
      <c r="U65" s="35">
        <f ca="1"/>
        <v>44021.069609095059</v>
      </c>
      <c r="V65" s="35">
        <f ca="1"/>
        <v>44185.499483989377</v>
      </c>
      <c r="W65" s="35">
        <f ca="1"/>
        <v>44365.106288961535</v>
      </c>
      <c r="X65" s="35">
        <f ca="1"/>
        <v>44523.600129385442</v>
      </c>
      <c r="Y65" s="35">
        <f ca="1"/>
        <v>44696.917511949847</v>
      </c>
      <c r="Z65" s="35">
        <f ca="1"/>
        <v>44885.928670297362</v>
      </c>
      <c r="AA65" s="35">
        <f ca="1"/>
        <v>45054.716196885071</v>
      </c>
      <c r="AB65" s="35">
        <f ca="1"/>
        <v>45238.892797963606</v>
      </c>
      <c r="AC65" s="35">
        <f ca="1"/>
        <v>45402.43479468851</v>
      </c>
      <c r="AD65" s="35">
        <f ca="1"/>
        <v>45581.140037071404</v>
      </c>
      <c r="AE65" s="35">
        <f ca="1"/>
        <v>45775.896071993629</v>
      </c>
      <c r="AF65" s="35">
        <f ca="1"/>
        <v>45951.037290569046</v>
      </c>
      <c r="AG65" s="35">
        <f ca="1"/>
        <v>46142.074961479273</v>
      </c>
      <c r="AH65" s="35">
        <f ca="1"/>
        <v>46313.140445427547</v>
      </c>
      <c r="AI65" s="35">
        <f ca="1"/>
        <v>46499.90322729863</v>
      </c>
      <c r="AJ65" s="35">
        <f ca="1"/>
        <v>46666.372404823895</v>
      </c>
      <c r="AK65" s="36">
        <f ca="1"/>
        <v>46848.272307890817</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4414.4426657888444</v>
      </c>
      <c r="F68" s="28">
        <f ca="1"/>
        <v>4381.3093155142733</v>
      </c>
      <c r="G68" s="28">
        <f ca="1"/>
        <v>4347.9321602490227</v>
      </c>
      <c r="H68" s="28">
        <f ca="1"/>
        <v>4318.6317621934913</v>
      </c>
      <c r="I68" s="28">
        <f ca="1"/>
        <v>4290.8510010679856</v>
      </c>
      <c r="J68" s="28">
        <f ca="1"/>
        <v>4266.6673614694937</v>
      </c>
      <c r="K68" s="28">
        <f ca="1"/>
        <v>4247.9163686232996</v>
      </c>
      <c r="L68" s="28">
        <f ca="1"/>
        <v>4232.3779387640498</v>
      </c>
      <c r="M68" s="28">
        <f ca="1"/>
        <v>4216.770077694684</v>
      </c>
      <c r="N68" s="28">
        <f ca="1"/>
        <v>4204.2873071118192</v>
      </c>
      <c r="O68" s="28">
        <f ca="1"/>
        <v>4195.6895387205286</v>
      </c>
      <c r="P68" s="28">
        <f ca="1"/>
        <v>4189.3967206449424</v>
      </c>
      <c r="Q68" s="28">
        <f ca="1"/>
        <v>4184.1018723261395</v>
      </c>
      <c r="R68" s="28">
        <f ca="1"/>
        <v>4180.1952546739585</v>
      </c>
      <c r="S68" s="28">
        <f ca="1"/>
        <v>4177.217988144952</v>
      </c>
      <c r="T68" s="28">
        <f ca="1"/>
        <v>4176.8445684677263</v>
      </c>
      <c r="U68" s="28">
        <f ca="1"/>
        <v>4177.6087499095565</v>
      </c>
      <c r="V68" s="28">
        <f ca="1"/>
        <v>4178.7316986856213</v>
      </c>
      <c r="W68" s="28">
        <f ca="1"/>
        <v>4180.3376710180819</v>
      </c>
      <c r="X68" s="28">
        <f ca="1"/>
        <v>4181.8552976208657</v>
      </c>
      <c r="Y68" s="28">
        <f ca="1"/>
        <v>4183.1127324033332</v>
      </c>
      <c r="Z68" s="28">
        <f ca="1"/>
        <v>4183.9553914930684</v>
      </c>
      <c r="AA68" s="28">
        <f ca="1"/>
        <v>4184.5107599261619</v>
      </c>
      <c r="AB68" s="28">
        <f ca="1"/>
        <v>4184.5107599261619</v>
      </c>
      <c r="AC68" s="28">
        <f ca="1"/>
        <v>4184.5107599261619</v>
      </c>
      <c r="AD68" s="28">
        <f ca="1"/>
        <v>4184.5107599261619</v>
      </c>
      <c r="AE68" s="28">
        <f ca="1"/>
        <v>4184.5107599261619</v>
      </c>
      <c r="AF68" s="28">
        <f ca="1"/>
        <v>4184.5107599261619</v>
      </c>
      <c r="AG68" s="28">
        <f ca="1"/>
        <v>4184.5107599261619</v>
      </c>
      <c r="AH68" s="28">
        <f ca="1"/>
        <v>4184.5107599261619</v>
      </c>
      <c r="AI68" s="28">
        <f ca="1"/>
        <v>4184.5107599261619</v>
      </c>
      <c r="AJ68" s="28">
        <f ca="1"/>
        <v>4184.5107599261619</v>
      </c>
      <c r="AK68" s="29">
        <f ca="1"/>
        <v>4184.5107599261619</v>
      </c>
      <c r="AL68" s="3"/>
    </row>
    <row r="69" spans="2:38" hidden="1">
      <c r="B69" s="3"/>
      <c r="C69" s="12"/>
      <c r="D69" s="16"/>
      <c r="E69" s="141">
        <f t="array" aca="1" ref="E69:AK69" ca="1">tlccFubcElec1</f>
        <v>8733.9296289087924</v>
      </c>
      <c r="F69" s="28">
        <f ca="1"/>
        <v>8668.3756345369184</v>
      </c>
      <c r="G69" s="28">
        <f ca="1"/>
        <v>8602.3392744865214</v>
      </c>
      <c r="H69" s="28">
        <f ca="1"/>
        <v>8544.3687368466817</v>
      </c>
      <c r="I69" s="28">
        <f ca="1"/>
        <v>8489.4047853181964</v>
      </c>
      <c r="J69" s="28">
        <f ca="1"/>
        <v>8441.5577019114917</v>
      </c>
      <c r="K69" s="28">
        <f ca="1"/>
        <v>8404.4590544967214</v>
      </c>
      <c r="L69" s="28">
        <f ca="1"/>
        <v>8373.7164300684581</v>
      </c>
      <c r="M69" s="28">
        <f ca="1"/>
        <v>8342.8364367016729</v>
      </c>
      <c r="N69" s="28">
        <f ca="1"/>
        <v>8318.1394028746254</v>
      </c>
      <c r="O69" s="28">
        <f ca="1"/>
        <v>8301.1288061174964</v>
      </c>
      <c r="P69" s="28">
        <f ca="1"/>
        <v>8288.6785299669809</v>
      </c>
      <c r="Q69" s="28">
        <f ca="1"/>
        <v>8278.2027267652411</v>
      </c>
      <c r="R69" s="28">
        <f ca="1"/>
        <v>8270.4735237277582</v>
      </c>
      <c r="S69" s="28">
        <f ca="1"/>
        <v>8264.5830323748251</v>
      </c>
      <c r="T69" s="28">
        <f ca="1"/>
        <v>8263.8442253656831</v>
      </c>
      <c r="U69" s="28">
        <f ca="1"/>
        <v>8265.3561505263369</v>
      </c>
      <c r="V69" s="28">
        <f ca="1"/>
        <v>8267.577893185502</v>
      </c>
      <c r="W69" s="28">
        <f ca="1"/>
        <v>8270.7552930068632</v>
      </c>
      <c r="X69" s="28">
        <f ca="1"/>
        <v>8273.7579017063454</v>
      </c>
      <c r="Y69" s="28">
        <f ca="1"/>
        <v>8276.2457235526072</v>
      </c>
      <c r="Z69" s="28">
        <f ca="1"/>
        <v>8277.9129159363583</v>
      </c>
      <c r="AA69" s="28">
        <f ca="1"/>
        <v>8279.0117066965922</v>
      </c>
      <c r="AB69" s="28">
        <f ca="1"/>
        <v>8279.0117066965922</v>
      </c>
      <c r="AC69" s="28">
        <f ca="1"/>
        <v>8279.0117066965922</v>
      </c>
      <c r="AD69" s="28">
        <f ca="1"/>
        <v>8279.0117066965922</v>
      </c>
      <c r="AE69" s="28">
        <f ca="1"/>
        <v>8279.0117066965922</v>
      </c>
      <c r="AF69" s="28">
        <f ca="1"/>
        <v>8279.0117066965922</v>
      </c>
      <c r="AG69" s="28">
        <f ca="1"/>
        <v>8279.0117066965922</v>
      </c>
      <c r="AH69" s="28">
        <f ca="1"/>
        <v>8279.0117066965922</v>
      </c>
      <c r="AI69" s="28">
        <f ca="1"/>
        <v>8279.0117066965922</v>
      </c>
      <c r="AJ69" s="28">
        <f ca="1"/>
        <v>8279.0117066965922</v>
      </c>
      <c r="AK69" s="29">
        <f ca="1"/>
        <v>8279.0117066965922</v>
      </c>
      <c r="AL69" s="3"/>
    </row>
    <row r="70" spans="2:38" hidden="1">
      <c r="B70" s="3"/>
      <c r="C70" s="12"/>
      <c r="D70" s="16"/>
      <c r="E70" s="141">
        <f t="array" aca="1" ref="E70:AK70" ca="1">tlccFubcElec2</f>
        <v>11471.86715905474</v>
      </c>
      <c r="F70" s="28">
        <f ca="1"/>
        <v>11385.76310885832</v>
      </c>
      <c r="G70" s="28">
        <f ca="1"/>
        <v>11299.025479594837</v>
      </c>
      <c r="H70" s="28">
        <f ca="1"/>
        <v>11222.882170088194</v>
      </c>
      <c r="I70" s="28">
        <f ca="1"/>
        <v>11150.68796000612</v>
      </c>
      <c r="J70" s="28">
        <f ca="1"/>
        <v>11087.841634456034</v>
      </c>
      <c r="K70" s="28">
        <f ca="1"/>
        <v>11039.113195711327</v>
      </c>
      <c r="L70" s="28">
        <f ca="1"/>
        <v>10998.733284428965</v>
      </c>
      <c r="M70" s="28">
        <f ca="1"/>
        <v>10958.172941395778</v>
      </c>
      <c r="N70" s="28">
        <f ca="1"/>
        <v>10925.73380994814</v>
      </c>
      <c r="O70" s="28">
        <f ca="1"/>
        <v>10903.390682102445</v>
      </c>
      <c r="P70" s="28">
        <f ca="1"/>
        <v>10887.037457361601</v>
      </c>
      <c r="Q70" s="28">
        <f ca="1"/>
        <v>10873.277669062298</v>
      </c>
      <c r="R70" s="28">
        <f ca="1"/>
        <v>10863.125493093548</v>
      </c>
      <c r="S70" s="28">
        <f ca="1"/>
        <v>10855.38843346821</v>
      </c>
      <c r="T70" s="28">
        <f ca="1"/>
        <v>10854.418023100234</v>
      </c>
      <c r="U70" s="28">
        <f ca="1"/>
        <v>10856.403910934734</v>
      </c>
      <c r="V70" s="28">
        <f ca="1"/>
        <v>10859.322131910916</v>
      </c>
      <c r="W70" s="28">
        <f ca="1"/>
        <v>10863.495592221518</v>
      </c>
      <c r="X70" s="28">
        <f ca="1"/>
        <v>10867.43946738363</v>
      </c>
      <c r="Y70" s="28">
        <f ca="1"/>
        <v>10870.707178820327</v>
      </c>
      <c r="Z70" s="28">
        <f ca="1"/>
        <v>10872.897007496262</v>
      </c>
      <c r="AA70" s="28">
        <f ca="1"/>
        <v>10874.340250363171</v>
      </c>
      <c r="AB70" s="28">
        <f ca="1"/>
        <v>10874.340250363171</v>
      </c>
      <c r="AC70" s="28">
        <f ca="1"/>
        <v>10874.340250363171</v>
      </c>
      <c r="AD70" s="28">
        <f ca="1"/>
        <v>10874.340250363171</v>
      </c>
      <c r="AE70" s="28">
        <f ca="1"/>
        <v>10874.340250363171</v>
      </c>
      <c r="AF70" s="28">
        <f ca="1"/>
        <v>10874.340250363171</v>
      </c>
      <c r="AG70" s="28">
        <f ca="1"/>
        <v>10874.340250363171</v>
      </c>
      <c r="AH70" s="28">
        <f ca="1"/>
        <v>10874.340250363171</v>
      </c>
      <c r="AI70" s="28">
        <f ca="1"/>
        <v>10874.340250363171</v>
      </c>
      <c r="AJ70" s="28">
        <f ca="1"/>
        <v>10874.340250363171</v>
      </c>
      <c r="AK70" s="29">
        <f ca="1"/>
        <v>10874.340250363171</v>
      </c>
      <c r="AL70" s="3"/>
    </row>
    <row r="71" spans="2:38" hidden="1">
      <c r="B71" s="3"/>
      <c r="C71" s="12"/>
      <c r="D71" s="16"/>
      <c r="E71" s="141">
        <f t="array" aca="1" ref="E71:AK71" ca="1">tlccFubcElec3</f>
        <v>10082.619100578633</v>
      </c>
      <c r="F71" s="28">
        <f ca="1"/>
        <v>10006.942287980399</v>
      </c>
      <c r="G71" s="28">
        <f ca="1"/>
        <v>9930.7086230132627</v>
      </c>
      <c r="H71" s="28">
        <f ca="1"/>
        <v>9863.7863011132049</v>
      </c>
      <c r="I71" s="28">
        <f ca="1"/>
        <v>9800.3348409949467</v>
      </c>
      <c r="J71" s="28">
        <f ca="1"/>
        <v>9745.0992325619882</v>
      </c>
      <c r="K71" s="28">
        <f ca="1"/>
        <v>9702.2718287560638</v>
      </c>
      <c r="L71" s="28">
        <f ca="1"/>
        <v>9666.7819421377499</v>
      </c>
      <c r="M71" s="28">
        <f ca="1"/>
        <v>9631.1334741314204</v>
      </c>
      <c r="N71" s="28">
        <f ca="1"/>
        <v>9602.6227354865805</v>
      </c>
      <c r="O71" s="28">
        <f ca="1"/>
        <v>9582.9853700551048</v>
      </c>
      <c r="P71" s="28">
        <f ca="1"/>
        <v>9568.612527880241</v>
      </c>
      <c r="Q71" s="28">
        <f ca="1"/>
        <v>9556.5190558758222</v>
      </c>
      <c r="R71" s="28">
        <f ca="1"/>
        <v>9547.5963127934865</v>
      </c>
      <c r="S71" s="28">
        <f ca="1"/>
        <v>9540.7962144242138</v>
      </c>
      <c r="T71" s="28">
        <f ca="1"/>
        <v>9539.9433211701453</v>
      </c>
      <c r="U71" s="28">
        <f ca="1"/>
        <v>9541.6887171317721</v>
      </c>
      <c r="V71" s="28">
        <f ca="1"/>
        <v>9544.2535402896938</v>
      </c>
      <c r="W71" s="28">
        <f ca="1"/>
        <v>9547.921592757506</v>
      </c>
      <c r="X71" s="28">
        <f ca="1"/>
        <v>9551.3878629372848</v>
      </c>
      <c r="Y71" s="28">
        <f ca="1"/>
        <v>9554.2598531102904</v>
      </c>
      <c r="Z71" s="28">
        <f ca="1"/>
        <v>9556.1844925895366</v>
      </c>
      <c r="AA71" s="28">
        <f ca="1"/>
        <v>9557.4529581230818</v>
      </c>
      <c r="AB71" s="28">
        <f ca="1"/>
        <v>9557.4529581230818</v>
      </c>
      <c r="AC71" s="28">
        <f ca="1"/>
        <v>9557.4529581230818</v>
      </c>
      <c r="AD71" s="28">
        <f ca="1"/>
        <v>9557.4529581230818</v>
      </c>
      <c r="AE71" s="28">
        <f ca="1"/>
        <v>9557.4529581230818</v>
      </c>
      <c r="AF71" s="28">
        <f ca="1"/>
        <v>9557.4529581230818</v>
      </c>
      <c r="AG71" s="28">
        <f ca="1"/>
        <v>9557.4529581230818</v>
      </c>
      <c r="AH71" s="28">
        <f ca="1"/>
        <v>9557.4529581230818</v>
      </c>
      <c r="AI71" s="28">
        <f ca="1"/>
        <v>9557.4529581230818</v>
      </c>
      <c r="AJ71" s="28">
        <f ca="1"/>
        <v>9557.4529581230818</v>
      </c>
      <c r="AK71" s="29">
        <f ca="1"/>
        <v>9557.4529581230818</v>
      </c>
      <c r="AL71" s="3"/>
    </row>
    <row r="72" spans="2:38" hidden="1">
      <c r="B72" s="3"/>
      <c r="C72" s="12"/>
      <c r="D72" s="16"/>
      <c r="E72" s="141">
        <f t="array" aca="1" ref="E72:AK72" ca="1">tlccFubcElec4</f>
        <v>9853.2428231349822</v>
      </c>
      <c r="F72" s="28">
        <f ca="1"/>
        <v>9779.2876332013984</v>
      </c>
      <c r="G72" s="28">
        <f ca="1"/>
        <v>9704.7882591076541</v>
      </c>
      <c r="H72" s="28">
        <f ca="1"/>
        <v>9639.388398080333</v>
      </c>
      <c r="I72" s="28">
        <f ca="1"/>
        <v>9577.3804378677141</v>
      </c>
      <c r="J72" s="28">
        <f ca="1"/>
        <v>9523.4014214093513</v>
      </c>
      <c r="K72" s="28">
        <f ca="1"/>
        <v>9481.5483269926426</v>
      </c>
      <c r="L72" s="28">
        <f ca="1"/>
        <v>9446.8658236542287</v>
      </c>
      <c r="M72" s="28">
        <f ca="1"/>
        <v>9412.0283466023611</v>
      </c>
      <c r="N72" s="28">
        <f ca="1"/>
        <v>9384.1662179101822</v>
      </c>
      <c r="O72" s="28">
        <f ca="1"/>
        <v>9364.975596101227</v>
      </c>
      <c r="P72" s="28">
        <f ca="1"/>
        <v>9350.929731371556</v>
      </c>
      <c r="Q72" s="28">
        <f ca="1"/>
        <v>9339.1113818885842</v>
      </c>
      <c r="R72" s="28">
        <f ca="1"/>
        <v>9330.3916282847131</v>
      </c>
      <c r="S72" s="28">
        <f ca="1"/>
        <v>9323.7462299229137</v>
      </c>
      <c r="T72" s="28">
        <f ca="1"/>
        <v>9322.9127397106258</v>
      </c>
      <c r="U72" s="28">
        <f ca="1"/>
        <v>9324.6184284866158</v>
      </c>
      <c r="V72" s="28">
        <f ca="1"/>
        <v>9327.1249027589547</v>
      </c>
      <c r="W72" s="28">
        <f ca="1"/>
        <v>9330.7095082362448</v>
      </c>
      <c r="X72" s="28">
        <f ca="1"/>
        <v>9334.0969219063682</v>
      </c>
      <c r="Y72" s="28">
        <f ca="1"/>
        <v>9336.903575244949</v>
      </c>
      <c r="Z72" s="28">
        <f ca="1"/>
        <v>9338.7844298073232</v>
      </c>
      <c r="AA72" s="28">
        <f ca="1"/>
        <v>9340.0240381660351</v>
      </c>
      <c r="AB72" s="28">
        <f ca="1"/>
        <v>9340.0240381660351</v>
      </c>
      <c r="AC72" s="28">
        <f ca="1"/>
        <v>9340.0240381660351</v>
      </c>
      <c r="AD72" s="28">
        <f ca="1"/>
        <v>9340.0240381660351</v>
      </c>
      <c r="AE72" s="28">
        <f ca="1"/>
        <v>9340.0240381660351</v>
      </c>
      <c r="AF72" s="28">
        <f ca="1"/>
        <v>9340.0240381660351</v>
      </c>
      <c r="AG72" s="28">
        <f ca="1"/>
        <v>9340.0240381660351</v>
      </c>
      <c r="AH72" s="28">
        <f ca="1"/>
        <v>9340.0240381660351</v>
      </c>
      <c r="AI72" s="28">
        <f ca="1"/>
        <v>9340.0240381660351</v>
      </c>
      <c r="AJ72" s="28">
        <f ca="1"/>
        <v>9340.0240381660351</v>
      </c>
      <c r="AK72" s="29">
        <f ca="1"/>
        <v>9340.0240381660351</v>
      </c>
      <c r="AL72" s="3"/>
    </row>
    <row r="73" spans="2:38" hidden="1">
      <c r="B73" s="3"/>
      <c r="C73" s="12"/>
      <c r="D73" s="16"/>
      <c r="E73" s="141">
        <f t="array" aca="1" ref="E73:AK73" ca="1">tlccFubcElec5</f>
        <v>7078.8380093212836</v>
      </c>
      <c r="F73" s="28">
        <f ca="1"/>
        <v>7025.7065866124849</v>
      </c>
      <c r="G73" s="28">
        <f ca="1"/>
        <v>6972.1842071815026</v>
      </c>
      <c r="H73" s="28">
        <f ca="1"/>
        <v>6925.1991657738618</v>
      </c>
      <c r="I73" s="28">
        <f ca="1"/>
        <v>6880.6509582940926</v>
      </c>
      <c r="J73" s="28">
        <f ca="1"/>
        <v>6841.8709626855316</v>
      </c>
      <c r="K73" s="28">
        <f ca="1"/>
        <v>6811.8025597360911</v>
      </c>
      <c r="L73" s="28">
        <f ca="1"/>
        <v>6786.8857047171596</v>
      </c>
      <c r="M73" s="28">
        <f ca="1"/>
        <v>6761.8575123615847</v>
      </c>
      <c r="N73" s="28">
        <f ca="1"/>
        <v>6741.8406002497968</v>
      </c>
      <c r="O73" s="28">
        <f ca="1"/>
        <v>6728.053534862067</v>
      </c>
      <c r="P73" s="28">
        <f ca="1"/>
        <v>6717.962603083879</v>
      </c>
      <c r="Q73" s="28">
        <f ca="1"/>
        <v>6709.4719789280352</v>
      </c>
      <c r="R73" s="28">
        <f ca="1"/>
        <v>6703.2074704458064</v>
      </c>
      <c r="S73" s="28">
        <f ca="1"/>
        <v>6698.4332352670954</v>
      </c>
      <c r="T73" s="28">
        <f ca="1"/>
        <v>6697.8344331974577</v>
      </c>
      <c r="U73" s="28">
        <f ca="1"/>
        <v>6699.05984647066</v>
      </c>
      <c r="V73" s="28">
        <f ca="1"/>
        <v>6700.8605658548158</v>
      </c>
      <c r="W73" s="28">
        <f ca="1"/>
        <v>6703.4358440608376</v>
      </c>
      <c r="X73" s="28">
        <f ca="1"/>
        <v>6705.869454301831</v>
      </c>
      <c r="Y73" s="28">
        <f ca="1"/>
        <v>6707.8858305029207</v>
      </c>
      <c r="Z73" s="28">
        <f ca="1"/>
        <v>6709.2370876479163</v>
      </c>
      <c r="AA73" s="28">
        <f ca="1"/>
        <v>6710.1276560550732</v>
      </c>
      <c r="AB73" s="28">
        <f ca="1"/>
        <v>6710.1276560550732</v>
      </c>
      <c r="AC73" s="28">
        <f ca="1"/>
        <v>6710.1276560550732</v>
      </c>
      <c r="AD73" s="28">
        <f ca="1"/>
        <v>6710.1276560550732</v>
      </c>
      <c r="AE73" s="28">
        <f ca="1"/>
        <v>6710.1276560550732</v>
      </c>
      <c r="AF73" s="28">
        <f ca="1"/>
        <v>6710.1276560550732</v>
      </c>
      <c r="AG73" s="28">
        <f ca="1"/>
        <v>6710.1276560550732</v>
      </c>
      <c r="AH73" s="28">
        <f ca="1"/>
        <v>6710.1276560550732</v>
      </c>
      <c r="AI73" s="28">
        <f ca="1"/>
        <v>6710.1276560550732</v>
      </c>
      <c r="AJ73" s="28">
        <f ca="1"/>
        <v>6710.1276560550732</v>
      </c>
      <c r="AK73" s="29">
        <f ca="1"/>
        <v>6710.1276560550732</v>
      </c>
      <c r="AL73" s="3"/>
    </row>
    <row r="74" spans="2:38" hidden="1">
      <c r="B74" s="3"/>
      <c r="C74" s="4"/>
      <c r="D74" s="5"/>
      <c r="E74" s="147">
        <f t="array" aca="1" ref="E74:AK74" ca="1">tlccFubcElec6</f>
        <v>8780.8049244592257</v>
      </c>
      <c r="F74" s="35">
        <f ca="1"/>
        <v>8714.899099583643</v>
      </c>
      <c r="G74" s="35">
        <f ca="1"/>
        <v>8648.5083201566395</v>
      </c>
      <c r="H74" s="35">
        <f ca="1"/>
        <v>8590.2266526817129</v>
      </c>
      <c r="I74" s="35">
        <f ca="1"/>
        <v>8534.9677077674351</v>
      </c>
      <c r="J74" s="35">
        <f ca="1"/>
        <v>8486.8638274467157</v>
      </c>
      <c r="K74" s="35">
        <f ca="1"/>
        <v>8449.5660703372287</v>
      </c>
      <c r="L74" s="35">
        <f ca="1"/>
        <v>8418.6584492044713</v>
      </c>
      <c r="M74" s="35">
        <f ca="1"/>
        <v>8387.6127218694492</v>
      </c>
      <c r="N74" s="35">
        <f ca="1"/>
        <v>8362.7831382270215</v>
      </c>
      <c r="O74" s="35">
        <f ca="1"/>
        <v>8345.6812450220914</v>
      </c>
      <c r="P74" s="35">
        <f ca="1"/>
        <v>8333.1641478186211</v>
      </c>
      <c r="Q74" s="35">
        <f ca="1"/>
        <v>8322.632120626984</v>
      </c>
      <c r="R74" s="35">
        <f ca="1"/>
        <v>8314.861434695531</v>
      </c>
      <c r="S74" s="35">
        <f ca="1"/>
        <v>8308.9393288763913</v>
      </c>
      <c r="T74" s="35">
        <f ca="1"/>
        <v>8308.1965566650561</v>
      </c>
      <c r="U74" s="35">
        <f ca="1"/>
        <v>8309.716596379154</v>
      </c>
      <c r="V74" s="35">
        <f ca="1"/>
        <v>8311.950263206274</v>
      </c>
      <c r="W74" s="35">
        <f ca="1"/>
        <v>8315.1447162398799</v>
      </c>
      <c r="X74" s="35">
        <f ca="1"/>
        <v>8318.1634400417515</v>
      </c>
      <c r="Y74" s="35">
        <f ca="1"/>
        <v>8320.6646141119563</v>
      </c>
      <c r="Z74" s="35">
        <f ca="1"/>
        <v>8322.3407543735866</v>
      </c>
      <c r="AA74" s="35">
        <f ca="1"/>
        <v>8323.445442380973</v>
      </c>
      <c r="AB74" s="35">
        <f ca="1"/>
        <v>8323.445442380973</v>
      </c>
      <c r="AC74" s="35">
        <f ca="1"/>
        <v>8323.445442380973</v>
      </c>
      <c r="AD74" s="35">
        <f ca="1"/>
        <v>8323.445442380973</v>
      </c>
      <c r="AE74" s="35">
        <f ca="1"/>
        <v>8323.445442380973</v>
      </c>
      <c r="AF74" s="35">
        <f ca="1"/>
        <v>8323.445442380973</v>
      </c>
      <c r="AG74" s="35">
        <f ca="1"/>
        <v>8323.445442380973</v>
      </c>
      <c r="AH74" s="35">
        <f ca="1"/>
        <v>8323.445442380973</v>
      </c>
      <c r="AI74" s="35">
        <f ca="1"/>
        <v>8323.445442380973</v>
      </c>
      <c r="AJ74" s="35">
        <f ca="1"/>
        <v>8323.445442380973</v>
      </c>
      <c r="AK74" s="36">
        <f ca="1"/>
        <v>8323.445442380973</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1498.331825</v>
      </c>
      <c r="F78" s="28">
        <f ca="1"/>
        <v>1498.331825</v>
      </c>
      <c r="G78" s="28">
        <f ca="1"/>
        <v>1498.331825</v>
      </c>
      <c r="H78" s="28">
        <f ca="1"/>
        <v>1498.331825</v>
      </c>
      <c r="I78" s="28">
        <f ca="1"/>
        <v>1498.331825</v>
      </c>
      <c r="J78" s="28">
        <f ca="1"/>
        <v>1498.331825</v>
      </c>
      <c r="K78" s="28">
        <f ca="1"/>
        <v>1498.331825</v>
      </c>
      <c r="L78" s="28">
        <f ca="1"/>
        <v>1498.331825</v>
      </c>
      <c r="M78" s="28">
        <f ca="1"/>
        <v>1498.331825</v>
      </c>
      <c r="N78" s="28">
        <f ca="1"/>
        <v>1498.331825</v>
      </c>
      <c r="O78" s="28">
        <f ca="1"/>
        <v>1498.331825</v>
      </c>
      <c r="P78" s="28">
        <f ca="1"/>
        <v>1498.331825</v>
      </c>
      <c r="Q78" s="28">
        <f ca="1"/>
        <v>1498.331825</v>
      </c>
      <c r="R78" s="28">
        <f ca="1"/>
        <v>1498.331825</v>
      </c>
      <c r="S78" s="28">
        <f ca="1"/>
        <v>1498.331825</v>
      </c>
      <c r="T78" s="28">
        <f ca="1"/>
        <v>1498.331825</v>
      </c>
      <c r="U78" s="28">
        <f ca="1"/>
        <v>1498.331825</v>
      </c>
      <c r="V78" s="28">
        <f ca="1"/>
        <v>1498.331825</v>
      </c>
      <c r="W78" s="28">
        <f ca="1"/>
        <v>1498.331825</v>
      </c>
      <c r="X78" s="28">
        <f ca="1"/>
        <v>1498.331825</v>
      </c>
      <c r="Y78" s="28">
        <f ca="1"/>
        <v>1498.331825</v>
      </c>
      <c r="Z78" s="28">
        <f ca="1"/>
        <v>1498.331825</v>
      </c>
      <c r="AA78" s="28">
        <f ca="1"/>
        <v>1498.331825</v>
      </c>
      <c r="AB78" s="28">
        <f ca="1"/>
        <v>1498.331825</v>
      </c>
      <c r="AC78" s="28">
        <f ca="1"/>
        <v>1498.331825</v>
      </c>
      <c r="AD78" s="28">
        <f ca="1"/>
        <v>1498.331825</v>
      </c>
      <c r="AE78" s="28">
        <f ca="1"/>
        <v>1498.331825</v>
      </c>
      <c r="AF78" s="28">
        <f ca="1"/>
        <v>1498.331825</v>
      </c>
      <c r="AG78" s="28">
        <f ca="1"/>
        <v>1498.331825</v>
      </c>
      <c r="AH78" s="28">
        <f ca="1"/>
        <v>1498.331825</v>
      </c>
      <c r="AI78" s="28">
        <f ca="1"/>
        <v>1498.331825</v>
      </c>
      <c r="AJ78" s="28">
        <f ca="1"/>
        <v>1498.331825</v>
      </c>
      <c r="AK78" s="29">
        <f ca="1"/>
        <v>1498.331825</v>
      </c>
      <c r="AL78" s="3"/>
    </row>
    <row r="79" spans="2:38" hidden="1">
      <c r="B79" s="3"/>
      <c r="C79" s="12"/>
      <c r="D79" s="16"/>
      <c r="E79" s="141">
        <f t="array" aca="1" ref="E79:AK79" ca="1">tlccQupol2</f>
        <v>2207.5431360000002</v>
      </c>
      <c r="F79" s="28">
        <f ca="1"/>
        <v>2207.5431360000002</v>
      </c>
      <c r="G79" s="28">
        <f ca="1"/>
        <v>2207.5431360000002</v>
      </c>
      <c r="H79" s="28">
        <f ca="1"/>
        <v>2207.5431360000002</v>
      </c>
      <c r="I79" s="28">
        <f ca="1"/>
        <v>2207.5431360000002</v>
      </c>
      <c r="J79" s="28">
        <f ca="1"/>
        <v>2207.5431360000002</v>
      </c>
      <c r="K79" s="28">
        <f ca="1"/>
        <v>2207.5431360000002</v>
      </c>
      <c r="L79" s="28">
        <f ca="1"/>
        <v>2207.5431360000002</v>
      </c>
      <c r="M79" s="28">
        <f ca="1"/>
        <v>2207.5431360000002</v>
      </c>
      <c r="N79" s="28">
        <f ca="1"/>
        <v>2207.5431360000002</v>
      </c>
      <c r="O79" s="28">
        <f ca="1"/>
        <v>2207.5431360000002</v>
      </c>
      <c r="P79" s="28">
        <f ca="1"/>
        <v>2207.5431360000002</v>
      </c>
      <c r="Q79" s="28">
        <f ca="1"/>
        <v>2207.5431360000002</v>
      </c>
      <c r="R79" s="28">
        <f ca="1"/>
        <v>2207.5431360000002</v>
      </c>
      <c r="S79" s="28">
        <f ca="1"/>
        <v>2207.5431360000002</v>
      </c>
      <c r="T79" s="28">
        <f ca="1"/>
        <v>2207.5431360000002</v>
      </c>
      <c r="U79" s="28">
        <f ca="1"/>
        <v>2207.5431360000002</v>
      </c>
      <c r="V79" s="28">
        <f ca="1"/>
        <v>2207.5431360000002</v>
      </c>
      <c r="W79" s="28">
        <f ca="1"/>
        <v>2207.5431360000002</v>
      </c>
      <c r="X79" s="28">
        <f ca="1"/>
        <v>2207.5431360000002</v>
      </c>
      <c r="Y79" s="28">
        <f ca="1"/>
        <v>2207.5431360000002</v>
      </c>
      <c r="Z79" s="28">
        <f ca="1"/>
        <v>2207.5431360000002</v>
      </c>
      <c r="AA79" s="28">
        <f ca="1"/>
        <v>2207.5431360000002</v>
      </c>
      <c r="AB79" s="28">
        <f ca="1"/>
        <v>2207.5431360000002</v>
      </c>
      <c r="AC79" s="28">
        <f ca="1"/>
        <v>2207.5431360000002</v>
      </c>
      <c r="AD79" s="28">
        <f ca="1"/>
        <v>2207.5431360000002</v>
      </c>
      <c r="AE79" s="28">
        <f ca="1"/>
        <v>2207.5431360000002</v>
      </c>
      <c r="AF79" s="28">
        <f ca="1"/>
        <v>2207.5431360000002</v>
      </c>
      <c r="AG79" s="28">
        <f ca="1"/>
        <v>2207.5431360000002</v>
      </c>
      <c r="AH79" s="28">
        <f ca="1"/>
        <v>2207.5431360000002</v>
      </c>
      <c r="AI79" s="28">
        <f ca="1"/>
        <v>2207.5431360000002</v>
      </c>
      <c r="AJ79" s="28">
        <f ca="1"/>
        <v>2207.5431360000002</v>
      </c>
      <c r="AK79" s="29">
        <f ca="1"/>
        <v>2207.5431360000002</v>
      </c>
      <c r="AL79" s="3"/>
    </row>
    <row r="80" spans="2:38" hidden="1">
      <c r="B80" s="3"/>
      <c r="C80" s="12"/>
      <c r="D80" s="16"/>
      <c r="E80" s="141">
        <f t="array" aca="1" ref="E80:AK80" ca="1">tlccQupol3</f>
        <v>1585.3124339999999</v>
      </c>
      <c r="F80" s="28">
        <f ca="1"/>
        <v>1585.3124339999999</v>
      </c>
      <c r="G80" s="28">
        <f ca="1"/>
        <v>1585.3124339999999</v>
      </c>
      <c r="H80" s="28">
        <f ca="1"/>
        <v>1585.3124339999999</v>
      </c>
      <c r="I80" s="28">
        <f ca="1"/>
        <v>1585.3124339999999</v>
      </c>
      <c r="J80" s="28">
        <f ca="1"/>
        <v>1585.3124339999999</v>
      </c>
      <c r="K80" s="28">
        <f ca="1"/>
        <v>1585.3124339999999</v>
      </c>
      <c r="L80" s="28">
        <f ca="1"/>
        <v>1585.3124339999999</v>
      </c>
      <c r="M80" s="28">
        <f ca="1"/>
        <v>1585.3124339999999</v>
      </c>
      <c r="N80" s="28">
        <f ca="1"/>
        <v>1585.3124339999999</v>
      </c>
      <c r="O80" s="28">
        <f ca="1"/>
        <v>1585.3124339999999</v>
      </c>
      <c r="P80" s="28">
        <f ca="1"/>
        <v>1585.3124339999999</v>
      </c>
      <c r="Q80" s="28">
        <f ca="1"/>
        <v>1585.3124339999999</v>
      </c>
      <c r="R80" s="28">
        <f ca="1"/>
        <v>1585.3124339999999</v>
      </c>
      <c r="S80" s="28">
        <f ca="1"/>
        <v>1585.3124339999999</v>
      </c>
      <c r="T80" s="28">
        <f ca="1"/>
        <v>1585.3124339999999</v>
      </c>
      <c r="U80" s="28">
        <f ca="1"/>
        <v>1585.3124339999999</v>
      </c>
      <c r="V80" s="28">
        <f ca="1"/>
        <v>1585.3124339999999</v>
      </c>
      <c r="W80" s="28">
        <f ca="1"/>
        <v>1585.3124339999999</v>
      </c>
      <c r="X80" s="28">
        <f ca="1"/>
        <v>1585.3124339999999</v>
      </c>
      <c r="Y80" s="28">
        <f ca="1"/>
        <v>1585.3124339999999</v>
      </c>
      <c r="Z80" s="28">
        <f ca="1"/>
        <v>1585.3124339999999</v>
      </c>
      <c r="AA80" s="28">
        <f ca="1"/>
        <v>1585.3124339999999</v>
      </c>
      <c r="AB80" s="28">
        <f ca="1"/>
        <v>1585.3124339999999</v>
      </c>
      <c r="AC80" s="28">
        <f ca="1"/>
        <v>1585.3124339999999</v>
      </c>
      <c r="AD80" s="28">
        <f ca="1"/>
        <v>1585.3124339999999</v>
      </c>
      <c r="AE80" s="28">
        <f ca="1"/>
        <v>1585.3124339999999</v>
      </c>
      <c r="AF80" s="28">
        <f ca="1"/>
        <v>1585.3124339999999</v>
      </c>
      <c r="AG80" s="28">
        <f ca="1"/>
        <v>1585.3124339999999</v>
      </c>
      <c r="AH80" s="28">
        <f ca="1"/>
        <v>1585.3124339999999</v>
      </c>
      <c r="AI80" s="28">
        <f ca="1"/>
        <v>1585.3124339999999</v>
      </c>
      <c r="AJ80" s="28">
        <f ca="1"/>
        <v>1585.3124339999999</v>
      </c>
      <c r="AK80" s="29">
        <f ca="1"/>
        <v>1585.3124339999999</v>
      </c>
      <c r="AL80" s="3"/>
    </row>
    <row r="81" spans="2:38" hidden="1">
      <c r="B81" s="3"/>
      <c r="C81" s="12"/>
      <c r="D81" s="16"/>
      <c r="E81" s="141">
        <f t="array" aca="1" ref="E81:AK81" ca="1">tlccQupol4</f>
        <v>1495.8686339999999</v>
      </c>
      <c r="F81" s="28">
        <f ca="1"/>
        <v>1495.8686339999999</v>
      </c>
      <c r="G81" s="28">
        <f ca="1"/>
        <v>1495.8686339999999</v>
      </c>
      <c r="H81" s="28">
        <f ca="1"/>
        <v>1495.8686339999999</v>
      </c>
      <c r="I81" s="28">
        <f ca="1"/>
        <v>1495.8686339999999</v>
      </c>
      <c r="J81" s="28">
        <f ca="1"/>
        <v>1495.8686339999999</v>
      </c>
      <c r="K81" s="28">
        <f ca="1"/>
        <v>1495.8686339999999</v>
      </c>
      <c r="L81" s="28">
        <f ca="1"/>
        <v>1495.8686339999999</v>
      </c>
      <c r="M81" s="28">
        <f ca="1"/>
        <v>1495.8686339999999</v>
      </c>
      <c r="N81" s="28">
        <f ca="1"/>
        <v>1495.8686339999999</v>
      </c>
      <c r="O81" s="28">
        <f ca="1"/>
        <v>1495.8686339999999</v>
      </c>
      <c r="P81" s="28">
        <f ca="1"/>
        <v>1495.8686339999999</v>
      </c>
      <c r="Q81" s="28">
        <f ca="1"/>
        <v>1495.8686339999999</v>
      </c>
      <c r="R81" s="28">
        <f ca="1"/>
        <v>1495.8686339999999</v>
      </c>
      <c r="S81" s="28">
        <f ca="1"/>
        <v>1495.8686339999999</v>
      </c>
      <c r="T81" s="28">
        <f ca="1"/>
        <v>1495.8686339999999</v>
      </c>
      <c r="U81" s="28">
        <f ca="1"/>
        <v>1495.8686339999999</v>
      </c>
      <c r="V81" s="28">
        <f ca="1"/>
        <v>1495.8686339999999</v>
      </c>
      <c r="W81" s="28">
        <f ca="1"/>
        <v>1495.8686339999999</v>
      </c>
      <c r="X81" s="28">
        <f ca="1"/>
        <v>1495.8686339999999</v>
      </c>
      <c r="Y81" s="28">
        <f ca="1"/>
        <v>1495.8686339999999</v>
      </c>
      <c r="Z81" s="28">
        <f ca="1"/>
        <v>1495.8686339999999</v>
      </c>
      <c r="AA81" s="28">
        <f ca="1"/>
        <v>1495.8686339999999</v>
      </c>
      <c r="AB81" s="28">
        <f ca="1"/>
        <v>1495.8686339999999</v>
      </c>
      <c r="AC81" s="28">
        <f ca="1"/>
        <v>1495.8686339999999</v>
      </c>
      <c r="AD81" s="28">
        <f ca="1"/>
        <v>1495.8686339999999</v>
      </c>
      <c r="AE81" s="28">
        <f ca="1"/>
        <v>1495.8686339999999</v>
      </c>
      <c r="AF81" s="28">
        <f ca="1"/>
        <v>1495.8686339999999</v>
      </c>
      <c r="AG81" s="28">
        <f ca="1"/>
        <v>1495.8686339999999</v>
      </c>
      <c r="AH81" s="28">
        <f ca="1"/>
        <v>1495.8686339999999</v>
      </c>
      <c r="AI81" s="28">
        <f ca="1"/>
        <v>1495.8686339999999</v>
      </c>
      <c r="AJ81" s="28">
        <f ca="1"/>
        <v>1495.8686339999999</v>
      </c>
      <c r="AK81" s="29">
        <f ca="1"/>
        <v>1495.8686339999999</v>
      </c>
      <c r="AL81" s="3"/>
    </row>
    <row r="82" spans="2:38" hidden="1">
      <c r="B82" s="3"/>
      <c r="C82" s="12"/>
      <c r="D82" s="16"/>
      <c r="E82" s="141">
        <f t="array" aca="1" ref="E82:AK82" ca="1">tlccQupol5</f>
        <v>1745.2063800000001</v>
      </c>
      <c r="F82" s="28">
        <f ca="1"/>
        <v>1745.2063800000001</v>
      </c>
      <c r="G82" s="28">
        <f ca="1"/>
        <v>1745.2063800000001</v>
      </c>
      <c r="H82" s="28">
        <f ca="1"/>
        <v>1745.2063800000001</v>
      </c>
      <c r="I82" s="28">
        <f ca="1"/>
        <v>1745.2063800000001</v>
      </c>
      <c r="J82" s="28">
        <f ca="1"/>
        <v>1745.2063800000001</v>
      </c>
      <c r="K82" s="28">
        <f ca="1"/>
        <v>1745.2063800000001</v>
      </c>
      <c r="L82" s="28">
        <f ca="1"/>
        <v>1745.2063800000001</v>
      </c>
      <c r="M82" s="28">
        <f ca="1"/>
        <v>1745.2063800000001</v>
      </c>
      <c r="N82" s="28">
        <f ca="1"/>
        <v>1745.2063800000001</v>
      </c>
      <c r="O82" s="28">
        <f ca="1"/>
        <v>1745.2063800000001</v>
      </c>
      <c r="P82" s="28">
        <f ca="1"/>
        <v>1745.2063800000001</v>
      </c>
      <c r="Q82" s="28">
        <f ca="1"/>
        <v>1745.2063800000001</v>
      </c>
      <c r="R82" s="28">
        <f ca="1"/>
        <v>1745.2063800000001</v>
      </c>
      <c r="S82" s="28">
        <f ca="1"/>
        <v>1745.2063800000001</v>
      </c>
      <c r="T82" s="28">
        <f ca="1"/>
        <v>1745.2063800000001</v>
      </c>
      <c r="U82" s="28">
        <f ca="1"/>
        <v>1745.2063800000001</v>
      </c>
      <c r="V82" s="28">
        <f ca="1"/>
        <v>1745.2063800000001</v>
      </c>
      <c r="W82" s="28">
        <f ca="1"/>
        <v>1745.2063800000001</v>
      </c>
      <c r="X82" s="28">
        <f ca="1"/>
        <v>1745.2063800000001</v>
      </c>
      <c r="Y82" s="28">
        <f ca="1"/>
        <v>1745.2063800000001</v>
      </c>
      <c r="Z82" s="28">
        <f ca="1"/>
        <v>1745.2063800000001</v>
      </c>
      <c r="AA82" s="28">
        <f ca="1"/>
        <v>1745.2063800000001</v>
      </c>
      <c r="AB82" s="28">
        <f ca="1"/>
        <v>1745.2063800000001</v>
      </c>
      <c r="AC82" s="28">
        <f ca="1"/>
        <v>1745.2063800000001</v>
      </c>
      <c r="AD82" s="28">
        <f ca="1"/>
        <v>1745.2063800000001</v>
      </c>
      <c r="AE82" s="28">
        <f ca="1"/>
        <v>1745.2063800000001</v>
      </c>
      <c r="AF82" s="28">
        <f ca="1"/>
        <v>1745.2063800000001</v>
      </c>
      <c r="AG82" s="28">
        <f ca="1"/>
        <v>1745.2063800000001</v>
      </c>
      <c r="AH82" s="28">
        <f ca="1"/>
        <v>1745.2063800000001</v>
      </c>
      <c r="AI82" s="28">
        <f ca="1"/>
        <v>1745.2063800000001</v>
      </c>
      <c r="AJ82" s="28">
        <f ca="1"/>
        <v>1745.2063800000001</v>
      </c>
      <c r="AK82" s="29">
        <f ca="1"/>
        <v>1745.2063800000001</v>
      </c>
      <c r="AL82" s="3"/>
    </row>
    <row r="83" spans="2:38" hidden="1">
      <c r="B83" s="3"/>
      <c r="C83" s="4"/>
      <c r="D83" s="5"/>
      <c r="E83" s="147">
        <f t="array" aca="1" ref="E83:AK83" ca="1">tlccQupol6</f>
        <v>1768.2513120000001</v>
      </c>
      <c r="F83" s="35">
        <f ca="1"/>
        <v>1768.2513120000001</v>
      </c>
      <c r="G83" s="35">
        <f ca="1"/>
        <v>1768.2513120000001</v>
      </c>
      <c r="H83" s="35">
        <f ca="1"/>
        <v>1768.2513120000001</v>
      </c>
      <c r="I83" s="35">
        <f ca="1"/>
        <v>1768.2513120000001</v>
      </c>
      <c r="J83" s="35">
        <f ca="1"/>
        <v>1768.2513120000001</v>
      </c>
      <c r="K83" s="35">
        <f ca="1"/>
        <v>1768.2513120000001</v>
      </c>
      <c r="L83" s="35">
        <f ca="1"/>
        <v>1768.2513120000001</v>
      </c>
      <c r="M83" s="35">
        <f ca="1"/>
        <v>1768.2513120000001</v>
      </c>
      <c r="N83" s="35">
        <f ca="1"/>
        <v>1768.2513120000001</v>
      </c>
      <c r="O83" s="35">
        <f ca="1"/>
        <v>1768.2513120000001</v>
      </c>
      <c r="P83" s="35">
        <f ca="1"/>
        <v>1768.2513120000001</v>
      </c>
      <c r="Q83" s="35">
        <f ca="1"/>
        <v>1768.2513120000001</v>
      </c>
      <c r="R83" s="35">
        <f ca="1"/>
        <v>1768.2513120000001</v>
      </c>
      <c r="S83" s="35">
        <f ca="1"/>
        <v>1768.2513120000001</v>
      </c>
      <c r="T83" s="35">
        <f ca="1"/>
        <v>1768.2513120000001</v>
      </c>
      <c r="U83" s="35">
        <f ca="1"/>
        <v>1768.2513120000001</v>
      </c>
      <c r="V83" s="35">
        <f ca="1"/>
        <v>1768.2513120000001</v>
      </c>
      <c r="W83" s="35">
        <f ca="1"/>
        <v>1768.2513120000001</v>
      </c>
      <c r="X83" s="35">
        <f ca="1"/>
        <v>1768.2513120000001</v>
      </c>
      <c r="Y83" s="35">
        <f ca="1"/>
        <v>1768.2513120000001</v>
      </c>
      <c r="Z83" s="35">
        <f ca="1"/>
        <v>1768.2513120000001</v>
      </c>
      <c r="AA83" s="35">
        <f ca="1"/>
        <v>1768.2513120000001</v>
      </c>
      <c r="AB83" s="35">
        <f ca="1"/>
        <v>1768.2513120000001</v>
      </c>
      <c r="AC83" s="35">
        <f ca="1"/>
        <v>1768.2513120000001</v>
      </c>
      <c r="AD83" s="35">
        <f ca="1"/>
        <v>1768.2513120000001</v>
      </c>
      <c r="AE83" s="35">
        <f ca="1"/>
        <v>1768.2513120000001</v>
      </c>
      <c r="AF83" s="35">
        <f ca="1"/>
        <v>1768.2513120000001</v>
      </c>
      <c r="AG83" s="35">
        <f ca="1"/>
        <v>1768.2513120000001</v>
      </c>
      <c r="AH83" s="35">
        <f ca="1"/>
        <v>1768.2513120000001</v>
      </c>
      <c r="AI83" s="35">
        <f ca="1"/>
        <v>1768.2513120000001</v>
      </c>
      <c r="AJ83" s="35">
        <f ca="1"/>
        <v>1768.2513120000001</v>
      </c>
      <c r="AK83" s="36">
        <f ca="1"/>
        <v>1768.2513120000001</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29746.710996517188</v>
      </c>
      <c r="F87" s="28">
        <f ca="1"/>
        <v>29877.75008252851</v>
      </c>
      <c r="G87" s="28">
        <f ca="1"/>
        <v>29993.666705191543</v>
      </c>
      <c r="H87" s="28">
        <f ca="1"/>
        <v>30120.137959009262</v>
      </c>
      <c r="I87" s="28">
        <f ca="1"/>
        <v>30231.11893784377</v>
      </c>
      <c r="J87" s="28">
        <f ca="1"/>
        <v>30352.305402760096</v>
      </c>
      <c r="K87" s="28">
        <f ca="1"/>
        <v>30457.716906678634</v>
      </c>
      <c r="L87" s="28">
        <f ca="1"/>
        <v>30572.906213127979</v>
      </c>
      <c r="M87" s="28">
        <f ca="1"/>
        <v>30698.66507790011</v>
      </c>
      <c r="N87" s="28">
        <f ca="1"/>
        <v>30808.921215948001</v>
      </c>
      <c r="O87" s="28">
        <f ca="1"/>
        <v>30929.369978899504</v>
      </c>
      <c r="P87" s="28">
        <f ca="1"/>
        <v>31060.786758081336</v>
      </c>
      <c r="Q87" s="28">
        <f ca="1"/>
        <v>31177.134958849754</v>
      </c>
      <c r="R87" s="28">
        <f ca="1"/>
        <v>31304.195143515633</v>
      </c>
      <c r="S87" s="28">
        <f ca="1"/>
        <v>31415.89346540851</v>
      </c>
      <c r="T87" s="28">
        <f ca="1"/>
        <v>31537.971165928899</v>
      </c>
      <c r="U87" s="28">
        <f ca="1"/>
        <v>31671.144772766937</v>
      </c>
      <c r="V87" s="28">
        <f ca="1"/>
        <v>31789.444541922701</v>
      </c>
      <c r="W87" s="28">
        <f ca="1"/>
        <v>31918.663417632899</v>
      </c>
      <c r="X87" s="28">
        <f ca="1"/>
        <v>32032.692481674992</v>
      </c>
      <c r="Y87" s="28">
        <f ca="1"/>
        <v>32157.38640582492</v>
      </c>
      <c r="Z87" s="28">
        <f ca="1"/>
        <v>32293.371283358571</v>
      </c>
      <c r="AA87" s="28">
        <f ca="1"/>
        <v>32414.806183461315</v>
      </c>
      <c r="AB87" s="28">
        <f ca="1"/>
        <v>32547.312818313956</v>
      </c>
      <c r="AC87" s="28">
        <f ca="1"/>
        <v>32664.97379976435</v>
      </c>
      <c r="AD87" s="28">
        <f ca="1"/>
        <v>32793.544042455367</v>
      </c>
      <c r="AE87" s="28">
        <f ca="1"/>
        <v>32933.662095745858</v>
      </c>
      <c r="AF87" s="28">
        <f ca="1"/>
        <v>33059.668186430114</v>
      </c>
      <c r="AG87" s="28">
        <f ca="1"/>
        <v>33197.11104700069</v>
      </c>
      <c r="AH87" s="28">
        <f ca="1"/>
        <v>33320.184833163978</v>
      </c>
      <c r="AI87" s="28">
        <f ca="1"/>
        <v>33454.55210672933</v>
      </c>
      <c r="AJ87" s="28">
        <f ca="1"/>
        <v>33574.319060790724</v>
      </c>
      <c r="AK87" s="29">
        <f ca="1"/>
        <v>33705.187715626736</v>
      </c>
      <c r="AL87" s="3"/>
    </row>
    <row r="88" spans="2:38" hidden="1">
      <c r="B88" s="3"/>
      <c r="C88" s="12"/>
      <c r="D88" s="16"/>
      <c r="E88" s="141">
        <f t="array" aca="1" ref="E88:AK88" ca="1">tlccEupol2</f>
        <v>54017.634718068228</v>
      </c>
      <c r="F88" s="28">
        <f ca="1"/>
        <v>54255.591159127471</v>
      </c>
      <c r="G88" s="28">
        <f ca="1"/>
        <v>54466.086423007087</v>
      </c>
      <c r="H88" s="28">
        <f ca="1"/>
        <v>54695.748048181777</v>
      </c>
      <c r="I88" s="28">
        <f ca="1"/>
        <v>54897.280579829989</v>
      </c>
      <c r="J88" s="28">
        <f ca="1"/>
        <v>55117.345453401751</v>
      </c>
      <c r="K88" s="28">
        <f ca="1"/>
        <v>55308.764266541148</v>
      </c>
      <c r="L88" s="28">
        <f ca="1"/>
        <v>55517.938782672943</v>
      </c>
      <c r="M88" s="28">
        <f ca="1"/>
        <v>55746.306766636473</v>
      </c>
      <c r="N88" s="28">
        <f ca="1"/>
        <v>55946.523045713271</v>
      </c>
      <c r="O88" s="28">
        <f ca="1"/>
        <v>56165.248311848394</v>
      </c>
      <c r="P88" s="28">
        <f ca="1"/>
        <v>56403.890613328389</v>
      </c>
      <c r="Q88" s="28">
        <f ca="1"/>
        <v>56615.169588336707</v>
      </c>
      <c r="R88" s="28">
        <f ca="1"/>
        <v>56845.900664565444</v>
      </c>
      <c r="S88" s="28">
        <f ca="1"/>
        <v>57048.735833513601</v>
      </c>
      <c r="T88" s="28">
        <f ca="1"/>
        <v>57270.419119262551</v>
      </c>
      <c r="U88" s="28">
        <f ca="1"/>
        <v>57512.251678469089</v>
      </c>
      <c r="V88" s="28">
        <f ca="1"/>
        <v>57727.074544709176</v>
      </c>
      <c r="W88" s="28">
        <f ca="1"/>
        <v>57961.725630256406</v>
      </c>
      <c r="X88" s="28">
        <f ca="1"/>
        <v>58168.793239491948</v>
      </c>
      <c r="Y88" s="28">
        <f ca="1"/>
        <v>58395.227376935982</v>
      </c>
      <c r="Z88" s="28">
        <f ca="1"/>
        <v>58642.164977622437</v>
      </c>
      <c r="AA88" s="28">
        <f ca="1"/>
        <v>58862.680989511755</v>
      </c>
      <c r="AB88" s="28">
        <f ca="1"/>
        <v>59103.302381235619</v>
      </c>
      <c r="AC88" s="28">
        <f ca="1"/>
        <v>59316.965260378835</v>
      </c>
      <c r="AD88" s="28">
        <f ca="1"/>
        <v>59550.438480531142</v>
      </c>
      <c r="AE88" s="28">
        <f ca="1"/>
        <v>59804.881595971303</v>
      </c>
      <c r="AF88" s="28">
        <f ca="1"/>
        <v>60033.698522307495</v>
      </c>
      <c r="AG88" s="28">
        <f ca="1"/>
        <v>60283.283702927212</v>
      </c>
      <c r="AH88" s="28">
        <f ca="1"/>
        <v>60506.775800091084</v>
      </c>
      <c r="AI88" s="28">
        <f ca="1"/>
        <v>60750.775962070809</v>
      </c>
      <c r="AJ88" s="28">
        <f ca="1"/>
        <v>60968.26311809761</v>
      </c>
      <c r="AK88" s="29">
        <f ca="1"/>
        <v>61205.910069849888</v>
      </c>
      <c r="AL88" s="3"/>
    </row>
    <row r="89" spans="2:38" hidden="1">
      <c r="B89" s="3"/>
      <c r="C89" s="12"/>
      <c r="D89" s="16"/>
      <c r="E89" s="141">
        <f t="array" aca="1" ref="E89:AK89" ca="1">tlccEupol3</f>
        <v>47476.07586674246</v>
      </c>
      <c r="F89" s="28">
        <f ca="1"/>
        <v>47685.21568020658</v>
      </c>
      <c r="G89" s="28">
        <f ca="1"/>
        <v>47870.219876886033</v>
      </c>
      <c r="H89" s="28">
        <f ca="1"/>
        <v>48072.06938024507</v>
      </c>
      <c r="I89" s="28">
        <f ca="1"/>
        <v>48249.196235430158</v>
      </c>
      <c r="J89" s="28">
        <f ca="1"/>
        <v>48442.611157942534</v>
      </c>
      <c r="K89" s="28">
        <f ca="1"/>
        <v>48610.84907029022</v>
      </c>
      <c r="L89" s="28">
        <f ca="1"/>
        <v>48794.692462343468</v>
      </c>
      <c r="M89" s="28">
        <f ca="1"/>
        <v>48995.40498499971</v>
      </c>
      <c r="N89" s="28">
        <f ca="1"/>
        <v>49171.37498636722</v>
      </c>
      <c r="O89" s="28">
        <f ca="1"/>
        <v>49363.612528481033</v>
      </c>
      <c r="P89" s="28">
        <f ca="1"/>
        <v>49573.355144373265</v>
      </c>
      <c r="Q89" s="28">
        <f ca="1"/>
        <v>49759.048144425833</v>
      </c>
      <c r="R89" s="28">
        <f ca="1"/>
        <v>49961.837587855269</v>
      </c>
      <c r="S89" s="28">
        <f ca="1"/>
        <v>50140.109330401669</v>
      </c>
      <c r="T89" s="28">
        <f ca="1"/>
        <v>50334.946674678889</v>
      </c>
      <c r="U89" s="28">
        <f ca="1"/>
        <v>50547.493206711668</v>
      </c>
      <c r="V89" s="28">
        <f ca="1"/>
        <v>50736.300931240105</v>
      </c>
      <c r="W89" s="28">
        <f ca="1"/>
        <v>50942.535669169658</v>
      </c>
      <c r="X89" s="28">
        <f ca="1"/>
        <v>51124.527301660055</v>
      </c>
      <c r="Y89" s="28">
        <f ca="1"/>
        <v>51323.540167443978</v>
      </c>
      <c r="Z89" s="28">
        <f ca="1"/>
        <v>51540.573518232697</v>
      </c>
      <c r="AA89" s="28">
        <f ca="1"/>
        <v>51734.384946017883</v>
      </c>
      <c r="AB89" s="28">
        <f ca="1"/>
        <v>51945.866983472231</v>
      </c>
      <c r="AC89" s="28">
        <f ca="1"/>
        <v>52133.655195841267</v>
      </c>
      <c r="AD89" s="28">
        <f ca="1"/>
        <v>52338.854708382969</v>
      </c>
      <c r="AE89" s="28">
        <f ca="1"/>
        <v>52562.484652853105</v>
      </c>
      <c r="AF89" s="28">
        <f ca="1"/>
        <v>52763.591750767155</v>
      </c>
      <c r="AG89" s="28">
        <f ca="1"/>
        <v>52982.952058417788</v>
      </c>
      <c r="AH89" s="28">
        <f ca="1"/>
        <v>53179.37916626779</v>
      </c>
      <c r="AI89" s="28">
        <f ca="1"/>
        <v>53393.830803443496</v>
      </c>
      <c r="AJ89" s="28">
        <f ca="1"/>
        <v>53584.980171116906</v>
      </c>
      <c r="AK89" s="29">
        <f ca="1"/>
        <v>53793.847974562486</v>
      </c>
      <c r="AL89" s="3"/>
    </row>
    <row r="90" spans="2:38" hidden="1">
      <c r="B90" s="3"/>
      <c r="C90" s="12"/>
      <c r="D90" s="16"/>
      <c r="E90" s="141">
        <f t="array" aca="1" ref="E90:AK90" ca="1">tlccEupol4</f>
        <v>46396.010712905525</v>
      </c>
      <c r="F90" s="28">
        <f ca="1"/>
        <v>46600.392664211067</v>
      </c>
      <c r="G90" s="28">
        <f ca="1"/>
        <v>46781.18807609738</v>
      </c>
      <c r="H90" s="28">
        <f ca="1"/>
        <v>46978.445569461546</v>
      </c>
      <c r="I90" s="28">
        <f ca="1"/>
        <v>47151.542846788674</v>
      </c>
      <c r="J90" s="28">
        <f ca="1"/>
        <v>47340.557643253887</v>
      </c>
      <c r="K90" s="28">
        <f ca="1"/>
        <v>47504.968198277646</v>
      </c>
      <c r="L90" s="28">
        <f ca="1"/>
        <v>47684.629213462242</v>
      </c>
      <c r="M90" s="28">
        <f ca="1"/>
        <v>47880.775592061676</v>
      </c>
      <c r="N90" s="28">
        <f ca="1"/>
        <v>48052.742333616152</v>
      </c>
      <c r="O90" s="28">
        <f ca="1"/>
        <v>48240.606534700724</v>
      </c>
      <c r="P90" s="28">
        <f ca="1"/>
        <v>48445.577574876887</v>
      </c>
      <c r="Q90" s="28">
        <f ca="1"/>
        <v>48627.04612008547</v>
      </c>
      <c r="R90" s="28">
        <f ca="1"/>
        <v>48825.222170191708</v>
      </c>
      <c r="S90" s="28">
        <f ca="1"/>
        <v>48999.438289068261</v>
      </c>
      <c r="T90" s="28">
        <f ca="1"/>
        <v>49189.843147669737</v>
      </c>
      <c r="U90" s="28">
        <f ca="1"/>
        <v>49397.554315813926</v>
      </c>
      <c r="V90" s="28">
        <f ca="1"/>
        <v>49582.066726538163</v>
      </c>
      <c r="W90" s="28">
        <f ca="1"/>
        <v>49783.609691824684</v>
      </c>
      <c r="X90" s="28">
        <f ca="1"/>
        <v>49961.461074369108</v>
      </c>
      <c r="Y90" s="28">
        <f ca="1"/>
        <v>50155.946462732587</v>
      </c>
      <c r="Z90" s="28">
        <f ca="1"/>
        <v>50368.042375977726</v>
      </c>
      <c r="AA90" s="28">
        <f ca="1"/>
        <v>50557.444657350861</v>
      </c>
      <c r="AB90" s="28">
        <f ca="1"/>
        <v>50764.115547819143</v>
      </c>
      <c r="AC90" s="28">
        <f ca="1"/>
        <v>50947.631639951236</v>
      </c>
      <c r="AD90" s="28">
        <f ca="1"/>
        <v>51148.162930887978</v>
      </c>
      <c r="AE90" s="28">
        <f ca="1"/>
        <v>51366.705367471914</v>
      </c>
      <c r="AF90" s="28">
        <f ca="1"/>
        <v>51563.237344871435</v>
      </c>
      <c r="AG90" s="28">
        <f ca="1"/>
        <v>51777.607277473107</v>
      </c>
      <c r="AH90" s="28">
        <f ca="1"/>
        <v>51969.565733047566</v>
      </c>
      <c r="AI90" s="28">
        <f ca="1"/>
        <v>52179.138665817562</v>
      </c>
      <c r="AJ90" s="28">
        <f ca="1"/>
        <v>52365.939448073288</v>
      </c>
      <c r="AK90" s="29">
        <f ca="1"/>
        <v>52570.055577499028</v>
      </c>
      <c r="AL90" s="3"/>
    </row>
    <row r="91" spans="2:38" hidden="1">
      <c r="B91" s="3"/>
      <c r="C91" s="12"/>
      <c r="D91" s="16"/>
      <c r="E91" s="141">
        <f t="array" aca="1" ref="E91:AK91" ca="1">tlccEupol5</f>
        <v>33332.157748538812</v>
      </c>
      <c r="F91" s="28">
        <f ca="1"/>
        <v>33478.991308950419</v>
      </c>
      <c r="G91" s="28">
        <f ca="1"/>
        <v>33608.879657034835</v>
      </c>
      <c r="H91" s="28">
        <f ca="1"/>
        <v>33750.594812817988</v>
      </c>
      <c r="I91" s="28">
        <f ca="1"/>
        <v>33874.952611366942</v>
      </c>
      <c r="J91" s="28">
        <f ca="1"/>
        <v>34010.74598919788</v>
      </c>
      <c r="K91" s="28">
        <f ca="1"/>
        <v>34128.863009850524</v>
      </c>
      <c r="L91" s="28">
        <f ca="1"/>
        <v>34257.93637644776</v>
      </c>
      <c r="M91" s="28">
        <f ca="1"/>
        <v>34398.853277121343</v>
      </c>
      <c r="N91" s="28">
        <f ca="1"/>
        <v>34522.398867979689</v>
      </c>
      <c r="O91" s="28">
        <f ca="1"/>
        <v>34657.365626751292</v>
      </c>
      <c r="P91" s="28">
        <f ca="1"/>
        <v>34804.622404652087</v>
      </c>
      <c r="Q91" s="28">
        <f ca="1"/>
        <v>34934.994350048866</v>
      </c>
      <c r="R91" s="28">
        <f ca="1"/>
        <v>35077.369422013544</v>
      </c>
      <c r="S91" s="28">
        <f ca="1"/>
        <v>35202.531026804601</v>
      </c>
      <c r="T91" s="28">
        <f ca="1"/>
        <v>35339.323063134296</v>
      </c>
      <c r="U91" s="28">
        <f ca="1"/>
        <v>35488.548423598106</v>
      </c>
      <c r="V91" s="28">
        <f ca="1"/>
        <v>35621.107164884728</v>
      </c>
      <c r="W91" s="28">
        <f ca="1"/>
        <v>35765.901120416995</v>
      </c>
      <c r="X91" s="28">
        <f ca="1"/>
        <v>35893.674397637937</v>
      </c>
      <c r="Y91" s="28">
        <f ca="1"/>
        <v>36033.397997686916</v>
      </c>
      <c r="Z91" s="28">
        <f ca="1"/>
        <v>36185.773478455143</v>
      </c>
      <c r="AA91" s="28">
        <f ca="1"/>
        <v>36321.845235997564</v>
      </c>
      <c r="AB91" s="28">
        <f ca="1"/>
        <v>36470.323232645766</v>
      </c>
      <c r="AC91" s="28">
        <f ca="1"/>
        <v>36602.166191519827</v>
      </c>
      <c r="AD91" s="28">
        <f ca="1"/>
        <v>36746.233332644995</v>
      </c>
      <c r="AE91" s="28">
        <f ca="1"/>
        <v>36903.240171358811</v>
      </c>
      <c r="AF91" s="28">
        <f ca="1"/>
        <v>37044.434096712648</v>
      </c>
      <c r="AG91" s="28">
        <f ca="1"/>
        <v>37198.443294922348</v>
      </c>
      <c r="AH91" s="28">
        <f ca="1"/>
        <v>37336.35147763155</v>
      </c>
      <c r="AI91" s="28">
        <f ca="1"/>
        <v>37486.914380509959</v>
      </c>
      <c r="AJ91" s="28">
        <f ca="1"/>
        <v>37621.11715023141</v>
      </c>
      <c r="AK91" s="29">
        <f ca="1"/>
        <v>37767.759736964574</v>
      </c>
      <c r="AL91" s="3"/>
    </row>
    <row r="92" spans="2:38" hidden="1">
      <c r="B92" s="3"/>
      <c r="C92" s="4"/>
      <c r="D92" s="5"/>
      <c r="E92" s="147">
        <f t="array" aca="1" ref="E92:AK92" ca="1">tlccEupol6</f>
        <v>41346.217347511236</v>
      </c>
      <c r="F92" s="35">
        <f ca="1"/>
        <v>41528.35414010915</v>
      </c>
      <c r="G92" s="35">
        <f ca="1"/>
        <v>41689.471578449688</v>
      </c>
      <c r="H92" s="35">
        <f ca="1"/>
        <v>41865.259347025923</v>
      </c>
      <c r="I92" s="35">
        <f ca="1"/>
        <v>42019.516524327577</v>
      </c>
      <c r="J92" s="35">
        <f ca="1"/>
        <v>42187.958740295369</v>
      </c>
      <c r="K92" s="35">
        <f ca="1"/>
        <v>42334.474667802606</v>
      </c>
      <c r="L92" s="35">
        <f ca="1"/>
        <v>42494.581178439083</v>
      </c>
      <c r="M92" s="35">
        <f ca="1"/>
        <v>42669.378767216316</v>
      </c>
      <c r="N92" s="35">
        <f ca="1"/>
        <v>42822.628457515129</v>
      </c>
      <c r="O92" s="35">
        <f ca="1"/>
        <v>42990.045310182155</v>
      </c>
      <c r="P92" s="35">
        <f ca="1"/>
        <v>43172.707074563383</v>
      </c>
      <c r="Q92" s="35">
        <f ca="1"/>
        <v>43334.424381647368</v>
      </c>
      <c r="R92" s="35">
        <f ca="1"/>
        <v>43511.030730229082</v>
      </c>
      <c r="S92" s="35">
        <f ca="1"/>
        <v>43666.284973122543</v>
      </c>
      <c r="T92" s="35">
        <f ca="1"/>
        <v>43835.965955318898</v>
      </c>
      <c r="U92" s="35">
        <f ca="1"/>
        <v>44021.069609095059</v>
      </c>
      <c r="V92" s="35">
        <f ca="1"/>
        <v>44185.499483989377</v>
      </c>
      <c r="W92" s="35">
        <f ca="1"/>
        <v>44365.106288961535</v>
      </c>
      <c r="X92" s="35">
        <f ca="1"/>
        <v>44523.600129385442</v>
      </c>
      <c r="Y92" s="35">
        <f ca="1"/>
        <v>44696.917511949847</v>
      </c>
      <c r="Z92" s="35">
        <f ca="1"/>
        <v>44885.928670297362</v>
      </c>
      <c r="AA92" s="35">
        <f ca="1"/>
        <v>45054.716196885071</v>
      </c>
      <c r="AB92" s="35">
        <f ca="1"/>
        <v>45238.892797963606</v>
      </c>
      <c r="AC92" s="35">
        <f ca="1"/>
        <v>45402.43479468851</v>
      </c>
      <c r="AD92" s="35">
        <f ca="1"/>
        <v>45581.140037071404</v>
      </c>
      <c r="AE92" s="35">
        <f ca="1"/>
        <v>45775.896071993629</v>
      </c>
      <c r="AF92" s="35">
        <f ca="1"/>
        <v>45951.037290569046</v>
      </c>
      <c r="AG92" s="35">
        <f ca="1"/>
        <v>46142.074961479273</v>
      </c>
      <c r="AH92" s="35">
        <f ca="1"/>
        <v>46313.140445427547</v>
      </c>
      <c r="AI92" s="35">
        <f ca="1"/>
        <v>46499.90322729863</v>
      </c>
      <c r="AJ92" s="35">
        <f ca="1"/>
        <v>46666.372404823895</v>
      </c>
      <c r="AK92" s="36">
        <f ca="1"/>
        <v>46848.272307890817</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6317.387252365088</v>
      </c>
      <c r="F96" s="28">
        <f ca="1"/>
        <v>6269.9710278267376</v>
      </c>
      <c r="G96" s="28">
        <f ca="1"/>
        <v>6222.2059006846403</v>
      </c>
      <c r="H96" s="28">
        <f ca="1"/>
        <v>6180.2749084441593</v>
      </c>
      <c r="I96" s="28">
        <f ca="1"/>
        <v>6140.5186267383442</v>
      </c>
      <c r="J96" s="28">
        <f ca="1"/>
        <v>6105.9100865257142</v>
      </c>
      <c r="K96" s="28">
        <f ca="1"/>
        <v>6079.0760573754997</v>
      </c>
      <c r="L96" s="28">
        <f ca="1"/>
        <v>6056.8394385888641</v>
      </c>
      <c r="M96" s="28">
        <f ca="1"/>
        <v>6034.5034587107184</v>
      </c>
      <c r="N96" s="28">
        <f ca="1"/>
        <v>6016.6397097112058</v>
      </c>
      <c r="O96" s="28">
        <f ca="1"/>
        <v>6004.3356802909429</v>
      </c>
      <c r="P96" s="28">
        <f ca="1"/>
        <v>5995.3302017510932</v>
      </c>
      <c r="Q96" s="28">
        <f ca="1"/>
        <v>5987.752890229609</v>
      </c>
      <c r="R96" s="28">
        <f ca="1"/>
        <v>5982.1622373603313</v>
      </c>
      <c r="S96" s="28">
        <f ca="1"/>
        <v>5977.9015532737531</v>
      </c>
      <c r="T96" s="28">
        <f ca="1"/>
        <v>5977.3671626638188</v>
      </c>
      <c r="U96" s="28">
        <f ca="1"/>
        <v>5978.4607616670473</v>
      </c>
      <c r="V96" s="28">
        <f ca="1"/>
        <v>5980.0677827159225</v>
      </c>
      <c r="W96" s="28">
        <f ca="1"/>
        <v>5982.3660454659093</v>
      </c>
      <c r="X96" s="28">
        <f ca="1"/>
        <v>5984.5378790766554</v>
      </c>
      <c r="Y96" s="28">
        <f ca="1"/>
        <v>5986.337359343328</v>
      </c>
      <c r="Z96" s="28">
        <f ca="1"/>
        <v>5987.5432655459026</v>
      </c>
      <c r="AA96" s="28">
        <f ca="1"/>
        <v>5988.3380380064846</v>
      </c>
      <c r="AB96" s="28">
        <f ca="1"/>
        <v>5988.3380380064846</v>
      </c>
      <c r="AC96" s="28">
        <f ca="1"/>
        <v>5988.3380380064846</v>
      </c>
      <c r="AD96" s="28">
        <f ca="1"/>
        <v>5988.3380380064846</v>
      </c>
      <c r="AE96" s="28">
        <f ca="1"/>
        <v>5988.3380380064846</v>
      </c>
      <c r="AF96" s="28">
        <f ca="1"/>
        <v>5988.3380380064846</v>
      </c>
      <c r="AG96" s="28">
        <f ca="1"/>
        <v>5988.3380380064846</v>
      </c>
      <c r="AH96" s="28">
        <f ca="1"/>
        <v>5988.3380380064846</v>
      </c>
      <c r="AI96" s="28">
        <f ca="1"/>
        <v>5988.3380380064846</v>
      </c>
      <c r="AJ96" s="28">
        <f ca="1"/>
        <v>5988.3380380064846</v>
      </c>
      <c r="AK96" s="29">
        <f ca="1"/>
        <v>5988.3380380064846</v>
      </c>
      <c r="AL96" s="3"/>
    </row>
    <row r="97" spans="2:38" hidden="1">
      <c r="B97" s="3"/>
      <c r="C97" s="12"/>
      <c r="D97" s="16"/>
      <c r="E97" s="141">
        <f t="array" aca="1" ref="E97:AK97" ca="1">tlccFupolElec2</f>
        <v>11471.86715905474</v>
      </c>
      <c r="F97" s="28">
        <f ca="1"/>
        <v>11385.76310885832</v>
      </c>
      <c r="G97" s="28">
        <f ca="1"/>
        <v>11299.025479594837</v>
      </c>
      <c r="H97" s="28">
        <f ca="1"/>
        <v>11222.882170088194</v>
      </c>
      <c r="I97" s="28">
        <f ca="1"/>
        <v>11150.68796000612</v>
      </c>
      <c r="J97" s="28">
        <f ca="1"/>
        <v>11087.841634456034</v>
      </c>
      <c r="K97" s="28">
        <f ca="1"/>
        <v>11039.113195711327</v>
      </c>
      <c r="L97" s="28">
        <f ca="1"/>
        <v>10998.733284428965</v>
      </c>
      <c r="M97" s="28">
        <f ca="1"/>
        <v>10958.172941395778</v>
      </c>
      <c r="N97" s="28">
        <f ca="1"/>
        <v>10925.73380994814</v>
      </c>
      <c r="O97" s="28">
        <f ca="1"/>
        <v>10903.390682102445</v>
      </c>
      <c r="P97" s="28">
        <f ca="1"/>
        <v>10887.037457361601</v>
      </c>
      <c r="Q97" s="28">
        <f ca="1"/>
        <v>10873.277669062298</v>
      </c>
      <c r="R97" s="28">
        <f ca="1"/>
        <v>10863.125493093548</v>
      </c>
      <c r="S97" s="28">
        <f ca="1"/>
        <v>10855.38843346821</v>
      </c>
      <c r="T97" s="28">
        <f ca="1"/>
        <v>10854.418023100234</v>
      </c>
      <c r="U97" s="28">
        <f ca="1"/>
        <v>10856.403910934734</v>
      </c>
      <c r="V97" s="28">
        <f ca="1"/>
        <v>10859.322131910916</v>
      </c>
      <c r="W97" s="28">
        <f ca="1"/>
        <v>10863.495592221518</v>
      </c>
      <c r="X97" s="28">
        <f ca="1"/>
        <v>10867.43946738363</v>
      </c>
      <c r="Y97" s="28">
        <f ca="1"/>
        <v>10870.707178820327</v>
      </c>
      <c r="Z97" s="28">
        <f ca="1"/>
        <v>10872.897007496262</v>
      </c>
      <c r="AA97" s="28">
        <f ca="1"/>
        <v>10874.340250363171</v>
      </c>
      <c r="AB97" s="28">
        <f ca="1"/>
        <v>10874.340250363171</v>
      </c>
      <c r="AC97" s="28">
        <f ca="1"/>
        <v>10874.340250363171</v>
      </c>
      <c r="AD97" s="28">
        <f ca="1"/>
        <v>10874.340250363171</v>
      </c>
      <c r="AE97" s="28">
        <f ca="1"/>
        <v>10874.340250363171</v>
      </c>
      <c r="AF97" s="28">
        <f ca="1"/>
        <v>10874.340250363171</v>
      </c>
      <c r="AG97" s="28">
        <f ca="1"/>
        <v>10874.340250363171</v>
      </c>
      <c r="AH97" s="28">
        <f ca="1"/>
        <v>10874.340250363171</v>
      </c>
      <c r="AI97" s="28">
        <f ca="1"/>
        <v>10874.340250363171</v>
      </c>
      <c r="AJ97" s="28">
        <f ca="1"/>
        <v>10874.340250363171</v>
      </c>
      <c r="AK97" s="29">
        <f ca="1"/>
        <v>10874.340250363171</v>
      </c>
      <c r="AL97" s="3"/>
    </row>
    <row r="98" spans="2:38" hidden="1">
      <c r="B98" s="3"/>
      <c r="C98" s="12"/>
      <c r="D98" s="16"/>
      <c r="E98" s="141">
        <f t="array" aca="1" ref="E98:AK98" ca="1">tlccFupolElec3</f>
        <v>10082.619100578633</v>
      </c>
      <c r="F98" s="28">
        <f ca="1"/>
        <v>10006.942287980399</v>
      </c>
      <c r="G98" s="28">
        <f ca="1"/>
        <v>9930.7086230132627</v>
      </c>
      <c r="H98" s="28">
        <f ca="1"/>
        <v>9863.7863011132049</v>
      </c>
      <c r="I98" s="28">
        <f ca="1"/>
        <v>9800.3348409949467</v>
      </c>
      <c r="J98" s="28">
        <f ca="1"/>
        <v>9745.0992325619882</v>
      </c>
      <c r="K98" s="28">
        <f ca="1"/>
        <v>9702.2718287560638</v>
      </c>
      <c r="L98" s="28">
        <f ca="1"/>
        <v>9666.7819421377499</v>
      </c>
      <c r="M98" s="28">
        <f ca="1"/>
        <v>9631.1334741314204</v>
      </c>
      <c r="N98" s="28">
        <f ca="1"/>
        <v>9602.6227354865805</v>
      </c>
      <c r="O98" s="28">
        <f ca="1"/>
        <v>9582.9853700551048</v>
      </c>
      <c r="P98" s="28">
        <f ca="1"/>
        <v>9568.612527880241</v>
      </c>
      <c r="Q98" s="28">
        <f ca="1"/>
        <v>9556.5190558758222</v>
      </c>
      <c r="R98" s="28">
        <f ca="1"/>
        <v>9547.5963127934865</v>
      </c>
      <c r="S98" s="28">
        <f ca="1"/>
        <v>9540.7962144242138</v>
      </c>
      <c r="T98" s="28">
        <f ca="1"/>
        <v>9539.9433211701453</v>
      </c>
      <c r="U98" s="28">
        <f ca="1"/>
        <v>9541.6887171317721</v>
      </c>
      <c r="V98" s="28">
        <f ca="1"/>
        <v>9544.2535402896938</v>
      </c>
      <c r="W98" s="28">
        <f ca="1"/>
        <v>9547.921592757506</v>
      </c>
      <c r="X98" s="28">
        <f ca="1"/>
        <v>9551.3878629372848</v>
      </c>
      <c r="Y98" s="28">
        <f ca="1"/>
        <v>9554.2598531102904</v>
      </c>
      <c r="Z98" s="28">
        <f ca="1"/>
        <v>9556.1844925895366</v>
      </c>
      <c r="AA98" s="28">
        <f ca="1"/>
        <v>9557.4529581230818</v>
      </c>
      <c r="AB98" s="28">
        <f ca="1"/>
        <v>9557.4529581230818</v>
      </c>
      <c r="AC98" s="28">
        <f ca="1"/>
        <v>9557.4529581230818</v>
      </c>
      <c r="AD98" s="28">
        <f ca="1"/>
        <v>9557.4529581230818</v>
      </c>
      <c r="AE98" s="28">
        <f ca="1"/>
        <v>9557.4529581230818</v>
      </c>
      <c r="AF98" s="28">
        <f ca="1"/>
        <v>9557.4529581230818</v>
      </c>
      <c r="AG98" s="28">
        <f ca="1"/>
        <v>9557.4529581230818</v>
      </c>
      <c r="AH98" s="28">
        <f ca="1"/>
        <v>9557.4529581230818</v>
      </c>
      <c r="AI98" s="28">
        <f ca="1"/>
        <v>9557.4529581230818</v>
      </c>
      <c r="AJ98" s="28">
        <f ca="1"/>
        <v>9557.4529581230818</v>
      </c>
      <c r="AK98" s="29">
        <f ca="1"/>
        <v>9557.4529581230818</v>
      </c>
      <c r="AL98" s="3"/>
    </row>
    <row r="99" spans="2:38" hidden="1">
      <c r="B99" s="3"/>
      <c r="C99" s="12"/>
      <c r="D99" s="16"/>
      <c r="E99" s="141">
        <f t="array" aca="1" ref="E99:AK99" ca="1">tlccFupolElec4</f>
        <v>9853.2428231349822</v>
      </c>
      <c r="F99" s="28">
        <f ca="1"/>
        <v>9779.2876332013984</v>
      </c>
      <c r="G99" s="28">
        <f ca="1"/>
        <v>9704.7882591076541</v>
      </c>
      <c r="H99" s="28">
        <f ca="1"/>
        <v>9639.388398080333</v>
      </c>
      <c r="I99" s="28">
        <f ca="1"/>
        <v>9577.3804378677141</v>
      </c>
      <c r="J99" s="28">
        <f ca="1"/>
        <v>9523.4014214093513</v>
      </c>
      <c r="K99" s="28">
        <f ca="1"/>
        <v>9481.5483269926426</v>
      </c>
      <c r="L99" s="28">
        <f ca="1"/>
        <v>9446.8658236542287</v>
      </c>
      <c r="M99" s="28">
        <f ca="1"/>
        <v>9412.0283466023611</v>
      </c>
      <c r="N99" s="28">
        <f ca="1"/>
        <v>9384.1662179101822</v>
      </c>
      <c r="O99" s="28">
        <f ca="1"/>
        <v>9364.975596101227</v>
      </c>
      <c r="P99" s="28">
        <f ca="1"/>
        <v>9350.929731371556</v>
      </c>
      <c r="Q99" s="28">
        <f ca="1"/>
        <v>9339.1113818885842</v>
      </c>
      <c r="R99" s="28">
        <f ca="1"/>
        <v>9330.3916282847131</v>
      </c>
      <c r="S99" s="28">
        <f ca="1"/>
        <v>9323.7462299229137</v>
      </c>
      <c r="T99" s="28">
        <f ca="1"/>
        <v>9322.9127397106258</v>
      </c>
      <c r="U99" s="28">
        <f ca="1"/>
        <v>9324.6184284866158</v>
      </c>
      <c r="V99" s="28">
        <f ca="1"/>
        <v>9327.1249027589547</v>
      </c>
      <c r="W99" s="28">
        <f ca="1"/>
        <v>9330.7095082362448</v>
      </c>
      <c r="X99" s="28">
        <f ca="1"/>
        <v>9334.0969219063682</v>
      </c>
      <c r="Y99" s="28">
        <f ca="1"/>
        <v>9336.903575244949</v>
      </c>
      <c r="Z99" s="28">
        <f ca="1"/>
        <v>9338.7844298073232</v>
      </c>
      <c r="AA99" s="28">
        <f ca="1"/>
        <v>9340.0240381660351</v>
      </c>
      <c r="AB99" s="28">
        <f ca="1"/>
        <v>9340.0240381660351</v>
      </c>
      <c r="AC99" s="28">
        <f ca="1"/>
        <v>9340.0240381660351</v>
      </c>
      <c r="AD99" s="28">
        <f ca="1"/>
        <v>9340.0240381660351</v>
      </c>
      <c r="AE99" s="28">
        <f ca="1"/>
        <v>9340.0240381660351</v>
      </c>
      <c r="AF99" s="28">
        <f ca="1"/>
        <v>9340.0240381660351</v>
      </c>
      <c r="AG99" s="28">
        <f ca="1"/>
        <v>9340.0240381660351</v>
      </c>
      <c r="AH99" s="28">
        <f ca="1"/>
        <v>9340.0240381660351</v>
      </c>
      <c r="AI99" s="28">
        <f ca="1"/>
        <v>9340.0240381660351</v>
      </c>
      <c r="AJ99" s="28">
        <f ca="1"/>
        <v>9340.0240381660351</v>
      </c>
      <c r="AK99" s="29">
        <f ca="1"/>
        <v>9340.0240381660351</v>
      </c>
      <c r="AL99" s="3"/>
    </row>
    <row r="100" spans="2:38" hidden="1">
      <c r="B100" s="3"/>
      <c r="C100" s="12"/>
      <c r="D100" s="16"/>
      <c r="E100" s="141">
        <f t="array" aca="1" ref="E100:AK100" ca="1">tlccFupolElec5</f>
        <v>7078.8380093212836</v>
      </c>
      <c r="F100" s="28">
        <f ca="1"/>
        <v>7025.7065866124849</v>
      </c>
      <c r="G100" s="28">
        <f ca="1"/>
        <v>6972.1842071815026</v>
      </c>
      <c r="H100" s="28">
        <f ca="1"/>
        <v>6925.1991657738618</v>
      </c>
      <c r="I100" s="28">
        <f ca="1"/>
        <v>6880.6509582940926</v>
      </c>
      <c r="J100" s="28">
        <f ca="1"/>
        <v>6841.8709626855316</v>
      </c>
      <c r="K100" s="28">
        <f ca="1"/>
        <v>6811.8025597360911</v>
      </c>
      <c r="L100" s="28">
        <f ca="1"/>
        <v>6786.8857047171596</v>
      </c>
      <c r="M100" s="28">
        <f ca="1"/>
        <v>6761.8575123615847</v>
      </c>
      <c r="N100" s="28">
        <f ca="1"/>
        <v>6741.8406002497968</v>
      </c>
      <c r="O100" s="28">
        <f ca="1"/>
        <v>6728.053534862067</v>
      </c>
      <c r="P100" s="28">
        <f ca="1"/>
        <v>6717.962603083879</v>
      </c>
      <c r="Q100" s="28">
        <f ca="1"/>
        <v>6709.4719789280352</v>
      </c>
      <c r="R100" s="28">
        <f ca="1"/>
        <v>6703.2074704458064</v>
      </c>
      <c r="S100" s="28">
        <f ca="1"/>
        <v>6698.4332352670954</v>
      </c>
      <c r="T100" s="28">
        <f ca="1"/>
        <v>6697.8344331974577</v>
      </c>
      <c r="U100" s="28">
        <f ca="1"/>
        <v>6699.05984647066</v>
      </c>
      <c r="V100" s="28">
        <f ca="1"/>
        <v>6700.8605658548158</v>
      </c>
      <c r="W100" s="28">
        <f ca="1"/>
        <v>6703.4358440608376</v>
      </c>
      <c r="X100" s="28">
        <f ca="1"/>
        <v>6705.869454301831</v>
      </c>
      <c r="Y100" s="28">
        <f ca="1"/>
        <v>6707.8858305029207</v>
      </c>
      <c r="Z100" s="28">
        <f ca="1"/>
        <v>6709.2370876479163</v>
      </c>
      <c r="AA100" s="28">
        <f ca="1"/>
        <v>6710.1276560550732</v>
      </c>
      <c r="AB100" s="28">
        <f ca="1"/>
        <v>6710.1276560550732</v>
      </c>
      <c r="AC100" s="28">
        <f ca="1"/>
        <v>6710.1276560550732</v>
      </c>
      <c r="AD100" s="28">
        <f ca="1"/>
        <v>6710.1276560550732</v>
      </c>
      <c r="AE100" s="28">
        <f ca="1"/>
        <v>6710.1276560550732</v>
      </c>
      <c r="AF100" s="28">
        <f ca="1"/>
        <v>6710.1276560550732</v>
      </c>
      <c r="AG100" s="28">
        <f ca="1"/>
        <v>6710.1276560550732</v>
      </c>
      <c r="AH100" s="28">
        <f ca="1"/>
        <v>6710.1276560550732</v>
      </c>
      <c r="AI100" s="28">
        <f ca="1"/>
        <v>6710.1276560550732</v>
      </c>
      <c r="AJ100" s="28">
        <f ca="1"/>
        <v>6710.1276560550732</v>
      </c>
      <c r="AK100" s="29">
        <f ca="1"/>
        <v>6710.1276560550732</v>
      </c>
      <c r="AL100" s="3"/>
    </row>
    <row r="101" spans="2:38" hidden="1">
      <c r="B101" s="3"/>
      <c r="C101" s="4"/>
      <c r="D101" s="5"/>
      <c r="E101" s="147">
        <f t="array" aca="1" ref="E101:AK101" ca="1">tlccFupolElec6</f>
        <v>8780.8049244592257</v>
      </c>
      <c r="F101" s="35">
        <f ca="1"/>
        <v>8714.899099583643</v>
      </c>
      <c r="G101" s="35">
        <f ca="1"/>
        <v>8648.5083201566395</v>
      </c>
      <c r="H101" s="35">
        <f ca="1"/>
        <v>8590.2266526817129</v>
      </c>
      <c r="I101" s="35">
        <f ca="1"/>
        <v>8534.9677077674351</v>
      </c>
      <c r="J101" s="35">
        <f ca="1"/>
        <v>8486.8638274467157</v>
      </c>
      <c r="K101" s="35">
        <f ca="1"/>
        <v>8449.5660703372287</v>
      </c>
      <c r="L101" s="35">
        <f ca="1"/>
        <v>8418.6584492044713</v>
      </c>
      <c r="M101" s="35">
        <f ca="1"/>
        <v>8387.6127218694492</v>
      </c>
      <c r="N101" s="35">
        <f ca="1"/>
        <v>8362.7831382270215</v>
      </c>
      <c r="O101" s="35">
        <f ca="1"/>
        <v>8345.6812450220914</v>
      </c>
      <c r="P101" s="35">
        <f ca="1"/>
        <v>8333.1641478186211</v>
      </c>
      <c r="Q101" s="35">
        <f ca="1"/>
        <v>8322.632120626984</v>
      </c>
      <c r="R101" s="35">
        <f ca="1"/>
        <v>8314.861434695531</v>
      </c>
      <c r="S101" s="35">
        <f ca="1"/>
        <v>8308.9393288763913</v>
      </c>
      <c r="T101" s="35">
        <f ca="1"/>
        <v>8308.1965566650561</v>
      </c>
      <c r="U101" s="35">
        <f ca="1"/>
        <v>8309.716596379154</v>
      </c>
      <c r="V101" s="35">
        <f ca="1"/>
        <v>8311.950263206274</v>
      </c>
      <c r="W101" s="35">
        <f ca="1"/>
        <v>8315.1447162398799</v>
      </c>
      <c r="X101" s="35">
        <f ca="1"/>
        <v>8318.1634400417515</v>
      </c>
      <c r="Y101" s="35">
        <f ca="1"/>
        <v>8320.6646141119563</v>
      </c>
      <c r="Z101" s="35">
        <f ca="1"/>
        <v>8322.3407543735866</v>
      </c>
      <c r="AA101" s="35">
        <f ca="1"/>
        <v>8323.445442380973</v>
      </c>
      <c r="AB101" s="35">
        <f ca="1"/>
        <v>8323.445442380973</v>
      </c>
      <c r="AC101" s="35">
        <f ca="1"/>
        <v>8323.445442380973</v>
      </c>
      <c r="AD101" s="35">
        <f ca="1"/>
        <v>8323.445442380973</v>
      </c>
      <c r="AE101" s="35">
        <f ca="1"/>
        <v>8323.445442380973</v>
      </c>
      <c r="AF101" s="35">
        <f ca="1"/>
        <v>8323.445442380973</v>
      </c>
      <c r="AG101" s="35">
        <f ca="1"/>
        <v>8323.445442380973</v>
      </c>
      <c r="AH101" s="35">
        <f ca="1"/>
        <v>8323.445442380973</v>
      </c>
      <c r="AI101" s="35">
        <f ca="1"/>
        <v>8323.445442380973</v>
      </c>
      <c r="AJ101" s="35">
        <f ca="1"/>
        <v>8323.445442380973</v>
      </c>
      <c r="AK101" s="36">
        <f ca="1"/>
        <v>8323.445442380973</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INDEX(_doName,4,1)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INDEX(_doName,4,1)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(1+INDEX(vadCnU,1,1))*INDEX(mspCnU,1,1)*tPIdxAll + INDEX(instCnU,1,1) + SUMPRODUCT(dFactor,tpSurvCnU,INDEX(mrCnU,1,1)*allOnes)</f>
        <v>857.64327600000001</v>
      </c>
      <c r="F106" s="28">
        <f ca="1"/>
        <v>857.64327600000001</v>
      </c>
      <c r="G106" s="28">
        <f ca="1"/>
        <v>857.64327600000001</v>
      </c>
      <c r="H106" s="28">
        <f ca="1"/>
        <v>857.64327600000001</v>
      </c>
      <c r="I106" s="28">
        <f ca="1"/>
        <v>857.64327600000001</v>
      </c>
      <c r="J106" s="28">
        <f ca="1"/>
        <v>857.64327600000001</v>
      </c>
      <c r="K106" s="28">
        <f ca="1"/>
        <v>857.64327600000001</v>
      </c>
      <c r="L106" s="28">
        <f ca="1"/>
        <v>857.64327600000001</v>
      </c>
      <c r="M106" s="28">
        <f ca="1"/>
        <v>857.64327600000001</v>
      </c>
      <c r="N106" s="28">
        <f ca="1"/>
        <v>857.64327600000001</v>
      </c>
      <c r="O106" s="28">
        <f ca="1"/>
        <v>857.64327600000001</v>
      </c>
      <c r="P106" s="28">
        <f ca="1"/>
        <v>857.64327600000001</v>
      </c>
      <c r="Q106" s="28">
        <f ca="1"/>
        <v>857.64327600000001</v>
      </c>
      <c r="R106" s="28">
        <f ca="1"/>
        <v>857.64327600000001</v>
      </c>
      <c r="S106" s="28">
        <f ca="1"/>
        <v>857.64327600000001</v>
      </c>
      <c r="T106" s="28">
        <f ca="1"/>
        <v>857.64327600000001</v>
      </c>
      <c r="U106" s="28">
        <f ca="1"/>
        <v>857.64327600000001</v>
      </c>
      <c r="V106" s="28">
        <f ca="1"/>
        <v>857.64327600000001</v>
      </c>
      <c r="W106" s="28">
        <f ca="1"/>
        <v>857.64327600000001</v>
      </c>
      <c r="X106" s="28">
        <f ca="1"/>
        <v>857.64327600000001</v>
      </c>
      <c r="Y106" s="28">
        <f ca="1"/>
        <v>857.64327600000001</v>
      </c>
      <c r="Z106" s="28">
        <f ca="1"/>
        <v>857.64327600000001</v>
      </c>
      <c r="AA106" s="28">
        <f ca="1"/>
        <v>857.64327600000001</v>
      </c>
      <c r="AB106" s="28">
        <f ca="1"/>
        <v>857.64327600000001</v>
      </c>
      <c r="AC106" s="28">
        <f ca="1"/>
        <v>857.64327600000001</v>
      </c>
      <c r="AD106" s="28">
        <f ca="1"/>
        <v>857.64327600000001</v>
      </c>
      <c r="AE106" s="28">
        <f ca="1"/>
        <v>857.64327600000001</v>
      </c>
      <c r="AF106" s="28">
        <f ca="1"/>
        <v>857.64327600000001</v>
      </c>
      <c r="AG106" s="28">
        <f ca="1"/>
        <v>857.64327600000001</v>
      </c>
      <c r="AH106" s="28">
        <f ca="1"/>
        <v>857.64327600000001</v>
      </c>
      <c r="AI106" s="28">
        <f ca="1"/>
        <v>857.64327600000001</v>
      </c>
      <c r="AJ106" s="28">
        <f ca="1"/>
        <v>857.64327600000001</v>
      </c>
      <c r="AK106" s="29">
        <f ca="1"/>
        <v>857.64327600000001</v>
      </c>
      <c r="AL106" s="3"/>
    </row>
    <row r="107" spans="2:38">
      <c r="B107" s="3"/>
      <c r="C107" s="23" t="s">
        <v>47</v>
      </c>
      <c r="D107" s="16" t="str">
        <f>_yearDol &amp; "$"</f>
        <v>2013$</v>
      </c>
      <c r="E107" s="141">
        <f t="array" aca="1" ref="E107:AK107" ca="1">(tlccEFubcElec0)</f>
        <v>20786.306893052075</v>
      </c>
      <c r="F107" s="28">
        <f ca="1"/>
        <v>20877.873945864583</v>
      </c>
      <c r="G107" s="28">
        <f ca="1"/>
        <v>20958.873774482992</v>
      </c>
      <c r="H107" s="28">
        <f ca="1"/>
        <v>21047.248932842904</v>
      </c>
      <c r="I107" s="28">
        <f ca="1"/>
        <v>21124.799848828738</v>
      </c>
      <c r="J107" s="28">
        <f ca="1"/>
        <v>21209.482120133616</v>
      </c>
      <c r="K107" s="28">
        <f ca="1"/>
        <v>21283.141217126416</v>
      </c>
      <c r="L107" s="28">
        <f ca="1"/>
        <v>21363.632814161625</v>
      </c>
      <c r="M107" s="28">
        <f ca="1"/>
        <v>21451.510171694747</v>
      </c>
      <c r="N107" s="28">
        <f ca="1"/>
        <v>21528.554585867932</v>
      </c>
      <c r="O107" s="28">
        <f ca="1"/>
        <v>21612.721368269231</v>
      </c>
      <c r="P107" s="28">
        <f ca="1"/>
        <v>21704.552344248063</v>
      </c>
      <c r="Q107" s="28">
        <f ca="1"/>
        <v>21785.853749566792</v>
      </c>
      <c r="R107" s="28">
        <f ca="1"/>
        <v>21874.640439048588</v>
      </c>
      <c r="S107" s="28">
        <f ca="1"/>
        <v>21952.692617609631</v>
      </c>
      <c r="T107" s="28">
        <f ca="1"/>
        <v>22037.997663539321</v>
      </c>
      <c r="U107" s="28">
        <f ca="1"/>
        <v>22131.056269652589</v>
      </c>
      <c r="V107" s="28">
        <f ca="1"/>
        <v>22213.721385380395</v>
      </c>
      <c r="W107" s="28">
        <f ca="1"/>
        <v>22304.016517746513</v>
      </c>
      <c r="X107" s="28">
        <f ca="1"/>
        <v>22383.697364485648</v>
      </c>
      <c r="Y107" s="28">
        <f ca="1"/>
        <v>22470.830566384262</v>
      </c>
      <c r="Z107" s="28">
        <f ca="1"/>
        <v>22565.853622800809</v>
      </c>
      <c r="AA107" s="28">
        <f ca="1"/>
        <v>22650.709494811614</v>
      </c>
      <c r="AB107" s="28">
        <f ca="1"/>
        <v>22743.30203647897</v>
      </c>
      <c r="AC107" s="28">
        <f ca="1"/>
        <v>22825.520782277519</v>
      </c>
      <c r="AD107" s="28">
        <f ca="1"/>
        <v>22915.362665039036</v>
      </c>
      <c r="AE107" s="28">
        <f ca="1"/>
        <v>23013.273888141797</v>
      </c>
      <c r="AF107" s="28">
        <f ca="1"/>
        <v>23101.324001368219</v>
      </c>
      <c r="AG107" s="28">
        <f ca="1"/>
        <v>23197.365862278933</v>
      </c>
      <c r="AH107" s="28">
        <f ca="1"/>
        <v>23283.366949591738</v>
      </c>
      <c r="AI107" s="28">
        <f ca="1"/>
        <v>23377.259662135275</v>
      </c>
      <c r="AJ107" s="28">
        <f ca="1"/>
        <v>23460.950012408208</v>
      </c>
      <c r="AK107" s="29">
        <f ca="1"/>
        <v>23552.397971895931</v>
      </c>
      <c r="AL107" s="3"/>
    </row>
    <row r="108" spans="2:38">
      <c r="B108" s="3"/>
      <c r="C108" s="27" t="str">
        <f>INDEX(_fuel,1)</f>
        <v>Electricity</v>
      </c>
      <c r="D108" s="16" t="str">
        <f>_yearDol &amp; "$"</f>
        <v>2013$</v>
      </c>
      <c r="E108" s="141">
        <f ca="1">SUMPRODUCT(dFactor,tpSurvCnU,INDEX(tEIdxElec,1)*INDEX(elecCnU,1,1)*allOnes,OFFSET(tPrcElec,0,0,1,_maxLT))</f>
        <v>20786.306893052075</v>
      </c>
      <c r="F108" s="28">
        <f ca="1">SUMPRODUCT(dFactor,tpSurvCnU,INDEX(tEIdxElec,2)*INDEX(elecCnU,1,1)*allOnes,OFFSET(tPrcElec,0,1,1,_maxLT))</f>
        <v>20877.873945864583</v>
      </c>
      <c r="G108" s="28">
        <f ca="1">SUMPRODUCT(dFactor,tpSurvCnU,INDEX(tEIdxElec,3)*INDEX(elecCnU,1,1)*allOnes,OFFSET(tPrcElec,0,2,1,_maxLT))</f>
        <v>20958.873774482992</v>
      </c>
      <c r="H108" s="28">
        <f ca="1">SUMPRODUCT(dFactor,tpSurvCnU,INDEX(tEIdxElec,4)*INDEX(elecCnU,1,1)*allOnes,OFFSET(tPrcElec,0,3,1,_maxLT))</f>
        <v>21047.248932842904</v>
      </c>
      <c r="I108" s="28">
        <f ca="1">SUMPRODUCT(dFactor,tpSurvCnU,INDEX(tEIdxElec,5)*INDEX(elecCnU,1,1)*allOnes,OFFSET(tPrcElec,0,4,1,_maxLT))</f>
        <v>21124.799848828738</v>
      </c>
      <c r="J108" s="28">
        <f ca="1">SUMPRODUCT(dFactor,tpSurvCnU,INDEX(tEIdxElec,6)*INDEX(elecCnU,1,1)*allOnes,OFFSET(tPrcElec,0,5,1,_maxLT))</f>
        <v>21209.482120133616</v>
      </c>
      <c r="K108" s="28">
        <f ca="1">SUMPRODUCT(dFactor,tpSurvCnU,INDEX(tEIdxElec,7)*INDEX(elecCnU,1,1)*allOnes,OFFSET(tPrcElec,0,6,1,_maxLT))</f>
        <v>21283.141217126416</v>
      </c>
      <c r="L108" s="28">
        <f ca="1">SUMPRODUCT(dFactor,tpSurvCnU,INDEX(tEIdxElec,8)*INDEX(elecCnU,1,1)*allOnes,OFFSET(tPrcElec,0,7,1,_maxLT))</f>
        <v>21363.632814161625</v>
      </c>
      <c r="M108" s="28">
        <f ca="1">SUMPRODUCT(dFactor,tpSurvCnU,INDEX(tEIdxElec,9)*INDEX(elecCnU,1,1)*allOnes,OFFSET(tPrcElec,0,8,1,_maxLT))</f>
        <v>21451.510171694747</v>
      </c>
      <c r="N108" s="28">
        <f ca="1">SUMPRODUCT(dFactor,tpSurvCnU,INDEX(tEIdxElec,10)*INDEX(elecCnU,1,1)*allOnes,OFFSET(tPrcElec,0,9,1,_maxLT))</f>
        <v>21528.554585867932</v>
      </c>
      <c r="O108" s="28">
        <f ca="1">SUMPRODUCT(dFactor,tpSurvCnU,INDEX(tEIdxElec,11)*INDEX(elecCnU,1,1)*allOnes,OFFSET(tPrcElec,0,10,1,_maxLT))</f>
        <v>21612.721368269231</v>
      </c>
      <c r="P108" s="28">
        <f ca="1">SUMPRODUCT(dFactor,tpSurvCnU,INDEX(tEIdxElec,12)*INDEX(elecCnU,1,1)*allOnes,OFFSET(tPrcElec,0,11,1,_maxLT))</f>
        <v>21704.552344248063</v>
      </c>
      <c r="Q108" s="28">
        <f ca="1">SUMPRODUCT(dFactor,tpSurvCnU,INDEX(tEIdxElec,13)*INDEX(elecCnU,1,1)*allOnes,OFFSET(tPrcElec,0,12,1,_maxLT))</f>
        <v>21785.853749566792</v>
      </c>
      <c r="R108" s="28">
        <f ca="1">SUMPRODUCT(dFactor,tpSurvCnU,INDEX(tEIdxElec,14)*INDEX(elecCnU,1,1)*allOnes,OFFSET(tPrcElec,0,13,1,_maxLT))</f>
        <v>21874.640439048588</v>
      </c>
      <c r="S108" s="28">
        <f ca="1">SUMPRODUCT(dFactor,tpSurvCnU,INDEX(tEIdxElec,15)*INDEX(elecCnU,1,1)*allOnes,OFFSET(tPrcElec,0,14,1,_maxLT))</f>
        <v>21952.692617609631</v>
      </c>
      <c r="T108" s="28">
        <f ca="1">SUMPRODUCT(dFactor,tpSurvCnU,INDEX(tEIdxElec,16)*INDEX(elecCnU,1,1)*allOnes,OFFSET(tPrcElec,0,15,1,_maxLT))</f>
        <v>22037.997663539321</v>
      </c>
      <c r="U108" s="28">
        <f ca="1">SUMPRODUCT(dFactor,tpSurvCnU,INDEX(tEIdxElec,17)*INDEX(elecCnU,1,1)*allOnes,OFFSET(tPrcElec,0,16,1,_maxLT))</f>
        <v>22131.056269652589</v>
      </c>
      <c r="V108" s="28">
        <f ca="1">SUMPRODUCT(dFactor,tpSurvCnU,INDEX(tEIdxElec,18)*INDEX(elecCnU,1,1)*allOnes,OFFSET(tPrcElec,0,17,1,_maxLT))</f>
        <v>22213.721385380395</v>
      </c>
      <c r="W108" s="28">
        <f ca="1">SUMPRODUCT(dFactor,tpSurvCnU,INDEX(tEIdxElec,19)*INDEX(elecCnU,1,1)*allOnes,OFFSET(tPrcElec,0,18,1,_maxLT))</f>
        <v>22304.016517746513</v>
      </c>
      <c r="X108" s="28">
        <f ca="1">SUMPRODUCT(dFactor,tpSurvCnU,INDEX(tEIdxElec,20)*INDEX(elecCnU,1,1)*allOnes,OFFSET(tPrcElec,0,19,1,_maxLT))</f>
        <v>22383.697364485648</v>
      </c>
      <c r="Y108" s="28">
        <f ca="1">SUMPRODUCT(dFactor,tpSurvCnU,INDEX(tEIdxElec,21)*INDEX(elecCnU,1,1)*allOnes,OFFSET(tPrcElec,0,20,1,_maxLT))</f>
        <v>22470.830566384262</v>
      </c>
      <c r="Z108" s="28">
        <f ca="1">SUMPRODUCT(dFactor,tpSurvCnU,INDEX(tEIdxElec,22)*INDEX(elecCnU,1,1)*allOnes,OFFSET(tPrcElec,0,21,1,_maxLT))</f>
        <v>22565.853622800809</v>
      </c>
      <c r="AA108" s="28">
        <f ca="1">SUMPRODUCT(dFactor,tpSurvCnU,INDEX(tEIdxElec,23)*INDEX(elecCnU,1,1)*allOnes,OFFSET(tPrcElec,0,22,1,_maxLT))</f>
        <v>22650.709494811614</v>
      </c>
      <c r="AB108" s="28">
        <f ca="1">SUMPRODUCT(dFactor,tpSurvCnU,INDEX(tEIdxElec,24)*INDEX(elecCnU,1,1)*allOnes,OFFSET(tPrcElec,0,23,1,_maxLT))</f>
        <v>22743.30203647897</v>
      </c>
      <c r="AC108" s="28">
        <f ca="1">SUMPRODUCT(dFactor,tpSurvCnU,INDEX(tEIdxElec,25)*INDEX(elecCnU,1,1)*allOnes,OFFSET(tPrcElec,0,24,1,_maxLT))</f>
        <v>22825.520782277519</v>
      </c>
      <c r="AD108" s="28">
        <f ca="1">SUMPRODUCT(dFactor,tpSurvCnU,INDEX(tEIdxElec,26)*INDEX(elecCnU,1,1)*allOnes,OFFSET(tPrcElec,0,25,1,_maxLT))</f>
        <v>22915.362665039036</v>
      </c>
      <c r="AE108" s="28">
        <f ca="1">SUMPRODUCT(dFactor,tpSurvCnU,INDEX(tEIdxElec,27)*INDEX(elecCnU,1,1)*allOnes,OFFSET(tPrcElec,0,26,1,_maxLT))</f>
        <v>23013.273888141797</v>
      </c>
      <c r="AF108" s="28">
        <f ca="1">SUMPRODUCT(dFactor,tpSurvCnU,INDEX(tEIdxElec,28)*INDEX(elecCnU,1,1)*allOnes,OFFSET(tPrcElec,0,27,1,_maxLT))</f>
        <v>23101.324001368219</v>
      </c>
      <c r="AG108" s="28">
        <f ca="1">SUMPRODUCT(dFactor,tpSurvCnU,INDEX(tEIdxElec,29)*INDEX(elecCnU,1,1)*allOnes,OFFSET(tPrcElec,0,28,1,_maxLT))</f>
        <v>23197.365862278933</v>
      </c>
      <c r="AH108" s="28">
        <f ca="1">SUMPRODUCT(dFactor,tpSurvCnU,INDEX(tEIdxElec,30)*INDEX(elecCnU,1,1)*allOnes,OFFSET(tPrcElec,0,29,1,_maxLT))</f>
        <v>23283.366949591738</v>
      </c>
      <c r="AI108" s="28">
        <f ca="1">SUMPRODUCT(dFactor,tpSurvCnU,INDEX(tEIdxElec,31)*INDEX(elecCnU,1,1)*allOnes,OFFSET(tPrcElec,0,30,1,_maxLT))</f>
        <v>23377.259662135275</v>
      </c>
      <c r="AJ108" s="28">
        <f ca="1">SUMPRODUCT(dFactor,tpSurvCnU,INDEX(tEIdxElec,32)*INDEX(elecCnU,1,1)*allOnes,OFFSET(tPrcElec,0,31,1,_maxLT))</f>
        <v>23460.950012408208</v>
      </c>
      <c r="AK108" s="29">
        <f ca="1">SUMPRODUCT(dFactor,tpSurvCnU,INDEX(tEIdxElec,33)*INDEX(elecCnU,1,1)*allOnes,OFFSET(tPrcElec,0,32,1,_maxLT))</f>
        <v>23552.397971895931</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ts2bElec*SUMPRODUCT(tpSurvCnU,INDEX(tEIdxElec,1)*INDEX(elecCnU,1,1)*convFactor)</f>
        <v>4414.4426657888444</v>
      </c>
      <c r="F110" s="22">
        <f ca="1">ts2bElec*SUMPRODUCT(tpSurvCnU,INDEX(tEIdxElec,2)*INDEX(elecCnU,1,1)*convFactor)</f>
        <v>4381.3093155142733</v>
      </c>
      <c r="G110" s="22">
        <f ca="1">ts2bElec*SUMPRODUCT(tpSurvCnU,INDEX(tEIdxElec,3)*INDEX(elecCnU,1,1)*convFactor)</f>
        <v>4347.9321602490227</v>
      </c>
      <c r="H110" s="22">
        <f ca="1">ts2bElec*SUMPRODUCT(tpSurvCnU,INDEX(tEIdxElec,4)*INDEX(elecCnU,1,1)*convFactor)</f>
        <v>4318.6317621934913</v>
      </c>
      <c r="I110" s="22">
        <f ca="1">ts2bElec*SUMPRODUCT(tpSurvCnU,INDEX(tEIdxElec,5)*INDEX(elecCnU,1,1)*convFactor)</f>
        <v>4290.8510010679856</v>
      </c>
      <c r="J110" s="22">
        <f ca="1">ts2bElec*SUMPRODUCT(tpSurvCnU,INDEX(tEIdxElec,6)*INDEX(elecCnU,1,1)*convFactor)</f>
        <v>4266.6673614694937</v>
      </c>
      <c r="K110" s="22">
        <f ca="1">ts2bElec*SUMPRODUCT(tpSurvCnU,INDEX(tEIdxElec,7)*INDEX(elecCnU,1,1)*convFactor)</f>
        <v>4247.9163686232996</v>
      </c>
      <c r="L110" s="22">
        <f ca="1">ts2bElec*SUMPRODUCT(tpSurvCnU,INDEX(tEIdxElec,8)*INDEX(elecCnU,1,1)*convFactor)</f>
        <v>4232.3779387640498</v>
      </c>
      <c r="M110" s="22">
        <f ca="1">ts2bElec*SUMPRODUCT(tpSurvCnU,INDEX(tEIdxElec,9)*INDEX(elecCnU,1,1)*convFactor)</f>
        <v>4216.770077694684</v>
      </c>
      <c r="N110" s="22">
        <f ca="1">ts2bElec*SUMPRODUCT(tpSurvCnU,INDEX(tEIdxElec,10)*INDEX(elecCnU,1,1)*convFactor)</f>
        <v>4204.2873071118192</v>
      </c>
      <c r="O110" s="22">
        <f ca="1">ts2bElec*SUMPRODUCT(tpSurvCnU,INDEX(tEIdxElec,11)*INDEX(elecCnU,1,1)*convFactor)</f>
        <v>4195.6895387205286</v>
      </c>
      <c r="P110" s="22">
        <f ca="1">ts2bElec*SUMPRODUCT(tpSurvCnU,INDEX(tEIdxElec,12)*INDEX(elecCnU,1,1)*convFactor)</f>
        <v>4189.3967206449424</v>
      </c>
      <c r="Q110" s="22">
        <f ca="1">ts2bElec*SUMPRODUCT(tpSurvCnU,INDEX(tEIdxElec,13)*INDEX(elecCnU,1,1)*convFactor)</f>
        <v>4184.1018723261395</v>
      </c>
      <c r="R110" s="22">
        <f ca="1">ts2bElec*SUMPRODUCT(tpSurvCnU,INDEX(tEIdxElec,14)*INDEX(elecCnU,1,1)*convFactor)</f>
        <v>4180.1952546739585</v>
      </c>
      <c r="S110" s="22">
        <f ca="1">ts2bElec*SUMPRODUCT(tpSurvCnU,INDEX(tEIdxElec,15)*INDEX(elecCnU,1,1)*convFactor)</f>
        <v>4177.217988144952</v>
      </c>
      <c r="T110" s="22">
        <f ca="1">ts2bElec*SUMPRODUCT(tpSurvCnU,INDEX(tEIdxElec,16)*INDEX(elecCnU,1,1)*convFactor)</f>
        <v>4176.8445684677263</v>
      </c>
      <c r="U110" s="22">
        <f ca="1">ts2bElec*SUMPRODUCT(tpSurvCnU,INDEX(tEIdxElec,17)*INDEX(elecCnU,1,1)*convFactor)</f>
        <v>4177.6087499095565</v>
      </c>
      <c r="V110" s="22">
        <f ca="1">ts2bElec*SUMPRODUCT(tpSurvCnU,INDEX(tEIdxElec,18)*INDEX(elecCnU,1,1)*convFactor)</f>
        <v>4178.7316986856213</v>
      </c>
      <c r="W110" s="22">
        <f ca="1">ts2bElec*SUMPRODUCT(tpSurvCnU,INDEX(tEIdxElec,19)*INDEX(elecCnU,1,1)*convFactor)</f>
        <v>4180.3376710180819</v>
      </c>
      <c r="X110" s="22">
        <f ca="1">ts2bElec*SUMPRODUCT(tpSurvCnU,INDEX(tEIdxElec,20)*INDEX(elecCnU,1,1)*convFactor)</f>
        <v>4181.8552976208657</v>
      </c>
      <c r="Y110" s="22">
        <f ca="1">ts2bElec*SUMPRODUCT(tpSurvCnU,INDEX(tEIdxElec,21)*INDEX(elecCnU,1,1)*convFactor)</f>
        <v>4183.1127324033332</v>
      </c>
      <c r="Z110" s="22">
        <f ca="1">ts2bElec*SUMPRODUCT(tpSurvCnU,INDEX(tEIdxElec,22)*INDEX(elecCnU,1,1)*convFactor)</f>
        <v>4183.9553914930684</v>
      </c>
      <c r="AA110" s="22">
        <f ca="1">ts2bElec*SUMPRODUCT(tpSurvCnU,INDEX(tEIdxElec,23)*INDEX(elecCnU,1,1)*convFactor)</f>
        <v>4184.5107599261619</v>
      </c>
      <c r="AB110" s="22">
        <f ca="1">ts2bElec*SUMPRODUCT(tpSurvCnU,INDEX(tEIdxElec,24)*INDEX(elecCnU,1,1)*convFactor)</f>
        <v>4184.5107599261619</v>
      </c>
      <c r="AC110" s="22">
        <f ca="1">ts2bElec*SUMPRODUCT(tpSurvCnU,INDEX(tEIdxElec,25)*INDEX(elecCnU,1,1)*convFactor)</f>
        <v>4184.5107599261619</v>
      </c>
      <c r="AD110" s="22">
        <f ca="1">ts2bElec*SUMPRODUCT(tpSurvCnU,INDEX(tEIdxElec,26)*INDEX(elecCnU,1,1)*convFactor)</f>
        <v>4184.5107599261619</v>
      </c>
      <c r="AE110" s="22">
        <f ca="1">ts2bElec*SUMPRODUCT(tpSurvCnU,INDEX(tEIdxElec,27)*INDEX(elecCnU,1,1)*convFactor)</f>
        <v>4184.5107599261619</v>
      </c>
      <c r="AF110" s="22">
        <f ca="1">ts2bElec*SUMPRODUCT(tpSurvCnU,INDEX(tEIdxElec,28)*INDEX(elecCnU,1,1)*convFactor)</f>
        <v>4184.5107599261619</v>
      </c>
      <c r="AG110" s="22">
        <f ca="1">ts2bElec*SUMPRODUCT(tpSurvCnU,INDEX(tEIdxElec,29)*INDEX(elecCnU,1,1)*convFactor)</f>
        <v>4184.5107599261619</v>
      </c>
      <c r="AH110" s="22">
        <f ca="1">ts2bElec*SUMPRODUCT(tpSurvCnU,INDEX(tEIdxElec,30)*INDEX(elecCnU,1,1)*convFactor)</f>
        <v>4184.5107599261619</v>
      </c>
      <c r="AI110" s="22">
        <f ca="1">ts2bElec*SUMPRODUCT(tpSurvCnU,INDEX(tEIdxElec,31)*INDEX(elecCnU,1,1)*convFactor)</f>
        <v>4184.5107599261619</v>
      </c>
      <c r="AJ110" s="22">
        <f ca="1">ts2bElec*SUMPRODUCT(tpSurvCnU,INDEX(tEIdxElec,32)*INDEX(elecCnU,1,1)*convFactor)</f>
        <v>4184.5107599261619</v>
      </c>
      <c r="AK110" s="25">
        <f ca="1">ts2bElec*SUMPRODUCT(tpSurvCnU,INDEX(tEIdxElec,33)*INDEX(elecCnU,1,1)*convFactor)</f>
        <v>4184.5107599261619</v>
      </c>
      <c r="AL110" s="3"/>
    </row>
    <row r="111" spans="2:38">
      <c r="B111" s="3"/>
      <c r="C111" s="30" t="str">
        <f>"EL 1: " &amp; INDEX(_doName,4,2)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(1+INDEX(vadCnU,1,2))*INDEX(mspCnU,1,2)*tPIdxAll + INDEX(instCnU,1,2) + SUMPRODUCT(dFactor,tpSurvCnU,INDEX(mrCnU,1,2)*allOnes)</f>
        <v>2014.9057440000001</v>
      </c>
      <c r="F112" s="28">
        <f ca="1"/>
        <v>2014.9057440000001</v>
      </c>
      <c r="G112" s="28">
        <f ca="1"/>
        <v>2014.9057440000001</v>
      </c>
      <c r="H112" s="28">
        <f ca="1"/>
        <v>2014.9057440000001</v>
      </c>
      <c r="I112" s="28">
        <f ca="1"/>
        <v>2014.9057440000001</v>
      </c>
      <c r="J112" s="28">
        <f ca="1"/>
        <v>2014.9057440000001</v>
      </c>
      <c r="K112" s="28">
        <f ca="1"/>
        <v>2014.9057440000001</v>
      </c>
      <c r="L112" s="28">
        <f ca="1"/>
        <v>2014.9057440000001</v>
      </c>
      <c r="M112" s="28">
        <f ca="1"/>
        <v>2014.9057440000001</v>
      </c>
      <c r="N112" s="28">
        <f ca="1"/>
        <v>2014.9057440000001</v>
      </c>
      <c r="O112" s="28">
        <f ca="1"/>
        <v>2014.9057440000001</v>
      </c>
      <c r="P112" s="28">
        <f ca="1"/>
        <v>2014.9057440000001</v>
      </c>
      <c r="Q112" s="28">
        <f ca="1"/>
        <v>2014.9057440000001</v>
      </c>
      <c r="R112" s="28">
        <f ca="1"/>
        <v>2014.9057440000001</v>
      </c>
      <c r="S112" s="28">
        <f ca="1"/>
        <v>2014.9057440000001</v>
      </c>
      <c r="T112" s="28">
        <f ca="1"/>
        <v>2014.9057440000001</v>
      </c>
      <c r="U112" s="28">
        <f ca="1"/>
        <v>2014.9057440000001</v>
      </c>
      <c r="V112" s="28">
        <f ca="1"/>
        <v>2014.9057440000001</v>
      </c>
      <c r="W112" s="28">
        <f ca="1"/>
        <v>2014.9057440000001</v>
      </c>
      <c r="X112" s="28">
        <f ca="1"/>
        <v>2014.9057440000001</v>
      </c>
      <c r="Y112" s="28">
        <f ca="1"/>
        <v>2014.9057440000001</v>
      </c>
      <c r="Z112" s="28">
        <f ca="1"/>
        <v>2014.9057440000001</v>
      </c>
      <c r="AA112" s="28">
        <f ca="1"/>
        <v>2014.9057440000001</v>
      </c>
      <c r="AB112" s="28">
        <f ca="1"/>
        <v>2014.9057440000001</v>
      </c>
      <c r="AC112" s="28">
        <f ca="1"/>
        <v>2014.9057440000001</v>
      </c>
      <c r="AD112" s="28">
        <f ca="1"/>
        <v>2014.9057440000001</v>
      </c>
      <c r="AE112" s="28">
        <f ca="1"/>
        <v>2014.9057440000001</v>
      </c>
      <c r="AF112" s="28">
        <f ca="1"/>
        <v>2014.9057440000001</v>
      </c>
      <c r="AG112" s="28">
        <f ca="1"/>
        <v>2014.9057440000001</v>
      </c>
      <c r="AH112" s="28">
        <f ca="1"/>
        <v>2014.9057440000001</v>
      </c>
      <c r="AI112" s="28">
        <f ca="1"/>
        <v>2014.9057440000001</v>
      </c>
      <c r="AJ112" s="28">
        <f ca="1"/>
        <v>2014.9057440000001</v>
      </c>
      <c r="AK112" s="29">
        <f ca="1"/>
        <v>2014.9057440000001</v>
      </c>
      <c r="AL112" s="3"/>
    </row>
    <row r="113" spans="2:38">
      <c r="B113" s="3"/>
      <c r="C113" s="23" t="s">
        <v>47</v>
      </c>
      <c r="D113" s="16" t="str">
        <f>_yearDol &amp; "$"</f>
        <v>2013$</v>
      </c>
      <c r="E113" s="141">
        <f t="array" aca="1" ref="E113:AK113" ca="1">(tlccEFubcElec1)</f>
        <v>41125.495423413071</v>
      </c>
      <c r="F113" s="28">
        <f ca="1"/>
        <v>41306.659900140519</v>
      </c>
      <c r="G113" s="28">
        <f ca="1"/>
        <v>41466.91723196402</v>
      </c>
      <c r="H113" s="28">
        <f ca="1"/>
        <v>41641.766578188654</v>
      </c>
      <c r="I113" s="28">
        <f ca="1"/>
        <v>41795.200271670903</v>
      </c>
      <c r="J113" s="28">
        <f ca="1"/>
        <v>41962.743278656737</v>
      </c>
      <c r="K113" s="28">
        <f ca="1"/>
        <v>42108.477048097149</v>
      </c>
      <c r="L113" s="28">
        <f ca="1"/>
        <v>42267.728848935374</v>
      </c>
      <c r="M113" s="28">
        <f ca="1"/>
        <v>42441.593301319554</v>
      </c>
      <c r="N113" s="28">
        <f ca="1"/>
        <v>42594.024886149979</v>
      </c>
      <c r="O113" s="28">
        <f ca="1"/>
        <v>42760.548003616554</v>
      </c>
      <c r="P113" s="28">
        <f ca="1"/>
        <v>42942.234649627113</v>
      </c>
      <c r="Q113" s="28">
        <f ca="1"/>
        <v>43103.088647865232</v>
      </c>
      <c r="R113" s="28">
        <f ca="1"/>
        <v>43278.752204202123</v>
      </c>
      <c r="S113" s="28">
        <f ca="1"/>
        <v>43433.177640558657</v>
      </c>
      <c r="T113" s="28">
        <f ca="1"/>
        <v>43601.952800765117</v>
      </c>
      <c r="U113" s="28">
        <f ca="1"/>
        <v>43786.068300430903</v>
      </c>
      <c r="V113" s="28">
        <f ca="1"/>
        <v>43949.620385754737</v>
      </c>
      <c r="W113" s="28">
        <f ca="1"/>
        <v>44128.268380898138</v>
      </c>
      <c r="X113" s="28">
        <f ca="1"/>
        <v>44285.916120574257</v>
      </c>
      <c r="Y113" s="28">
        <f ca="1"/>
        <v>44458.308268652589</v>
      </c>
      <c r="Z113" s="28">
        <f ca="1"/>
        <v>44646.310413135674</v>
      </c>
      <c r="AA113" s="28">
        <f ca="1"/>
        <v>44814.19688734127</v>
      </c>
      <c r="AB113" s="28">
        <f ca="1"/>
        <v>44997.390283271357</v>
      </c>
      <c r="AC113" s="28">
        <f ca="1"/>
        <v>45160.059230259103</v>
      </c>
      <c r="AD113" s="28">
        <f ca="1"/>
        <v>45337.810475699167</v>
      </c>
      <c r="AE113" s="28">
        <f ca="1"/>
        <v>45531.526828408241</v>
      </c>
      <c r="AF113" s="28">
        <f ca="1"/>
        <v>45705.733076163306</v>
      </c>
      <c r="AG113" s="28">
        <f ca="1"/>
        <v>45895.750914909862</v>
      </c>
      <c r="AH113" s="28">
        <f ca="1"/>
        <v>46065.903185868279</v>
      </c>
      <c r="AI113" s="28">
        <f ca="1"/>
        <v>46251.668956568603</v>
      </c>
      <c r="AJ113" s="28">
        <f ca="1"/>
        <v>46417.249457945843</v>
      </c>
      <c r="AK113" s="29">
        <f ca="1"/>
        <v>46598.178309749215</v>
      </c>
      <c r="AL113" s="3"/>
    </row>
    <row r="114" spans="2:38">
      <c r="B114" s="3"/>
      <c r="C114" s="27" t="str">
        <f>INDEX(_fuel,1)</f>
        <v>Electricity</v>
      </c>
      <c r="D114" s="16" t="str">
        <f>_yearDol &amp; "$"</f>
        <v>2013$</v>
      </c>
      <c r="E114" s="141">
        <f ca="1">SUMPRODUCT(dFactor,tpSurvCnU,INDEX(tEIdxElec,1)*INDEX(elecCnU,1,2)*allOnes,OFFSET(tPrcElec,0,0,1,_maxLT))</f>
        <v>41125.495423413071</v>
      </c>
      <c r="F114" s="28">
        <f ca="1">SUMPRODUCT(dFactor,tpSurvCnU,INDEX(tEIdxElec,2)*INDEX(elecCnU,1,2)*allOnes,OFFSET(tPrcElec,0,1,1,_maxLT))</f>
        <v>41306.659900140519</v>
      </c>
      <c r="G114" s="28">
        <f ca="1">SUMPRODUCT(dFactor,tpSurvCnU,INDEX(tEIdxElec,3)*INDEX(elecCnU,1,2)*allOnes,OFFSET(tPrcElec,0,2,1,_maxLT))</f>
        <v>41466.91723196402</v>
      </c>
      <c r="H114" s="28">
        <f ca="1">SUMPRODUCT(dFactor,tpSurvCnU,INDEX(tEIdxElec,4)*INDEX(elecCnU,1,2)*allOnes,OFFSET(tPrcElec,0,3,1,_maxLT))</f>
        <v>41641.766578188654</v>
      </c>
      <c r="I114" s="28">
        <f ca="1">SUMPRODUCT(dFactor,tpSurvCnU,INDEX(tEIdxElec,5)*INDEX(elecCnU,1,2)*allOnes,OFFSET(tPrcElec,0,4,1,_maxLT))</f>
        <v>41795.200271670903</v>
      </c>
      <c r="J114" s="28">
        <f ca="1">SUMPRODUCT(dFactor,tpSurvCnU,INDEX(tEIdxElec,6)*INDEX(elecCnU,1,2)*allOnes,OFFSET(tPrcElec,0,5,1,_maxLT))</f>
        <v>41962.743278656737</v>
      </c>
      <c r="K114" s="28">
        <f ca="1">SUMPRODUCT(dFactor,tpSurvCnU,INDEX(tEIdxElec,7)*INDEX(elecCnU,1,2)*allOnes,OFFSET(tPrcElec,0,6,1,_maxLT))</f>
        <v>42108.477048097149</v>
      </c>
      <c r="L114" s="28">
        <f ca="1">SUMPRODUCT(dFactor,tpSurvCnU,INDEX(tEIdxElec,8)*INDEX(elecCnU,1,2)*allOnes,OFFSET(tPrcElec,0,7,1,_maxLT))</f>
        <v>42267.728848935374</v>
      </c>
      <c r="M114" s="28">
        <f ca="1">SUMPRODUCT(dFactor,tpSurvCnU,INDEX(tEIdxElec,9)*INDEX(elecCnU,1,2)*allOnes,OFFSET(tPrcElec,0,8,1,_maxLT))</f>
        <v>42441.593301319554</v>
      </c>
      <c r="N114" s="28">
        <f ca="1">SUMPRODUCT(dFactor,tpSurvCnU,INDEX(tEIdxElec,10)*INDEX(elecCnU,1,2)*allOnes,OFFSET(tPrcElec,0,9,1,_maxLT))</f>
        <v>42594.024886149979</v>
      </c>
      <c r="O114" s="28">
        <f ca="1">SUMPRODUCT(dFactor,tpSurvCnU,INDEX(tEIdxElec,11)*INDEX(elecCnU,1,2)*allOnes,OFFSET(tPrcElec,0,10,1,_maxLT))</f>
        <v>42760.548003616554</v>
      </c>
      <c r="P114" s="28">
        <f ca="1">SUMPRODUCT(dFactor,tpSurvCnU,INDEX(tEIdxElec,12)*INDEX(elecCnU,1,2)*allOnes,OFFSET(tPrcElec,0,11,1,_maxLT))</f>
        <v>42942.234649627113</v>
      </c>
      <c r="Q114" s="28">
        <f ca="1">SUMPRODUCT(dFactor,tpSurvCnU,INDEX(tEIdxElec,13)*INDEX(elecCnU,1,2)*allOnes,OFFSET(tPrcElec,0,12,1,_maxLT))</f>
        <v>43103.088647865232</v>
      </c>
      <c r="R114" s="28">
        <f ca="1">SUMPRODUCT(dFactor,tpSurvCnU,INDEX(tEIdxElec,14)*INDEX(elecCnU,1,2)*allOnes,OFFSET(tPrcElec,0,13,1,_maxLT))</f>
        <v>43278.752204202123</v>
      </c>
      <c r="S114" s="28">
        <f ca="1">SUMPRODUCT(dFactor,tpSurvCnU,INDEX(tEIdxElec,15)*INDEX(elecCnU,1,2)*allOnes,OFFSET(tPrcElec,0,14,1,_maxLT))</f>
        <v>43433.177640558657</v>
      </c>
      <c r="T114" s="28">
        <f ca="1">SUMPRODUCT(dFactor,tpSurvCnU,INDEX(tEIdxElec,16)*INDEX(elecCnU,1,2)*allOnes,OFFSET(tPrcElec,0,15,1,_maxLT))</f>
        <v>43601.952800765117</v>
      </c>
      <c r="U114" s="28">
        <f ca="1">SUMPRODUCT(dFactor,tpSurvCnU,INDEX(tEIdxElec,17)*INDEX(elecCnU,1,2)*allOnes,OFFSET(tPrcElec,0,16,1,_maxLT))</f>
        <v>43786.068300430903</v>
      </c>
      <c r="V114" s="28">
        <f ca="1">SUMPRODUCT(dFactor,tpSurvCnU,INDEX(tEIdxElec,18)*INDEX(elecCnU,1,2)*allOnes,OFFSET(tPrcElec,0,17,1,_maxLT))</f>
        <v>43949.620385754737</v>
      </c>
      <c r="W114" s="28">
        <f ca="1">SUMPRODUCT(dFactor,tpSurvCnU,INDEX(tEIdxElec,19)*INDEX(elecCnU,1,2)*allOnes,OFFSET(tPrcElec,0,18,1,_maxLT))</f>
        <v>44128.268380898138</v>
      </c>
      <c r="X114" s="28">
        <f ca="1">SUMPRODUCT(dFactor,tpSurvCnU,INDEX(tEIdxElec,20)*INDEX(elecCnU,1,2)*allOnes,OFFSET(tPrcElec,0,19,1,_maxLT))</f>
        <v>44285.916120574257</v>
      </c>
      <c r="Y114" s="28">
        <f ca="1">SUMPRODUCT(dFactor,tpSurvCnU,INDEX(tEIdxElec,21)*INDEX(elecCnU,1,2)*allOnes,OFFSET(tPrcElec,0,20,1,_maxLT))</f>
        <v>44458.308268652589</v>
      </c>
      <c r="Z114" s="28">
        <f ca="1">SUMPRODUCT(dFactor,tpSurvCnU,INDEX(tEIdxElec,22)*INDEX(elecCnU,1,2)*allOnes,OFFSET(tPrcElec,0,21,1,_maxLT))</f>
        <v>44646.310413135674</v>
      </c>
      <c r="AA114" s="28">
        <f ca="1">SUMPRODUCT(dFactor,tpSurvCnU,INDEX(tEIdxElec,23)*INDEX(elecCnU,1,2)*allOnes,OFFSET(tPrcElec,0,22,1,_maxLT))</f>
        <v>44814.19688734127</v>
      </c>
      <c r="AB114" s="28">
        <f ca="1">SUMPRODUCT(dFactor,tpSurvCnU,INDEX(tEIdxElec,24)*INDEX(elecCnU,1,2)*allOnes,OFFSET(tPrcElec,0,23,1,_maxLT))</f>
        <v>44997.390283271357</v>
      </c>
      <c r="AC114" s="28">
        <f ca="1">SUMPRODUCT(dFactor,tpSurvCnU,INDEX(tEIdxElec,25)*INDEX(elecCnU,1,2)*allOnes,OFFSET(tPrcElec,0,24,1,_maxLT))</f>
        <v>45160.059230259103</v>
      </c>
      <c r="AD114" s="28">
        <f ca="1">SUMPRODUCT(dFactor,tpSurvCnU,INDEX(tEIdxElec,26)*INDEX(elecCnU,1,2)*allOnes,OFFSET(tPrcElec,0,25,1,_maxLT))</f>
        <v>45337.810475699167</v>
      </c>
      <c r="AE114" s="28">
        <f ca="1">SUMPRODUCT(dFactor,tpSurvCnU,INDEX(tEIdxElec,27)*INDEX(elecCnU,1,2)*allOnes,OFFSET(tPrcElec,0,26,1,_maxLT))</f>
        <v>45531.526828408241</v>
      </c>
      <c r="AF114" s="28">
        <f ca="1">SUMPRODUCT(dFactor,tpSurvCnU,INDEX(tEIdxElec,28)*INDEX(elecCnU,1,2)*allOnes,OFFSET(tPrcElec,0,27,1,_maxLT))</f>
        <v>45705.733076163306</v>
      </c>
      <c r="AG114" s="28">
        <f ca="1">SUMPRODUCT(dFactor,tpSurvCnU,INDEX(tEIdxElec,29)*INDEX(elecCnU,1,2)*allOnes,OFFSET(tPrcElec,0,28,1,_maxLT))</f>
        <v>45895.750914909862</v>
      </c>
      <c r="AH114" s="28">
        <f ca="1">SUMPRODUCT(dFactor,tpSurvCnU,INDEX(tEIdxElec,30)*INDEX(elecCnU,1,2)*allOnes,OFFSET(tPrcElec,0,29,1,_maxLT))</f>
        <v>46065.903185868279</v>
      </c>
      <c r="AI114" s="28">
        <f ca="1">SUMPRODUCT(dFactor,tpSurvCnU,INDEX(tEIdxElec,31)*INDEX(elecCnU,1,2)*allOnes,OFFSET(tPrcElec,0,30,1,_maxLT))</f>
        <v>46251.668956568603</v>
      </c>
      <c r="AJ114" s="28">
        <f ca="1">SUMPRODUCT(dFactor,tpSurvCnU,INDEX(tEIdxElec,32)*INDEX(elecCnU,1,2)*allOnes,OFFSET(tPrcElec,0,31,1,_maxLT))</f>
        <v>46417.249457945843</v>
      </c>
      <c r="AK114" s="29">
        <f ca="1">SUMPRODUCT(dFactor,tpSurvCnU,INDEX(tEIdxElec,33)*INDEX(elecCnU,1,2)*allOnes,OFFSET(tPrcElec,0,32,1,_maxLT))</f>
        <v>46598.178309749215</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ts2bElec*SUMPRODUCT(tpSurvCnU,INDEX(tEIdxElec,1)*INDEX(elecCnU,1,2)*convFactor)</f>
        <v>8733.9296289087924</v>
      </c>
      <c r="F116" s="22">
        <f ca="1">ts2bElec*SUMPRODUCT(tpSurvCnU,INDEX(tEIdxElec,2)*INDEX(elecCnU,1,2)*convFactor)</f>
        <v>8668.3756345369184</v>
      </c>
      <c r="G116" s="22">
        <f ca="1">ts2bElec*SUMPRODUCT(tpSurvCnU,INDEX(tEIdxElec,3)*INDEX(elecCnU,1,2)*convFactor)</f>
        <v>8602.3392744865214</v>
      </c>
      <c r="H116" s="22">
        <f ca="1">ts2bElec*SUMPRODUCT(tpSurvCnU,INDEX(tEIdxElec,4)*INDEX(elecCnU,1,2)*convFactor)</f>
        <v>8544.3687368466817</v>
      </c>
      <c r="I116" s="22">
        <f ca="1">ts2bElec*SUMPRODUCT(tpSurvCnU,INDEX(tEIdxElec,5)*INDEX(elecCnU,1,2)*convFactor)</f>
        <v>8489.4047853181964</v>
      </c>
      <c r="J116" s="22">
        <f ca="1">ts2bElec*SUMPRODUCT(tpSurvCnU,INDEX(tEIdxElec,6)*INDEX(elecCnU,1,2)*convFactor)</f>
        <v>8441.5577019114917</v>
      </c>
      <c r="K116" s="22">
        <f ca="1">ts2bElec*SUMPRODUCT(tpSurvCnU,INDEX(tEIdxElec,7)*INDEX(elecCnU,1,2)*convFactor)</f>
        <v>8404.4590544967214</v>
      </c>
      <c r="L116" s="22">
        <f ca="1">ts2bElec*SUMPRODUCT(tpSurvCnU,INDEX(tEIdxElec,8)*INDEX(elecCnU,1,2)*convFactor)</f>
        <v>8373.7164300684581</v>
      </c>
      <c r="M116" s="22">
        <f ca="1">ts2bElec*SUMPRODUCT(tpSurvCnU,INDEX(tEIdxElec,9)*INDEX(elecCnU,1,2)*convFactor)</f>
        <v>8342.8364367016729</v>
      </c>
      <c r="N116" s="22">
        <f ca="1">ts2bElec*SUMPRODUCT(tpSurvCnU,INDEX(tEIdxElec,10)*INDEX(elecCnU,1,2)*convFactor)</f>
        <v>8318.1394028746254</v>
      </c>
      <c r="O116" s="22">
        <f ca="1">ts2bElec*SUMPRODUCT(tpSurvCnU,INDEX(tEIdxElec,11)*INDEX(elecCnU,1,2)*convFactor)</f>
        <v>8301.1288061174964</v>
      </c>
      <c r="P116" s="22">
        <f ca="1">ts2bElec*SUMPRODUCT(tpSurvCnU,INDEX(tEIdxElec,12)*INDEX(elecCnU,1,2)*convFactor)</f>
        <v>8288.6785299669809</v>
      </c>
      <c r="Q116" s="22">
        <f ca="1">ts2bElec*SUMPRODUCT(tpSurvCnU,INDEX(tEIdxElec,13)*INDEX(elecCnU,1,2)*convFactor)</f>
        <v>8278.2027267652411</v>
      </c>
      <c r="R116" s="22">
        <f ca="1">ts2bElec*SUMPRODUCT(tpSurvCnU,INDEX(tEIdxElec,14)*INDEX(elecCnU,1,2)*convFactor)</f>
        <v>8270.4735237277582</v>
      </c>
      <c r="S116" s="22">
        <f ca="1">ts2bElec*SUMPRODUCT(tpSurvCnU,INDEX(tEIdxElec,15)*INDEX(elecCnU,1,2)*convFactor)</f>
        <v>8264.5830323748251</v>
      </c>
      <c r="T116" s="22">
        <f ca="1">ts2bElec*SUMPRODUCT(tpSurvCnU,INDEX(tEIdxElec,16)*INDEX(elecCnU,1,2)*convFactor)</f>
        <v>8263.8442253656831</v>
      </c>
      <c r="U116" s="22">
        <f ca="1">ts2bElec*SUMPRODUCT(tpSurvCnU,INDEX(tEIdxElec,17)*INDEX(elecCnU,1,2)*convFactor)</f>
        <v>8265.3561505263369</v>
      </c>
      <c r="V116" s="22">
        <f ca="1">ts2bElec*SUMPRODUCT(tpSurvCnU,INDEX(tEIdxElec,18)*INDEX(elecCnU,1,2)*convFactor)</f>
        <v>8267.577893185502</v>
      </c>
      <c r="W116" s="22">
        <f ca="1">ts2bElec*SUMPRODUCT(tpSurvCnU,INDEX(tEIdxElec,19)*INDEX(elecCnU,1,2)*convFactor)</f>
        <v>8270.7552930068632</v>
      </c>
      <c r="X116" s="22">
        <f ca="1">ts2bElec*SUMPRODUCT(tpSurvCnU,INDEX(tEIdxElec,20)*INDEX(elecCnU,1,2)*convFactor)</f>
        <v>8273.7579017063454</v>
      </c>
      <c r="Y116" s="22">
        <f ca="1">ts2bElec*SUMPRODUCT(tpSurvCnU,INDEX(tEIdxElec,21)*INDEX(elecCnU,1,2)*convFactor)</f>
        <v>8276.2457235526072</v>
      </c>
      <c r="Z116" s="22">
        <f ca="1">ts2bElec*SUMPRODUCT(tpSurvCnU,INDEX(tEIdxElec,22)*INDEX(elecCnU,1,2)*convFactor)</f>
        <v>8277.9129159363583</v>
      </c>
      <c r="AA116" s="22">
        <f ca="1">ts2bElec*SUMPRODUCT(tpSurvCnU,INDEX(tEIdxElec,23)*INDEX(elecCnU,1,2)*convFactor)</f>
        <v>8279.0117066965922</v>
      </c>
      <c r="AB116" s="22">
        <f ca="1">ts2bElec*SUMPRODUCT(tpSurvCnU,INDEX(tEIdxElec,24)*INDEX(elecCnU,1,2)*convFactor)</f>
        <v>8279.0117066965922</v>
      </c>
      <c r="AC116" s="22">
        <f ca="1">ts2bElec*SUMPRODUCT(tpSurvCnU,INDEX(tEIdxElec,25)*INDEX(elecCnU,1,2)*convFactor)</f>
        <v>8279.0117066965922</v>
      </c>
      <c r="AD116" s="22">
        <f ca="1">ts2bElec*SUMPRODUCT(tpSurvCnU,INDEX(tEIdxElec,26)*INDEX(elecCnU,1,2)*convFactor)</f>
        <v>8279.0117066965922</v>
      </c>
      <c r="AE116" s="22">
        <f ca="1">ts2bElec*SUMPRODUCT(tpSurvCnU,INDEX(tEIdxElec,27)*INDEX(elecCnU,1,2)*convFactor)</f>
        <v>8279.0117066965922</v>
      </c>
      <c r="AF116" s="22">
        <f ca="1">ts2bElec*SUMPRODUCT(tpSurvCnU,INDEX(tEIdxElec,28)*INDEX(elecCnU,1,2)*convFactor)</f>
        <v>8279.0117066965922</v>
      </c>
      <c r="AG116" s="22">
        <f ca="1">ts2bElec*SUMPRODUCT(tpSurvCnU,INDEX(tEIdxElec,29)*INDEX(elecCnU,1,2)*convFactor)</f>
        <v>8279.0117066965922</v>
      </c>
      <c r="AH116" s="22">
        <f ca="1">ts2bElec*SUMPRODUCT(tpSurvCnU,INDEX(tEIdxElec,30)*INDEX(elecCnU,1,2)*convFactor)</f>
        <v>8279.0117066965922</v>
      </c>
      <c r="AI116" s="22">
        <f ca="1">ts2bElec*SUMPRODUCT(tpSurvCnU,INDEX(tEIdxElec,31)*INDEX(elecCnU,1,2)*convFactor)</f>
        <v>8279.0117066965922</v>
      </c>
      <c r="AJ116" s="22">
        <f ca="1">ts2bElec*SUMPRODUCT(tpSurvCnU,INDEX(tEIdxElec,32)*INDEX(elecCnU,1,2)*convFactor)</f>
        <v>8279.0117066965922</v>
      </c>
      <c r="AK116" s="25">
        <f ca="1">ts2bElec*SUMPRODUCT(tpSurvCnU,INDEX(tEIdxElec,33)*INDEX(elecCnU,1,2)*convFactor)</f>
        <v>8279.0117066965922</v>
      </c>
      <c r="AL116" s="3"/>
    </row>
    <row r="117" spans="2:38">
      <c r="B117" s="3"/>
      <c r="C117" s="30" t="str">
        <f>"EL 2: " &amp; INDEX(_doName,4,3)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(1+INDEX(vadCnU,1,3))*INDEX(mspCnU,1,3)*tPIdxAll + INDEX(instCnU,1,3) + SUMPRODUCT(dFactor,tpSurvCnU,INDEX(mrCnU,1,3)*allOnes)</f>
        <v>2207.5431360000002</v>
      </c>
      <c r="F118" s="28">
        <f ca="1"/>
        <v>2207.5431360000002</v>
      </c>
      <c r="G118" s="28">
        <f ca="1"/>
        <v>2207.5431360000002</v>
      </c>
      <c r="H118" s="28">
        <f ca="1"/>
        <v>2207.5431360000002</v>
      </c>
      <c r="I118" s="28">
        <f ca="1"/>
        <v>2207.5431360000002</v>
      </c>
      <c r="J118" s="28">
        <f ca="1"/>
        <v>2207.5431360000002</v>
      </c>
      <c r="K118" s="28">
        <f ca="1"/>
        <v>2207.5431360000002</v>
      </c>
      <c r="L118" s="28">
        <f ca="1"/>
        <v>2207.5431360000002</v>
      </c>
      <c r="M118" s="28">
        <f ca="1"/>
        <v>2207.5431360000002</v>
      </c>
      <c r="N118" s="28">
        <f ca="1"/>
        <v>2207.5431360000002</v>
      </c>
      <c r="O118" s="28">
        <f ca="1"/>
        <v>2207.5431360000002</v>
      </c>
      <c r="P118" s="28">
        <f ca="1"/>
        <v>2207.5431360000002</v>
      </c>
      <c r="Q118" s="28">
        <f ca="1"/>
        <v>2207.5431360000002</v>
      </c>
      <c r="R118" s="28">
        <f ca="1"/>
        <v>2207.5431360000002</v>
      </c>
      <c r="S118" s="28">
        <f ca="1"/>
        <v>2207.5431360000002</v>
      </c>
      <c r="T118" s="28">
        <f ca="1"/>
        <v>2207.5431360000002</v>
      </c>
      <c r="U118" s="28">
        <f ca="1"/>
        <v>2207.5431360000002</v>
      </c>
      <c r="V118" s="28">
        <f ca="1"/>
        <v>2207.5431360000002</v>
      </c>
      <c r="W118" s="28">
        <f ca="1"/>
        <v>2207.5431360000002</v>
      </c>
      <c r="X118" s="28">
        <f ca="1"/>
        <v>2207.5431360000002</v>
      </c>
      <c r="Y118" s="28">
        <f ca="1"/>
        <v>2207.5431360000002</v>
      </c>
      <c r="Z118" s="28">
        <f ca="1"/>
        <v>2207.5431360000002</v>
      </c>
      <c r="AA118" s="28">
        <f ca="1"/>
        <v>2207.5431360000002</v>
      </c>
      <c r="AB118" s="28">
        <f ca="1"/>
        <v>2207.5431360000002</v>
      </c>
      <c r="AC118" s="28">
        <f ca="1"/>
        <v>2207.5431360000002</v>
      </c>
      <c r="AD118" s="28">
        <f ca="1"/>
        <v>2207.5431360000002</v>
      </c>
      <c r="AE118" s="28">
        <f ca="1"/>
        <v>2207.5431360000002</v>
      </c>
      <c r="AF118" s="28">
        <f ca="1"/>
        <v>2207.5431360000002</v>
      </c>
      <c r="AG118" s="28">
        <f ca="1"/>
        <v>2207.5431360000002</v>
      </c>
      <c r="AH118" s="28">
        <f ca="1"/>
        <v>2207.5431360000002</v>
      </c>
      <c r="AI118" s="28">
        <f ca="1"/>
        <v>2207.5431360000002</v>
      </c>
      <c r="AJ118" s="28">
        <f ca="1"/>
        <v>2207.5431360000002</v>
      </c>
      <c r="AK118" s="29">
        <f ca="1"/>
        <v>2207.5431360000002</v>
      </c>
      <c r="AL118" s="3"/>
    </row>
    <row r="119" spans="2:38">
      <c r="B119" s="3"/>
      <c r="C119" s="23" t="s">
        <v>47</v>
      </c>
      <c r="D119" s="16" t="str">
        <f>_yearDol &amp; "$"</f>
        <v>2013$</v>
      </c>
      <c r="E119" s="141">
        <f t="array" aca="1" ref="E119:AK119" ca="1">(tlccEFubcElec2)</f>
        <v>54017.634718068228</v>
      </c>
      <c r="F119" s="28">
        <f ca="1"/>
        <v>54255.591159127471</v>
      </c>
      <c r="G119" s="28">
        <f ca="1"/>
        <v>54466.086423007087</v>
      </c>
      <c r="H119" s="28">
        <f ca="1"/>
        <v>54695.748048181777</v>
      </c>
      <c r="I119" s="28">
        <f ca="1"/>
        <v>54897.280579829989</v>
      </c>
      <c r="J119" s="28">
        <f ca="1"/>
        <v>55117.345453401751</v>
      </c>
      <c r="K119" s="28">
        <f ca="1"/>
        <v>55308.764266541148</v>
      </c>
      <c r="L119" s="28">
        <f ca="1"/>
        <v>55517.938782672943</v>
      </c>
      <c r="M119" s="28">
        <f ca="1"/>
        <v>55746.306766636473</v>
      </c>
      <c r="N119" s="28">
        <f ca="1"/>
        <v>55946.523045713271</v>
      </c>
      <c r="O119" s="28">
        <f ca="1"/>
        <v>56165.248311848394</v>
      </c>
      <c r="P119" s="28">
        <f ca="1"/>
        <v>56403.890613328389</v>
      </c>
      <c r="Q119" s="28">
        <f ca="1"/>
        <v>56615.169588336707</v>
      </c>
      <c r="R119" s="28">
        <f ca="1"/>
        <v>56845.900664565444</v>
      </c>
      <c r="S119" s="28">
        <f ca="1"/>
        <v>57048.735833513601</v>
      </c>
      <c r="T119" s="28">
        <f ca="1"/>
        <v>57270.419119262551</v>
      </c>
      <c r="U119" s="28">
        <f ca="1"/>
        <v>57512.251678469089</v>
      </c>
      <c r="V119" s="28">
        <f ca="1"/>
        <v>57727.074544709176</v>
      </c>
      <c r="W119" s="28">
        <f ca="1"/>
        <v>57961.725630256406</v>
      </c>
      <c r="X119" s="28">
        <f ca="1"/>
        <v>58168.793239491948</v>
      </c>
      <c r="Y119" s="28">
        <f ca="1"/>
        <v>58395.227376935982</v>
      </c>
      <c r="Z119" s="28">
        <f ca="1"/>
        <v>58642.164977622437</v>
      </c>
      <c r="AA119" s="28">
        <f ca="1"/>
        <v>58862.680989511755</v>
      </c>
      <c r="AB119" s="28">
        <f ca="1"/>
        <v>59103.302381235619</v>
      </c>
      <c r="AC119" s="28">
        <f ca="1"/>
        <v>59316.965260378835</v>
      </c>
      <c r="AD119" s="28">
        <f ca="1"/>
        <v>59550.438480531142</v>
      </c>
      <c r="AE119" s="28">
        <f ca="1"/>
        <v>59804.881595971303</v>
      </c>
      <c r="AF119" s="28">
        <f ca="1"/>
        <v>60033.698522307495</v>
      </c>
      <c r="AG119" s="28">
        <f ca="1"/>
        <v>60283.283702927212</v>
      </c>
      <c r="AH119" s="28">
        <f ca="1"/>
        <v>60506.775800091084</v>
      </c>
      <c r="AI119" s="28">
        <f ca="1"/>
        <v>60750.775962070809</v>
      </c>
      <c r="AJ119" s="28">
        <f ca="1"/>
        <v>60968.26311809761</v>
      </c>
      <c r="AK119" s="29">
        <f ca="1"/>
        <v>61205.910069849888</v>
      </c>
      <c r="AL119" s="3"/>
    </row>
    <row r="120" spans="2:38">
      <c r="B120" s="3"/>
      <c r="C120" s="27" t="str">
        <f>INDEX(_fuel,1)</f>
        <v>Electricity</v>
      </c>
      <c r="D120" s="16" t="str">
        <f>_yearDol &amp; "$"</f>
        <v>2013$</v>
      </c>
      <c r="E120" s="141">
        <f ca="1">SUMPRODUCT(dFactor,tpSurvCnU,INDEX(tEIdxElec,1)*INDEX(elecCnU,1,3)*allOnes,OFFSET(tPrcElec,0,0,1,_maxLT))</f>
        <v>54017.634718068228</v>
      </c>
      <c r="F120" s="28">
        <f ca="1">SUMPRODUCT(dFactor,tpSurvCnU,INDEX(tEIdxElec,2)*INDEX(elecCnU,1,3)*allOnes,OFFSET(tPrcElec,0,1,1,_maxLT))</f>
        <v>54255.591159127471</v>
      </c>
      <c r="G120" s="28">
        <f ca="1">SUMPRODUCT(dFactor,tpSurvCnU,INDEX(tEIdxElec,3)*INDEX(elecCnU,1,3)*allOnes,OFFSET(tPrcElec,0,2,1,_maxLT))</f>
        <v>54466.086423007087</v>
      </c>
      <c r="H120" s="28">
        <f ca="1">SUMPRODUCT(dFactor,tpSurvCnU,INDEX(tEIdxElec,4)*INDEX(elecCnU,1,3)*allOnes,OFFSET(tPrcElec,0,3,1,_maxLT))</f>
        <v>54695.748048181777</v>
      </c>
      <c r="I120" s="28">
        <f ca="1">SUMPRODUCT(dFactor,tpSurvCnU,INDEX(tEIdxElec,5)*INDEX(elecCnU,1,3)*allOnes,OFFSET(tPrcElec,0,4,1,_maxLT))</f>
        <v>54897.280579829989</v>
      </c>
      <c r="J120" s="28">
        <f ca="1">SUMPRODUCT(dFactor,tpSurvCnU,INDEX(tEIdxElec,6)*INDEX(elecCnU,1,3)*allOnes,OFFSET(tPrcElec,0,5,1,_maxLT))</f>
        <v>55117.345453401751</v>
      </c>
      <c r="K120" s="28">
        <f ca="1">SUMPRODUCT(dFactor,tpSurvCnU,INDEX(tEIdxElec,7)*INDEX(elecCnU,1,3)*allOnes,OFFSET(tPrcElec,0,6,1,_maxLT))</f>
        <v>55308.764266541148</v>
      </c>
      <c r="L120" s="28">
        <f ca="1">SUMPRODUCT(dFactor,tpSurvCnU,INDEX(tEIdxElec,8)*INDEX(elecCnU,1,3)*allOnes,OFFSET(tPrcElec,0,7,1,_maxLT))</f>
        <v>55517.938782672943</v>
      </c>
      <c r="M120" s="28">
        <f ca="1">SUMPRODUCT(dFactor,tpSurvCnU,INDEX(tEIdxElec,9)*INDEX(elecCnU,1,3)*allOnes,OFFSET(tPrcElec,0,8,1,_maxLT))</f>
        <v>55746.306766636473</v>
      </c>
      <c r="N120" s="28">
        <f ca="1">SUMPRODUCT(dFactor,tpSurvCnU,INDEX(tEIdxElec,10)*INDEX(elecCnU,1,3)*allOnes,OFFSET(tPrcElec,0,9,1,_maxLT))</f>
        <v>55946.523045713271</v>
      </c>
      <c r="O120" s="28">
        <f ca="1">SUMPRODUCT(dFactor,tpSurvCnU,INDEX(tEIdxElec,11)*INDEX(elecCnU,1,3)*allOnes,OFFSET(tPrcElec,0,10,1,_maxLT))</f>
        <v>56165.248311848394</v>
      </c>
      <c r="P120" s="28">
        <f ca="1">SUMPRODUCT(dFactor,tpSurvCnU,INDEX(tEIdxElec,12)*INDEX(elecCnU,1,3)*allOnes,OFFSET(tPrcElec,0,11,1,_maxLT))</f>
        <v>56403.890613328389</v>
      </c>
      <c r="Q120" s="28">
        <f ca="1">SUMPRODUCT(dFactor,tpSurvCnU,INDEX(tEIdxElec,13)*INDEX(elecCnU,1,3)*allOnes,OFFSET(tPrcElec,0,12,1,_maxLT))</f>
        <v>56615.169588336707</v>
      </c>
      <c r="R120" s="28">
        <f ca="1">SUMPRODUCT(dFactor,tpSurvCnU,INDEX(tEIdxElec,14)*INDEX(elecCnU,1,3)*allOnes,OFFSET(tPrcElec,0,13,1,_maxLT))</f>
        <v>56845.900664565444</v>
      </c>
      <c r="S120" s="28">
        <f ca="1">SUMPRODUCT(dFactor,tpSurvCnU,INDEX(tEIdxElec,15)*INDEX(elecCnU,1,3)*allOnes,OFFSET(tPrcElec,0,14,1,_maxLT))</f>
        <v>57048.735833513601</v>
      </c>
      <c r="T120" s="28">
        <f ca="1">SUMPRODUCT(dFactor,tpSurvCnU,INDEX(tEIdxElec,16)*INDEX(elecCnU,1,3)*allOnes,OFFSET(tPrcElec,0,15,1,_maxLT))</f>
        <v>57270.419119262551</v>
      </c>
      <c r="U120" s="28">
        <f ca="1">SUMPRODUCT(dFactor,tpSurvCnU,INDEX(tEIdxElec,17)*INDEX(elecCnU,1,3)*allOnes,OFFSET(tPrcElec,0,16,1,_maxLT))</f>
        <v>57512.251678469089</v>
      </c>
      <c r="V120" s="28">
        <f ca="1">SUMPRODUCT(dFactor,tpSurvCnU,INDEX(tEIdxElec,18)*INDEX(elecCnU,1,3)*allOnes,OFFSET(tPrcElec,0,17,1,_maxLT))</f>
        <v>57727.074544709176</v>
      </c>
      <c r="W120" s="28">
        <f ca="1">SUMPRODUCT(dFactor,tpSurvCnU,INDEX(tEIdxElec,19)*INDEX(elecCnU,1,3)*allOnes,OFFSET(tPrcElec,0,18,1,_maxLT))</f>
        <v>57961.725630256406</v>
      </c>
      <c r="X120" s="28">
        <f ca="1">SUMPRODUCT(dFactor,tpSurvCnU,INDEX(tEIdxElec,20)*INDEX(elecCnU,1,3)*allOnes,OFFSET(tPrcElec,0,19,1,_maxLT))</f>
        <v>58168.793239491948</v>
      </c>
      <c r="Y120" s="28">
        <f ca="1">SUMPRODUCT(dFactor,tpSurvCnU,INDEX(tEIdxElec,21)*INDEX(elecCnU,1,3)*allOnes,OFFSET(tPrcElec,0,20,1,_maxLT))</f>
        <v>58395.227376935982</v>
      </c>
      <c r="Z120" s="28">
        <f ca="1">SUMPRODUCT(dFactor,tpSurvCnU,INDEX(tEIdxElec,22)*INDEX(elecCnU,1,3)*allOnes,OFFSET(tPrcElec,0,21,1,_maxLT))</f>
        <v>58642.164977622437</v>
      </c>
      <c r="AA120" s="28">
        <f ca="1">SUMPRODUCT(dFactor,tpSurvCnU,INDEX(tEIdxElec,23)*INDEX(elecCnU,1,3)*allOnes,OFFSET(tPrcElec,0,22,1,_maxLT))</f>
        <v>58862.680989511755</v>
      </c>
      <c r="AB120" s="28">
        <f ca="1">SUMPRODUCT(dFactor,tpSurvCnU,INDEX(tEIdxElec,24)*INDEX(elecCnU,1,3)*allOnes,OFFSET(tPrcElec,0,23,1,_maxLT))</f>
        <v>59103.302381235619</v>
      </c>
      <c r="AC120" s="28">
        <f ca="1">SUMPRODUCT(dFactor,tpSurvCnU,INDEX(tEIdxElec,25)*INDEX(elecCnU,1,3)*allOnes,OFFSET(tPrcElec,0,24,1,_maxLT))</f>
        <v>59316.965260378835</v>
      </c>
      <c r="AD120" s="28">
        <f ca="1">SUMPRODUCT(dFactor,tpSurvCnU,INDEX(tEIdxElec,26)*INDEX(elecCnU,1,3)*allOnes,OFFSET(tPrcElec,0,25,1,_maxLT))</f>
        <v>59550.438480531142</v>
      </c>
      <c r="AE120" s="28">
        <f ca="1">SUMPRODUCT(dFactor,tpSurvCnU,INDEX(tEIdxElec,27)*INDEX(elecCnU,1,3)*allOnes,OFFSET(tPrcElec,0,26,1,_maxLT))</f>
        <v>59804.881595971303</v>
      </c>
      <c r="AF120" s="28">
        <f ca="1">SUMPRODUCT(dFactor,tpSurvCnU,INDEX(tEIdxElec,28)*INDEX(elecCnU,1,3)*allOnes,OFFSET(tPrcElec,0,27,1,_maxLT))</f>
        <v>60033.698522307495</v>
      </c>
      <c r="AG120" s="28">
        <f ca="1">SUMPRODUCT(dFactor,tpSurvCnU,INDEX(tEIdxElec,29)*INDEX(elecCnU,1,3)*allOnes,OFFSET(tPrcElec,0,28,1,_maxLT))</f>
        <v>60283.283702927212</v>
      </c>
      <c r="AH120" s="28">
        <f ca="1">SUMPRODUCT(dFactor,tpSurvCnU,INDEX(tEIdxElec,30)*INDEX(elecCnU,1,3)*allOnes,OFFSET(tPrcElec,0,29,1,_maxLT))</f>
        <v>60506.775800091084</v>
      </c>
      <c r="AI120" s="28">
        <f ca="1">SUMPRODUCT(dFactor,tpSurvCnU,INDEX(tEIdxElec,31)*INDEX(elecCnU,1,3)*allOnes,OFFSET(tPrcElec,0,30,1,_maxLT))</f>
        <v>60750.775962070809</v>
      </c>
      <c r="AJ120" s="28">
        <f ca="1">SUMPRODUCT(dFactor,tpSurvCnU,INDEX(tEIdxElec,32)*INDEX(elecCnU,1,3)*allOnes,OFFSET(tPrcElec,0,31,1,_maxLT))</f>
        <v>60968.26311809761</v>
      </c>
      <c r="AK120" s="29">
        <f ca="1">SUMPRODUCT(dFactor,tpSurvCnU,INDEX(tEIdxElec,33)*INDEX(elecCnU,1,3)*allOnes,OFFSET(tPrcElec,0,32,1,_maxLT))</f>
        <v>61205.910069849888</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ts2bElec*SUMPRODUCT(tpSurvCnU,INDEX(tEIdxElec,1)*INDEX(elecCnU,1,3)*convFactor)</f>
        <v>11471.86715905474</v>
      </c>
      <c r="F122" s="22">
        <f ca="1">ts2bElec*SUMPRODUCT(tpSurvCnU,INDEX(tEIdxElec,2)*INDEX(elecCnU,1,3)*convFactor)</f>
        <v>11385.76310885832</v>
      </c>
      <c r="G122" s="22">
        <f ca="1">ts2bElec*SUMPRODUCT(tpSurvCnU,INDEX(tEIdxElec,3)*INDEX(elecCnU,1,3)*convFactor)</f>
        <v>11299.025479594837</v>
      </c>
      <c r="H122" s="22">
        <f ca="1">ts2bElec*SUMPRODUCT(tpSurvCnU,INDEX(tEIdxElec,4)*INDEX(elecCnU,1,3)*convFactor)</f>
        <v>11222.882170088194</v>
      </c>
      <c r="I122" s="22">
        <f ca="1">ts2bElec*SUMPRODUCT(tpSurvCnU,INDEX(tEIdxElec,5)*INDEX(elecCnU,1,3)*convFactor)</f>
        <v>11150.68796000612</v>
      </c>
      <c r="J122" s="22">
        <f ca="1">ts2bElec*SUMPRODUCT(tpSurvCnU,INDEX(tEIdxElec,6)*INDEX(elecCnU,1,3)*convFactor)</f>
        <v>11087.841634456034</v>
      </c>
      <c r="K122" s="22">
        <f ca="1">ts2bElec*SUMPRODUCT(tpSurvCnU,INDEX(tEIdxElec,7)*INDEX(elecCnU,1,3)*convFactor)</f>
        <v>11039.113195711327</v>
      </c>
      <c r="L122" s="22">
        <f ca="1">ts2bElec*SUMPRODUCT(tpSurvCnU,INDEX(tEIdxElec,8)*INDEX(elecCnU,1,3)*convFactor)</f>
        <v>10998.733284428965</v>
      </c>
      <c r="M122" s="22">
        <f ca="1">ts2bElec*SUMPRODUCT(tpSurvCnU,INDEX(tEIdxElec,9)*INDEX(elecCnU,1,3)*convFactor)</f>
        <v>10958.172941395778</v>
      </c>
      <c r="N122" s="22">
        <f ca="1">ts2bElec*SUMPRODUCT(tpSurvCnU,INDEX(tEIdxElec,10)*INDEX(elecCnU,1,3)*convFactor)</f>
        <v>10925.73380994814</v>
      </c>
      <c r="O122" s="22">
        <f ca="1">ts2bElec*SUMPRODUCT(tpSurvCnU,INDEX(tEIdxElec,11)*INDEX(elecCnU,1,3)*convFactor)</f>
        <v>10903.390682102445</v>
      </c>
      <c r="P122" s="22">
        <f ca="1">ts2bElec*SUMPRODUCT(tpSurvCnU,INDEX(tEIdxElec,12)*INDEX(elecCnU,1,3)*convFactor)</f>
        <v>10887.037457361601</v>
      </c>
      <c r="Q122" s="22">
        <f ca="1">ts2bElec*SUMPRODUCT(tpSurvCnU,INDEX(tEIdxElec,13)*INDEX(elecCnU,1,3)*convFactor)</f>
        <v>10873.277669062298</v>
      </c>
      <c r="R122" s="22">
        <f ca="1">ts2bElec*SUMPRODUCT(tpSurvCnU,INDEX(tEIdxElec,14)*INDEX(elecCnU,1,3)*convFactor)</f>
        <v>10863.125493093548</v>
      </c>
      <c r="S122" s="22">
        <f ca="1">ts2bElec*SUMPRODUCT(tpSurvCnU,INDEX(tEIdxElec,15)*INDEX(elecCnU,1,3)*convFactor)</f>
        <v>10855.38843346821</v>
      </c>
      <c r="T122" s="22">
        <f ca="1">ts2bElec*SUMPRODUCT(tpSurvCnU,INDEX(tEIdxElec,16)*INDEX(elecCnU,1,3)*convFactor)</f>
        <v>10854.418023100234</v>
      </c>
      <c r="U122" s="22">
        <f ca="1">ts2bElec*SUMPRODUCT(tpSurvCnU,INDEX(tEIdxElec,17)*INDEX(elecCnU,1,3)*convFactor)</f>
        <v>10856.403910934734</v>
      </c>
      <c r="V122" s="22">
        <f ca="1">ts2bElec*SUMPRODUCT(tpSurvCnU,INDEX(tEIdxElec,18)*INDEX(elecCnU,1,3)*convFactor)</f>
        <v>10859.322131910916</v>
      </c>
      <c r="W122" s="22">
        <f ca="1">ts2bElec*SUMPRODUCT(tpSurvCnU,INDEX(tEIdxElec,19)*INDEX(elecCnU,1,3)*convFactor)</f>
        <v>10863.495592221518</v>
      </c>
      <c r="X122" s="22">
        <f ca="1">ts2bElec*SUMPRODUCT(tpSurvCnU,INDEX(tEIdxElec,20)*INDEX(elecCnU,1,3)*convFactor)</f>
        <v>10867.43946738363</v>
      </c>
      <c r="Y122" s="22">
        <f ca="1">ts2bElec*SUMPRODUCT(tpSurvCnU,INDEX(tEIdxElec,21)*INDEX(elecCnU,1,3)*convFactor)</f>
        <v>10870.707178820327</v>
      </c>
      <c r="Z122" s="22">
        <f ca="1">ts2bElec*SUMPRODUCT(tpSurvCnU,INDEX(tEIdxElec,22)*INDEX(elecCnU,1,3)*convFactor)</f>
        <v>10872.897007496262</v>
      </c>
      <c r="AA122" s="22">
        <f ca="1">ts2bElec*SUMPRODUCT(tpSurvCnU,INDEX(tEIdxElec,23)*INDEX(elecCnU,1,3)*convFactor)</f>
        <v>10874.340250363171</v>
      </c>
      <c r="AB122" s="22">
        <f ca="1">ts2bElec*SUMPRODUCT(tpSurvCnU,INDEX(tEIdxElec,24)*INDEX(elecCnU,1,3)*convFactor)</f>
        <v>10874.340250363171</v>
      </c>
      <c r="AC122" s="22">
        <f ca="1">ts2bElec*SUMPRODUCT(tpSurvCnU,INDEX(tEIdxElec,25)*INDEX(elecCnU,1,3)*convFactor)</f>
        <v>10874.340250363171</v>
      </c>
      <c r="AD122" s="22">
        <f ca="1">ts2bElec*SUMPRODUCT(tpSurvCnU,INDEX(tEIdxElec,26)*INDEX(elecCnU,1,3)*convFactor)</f>
        <v>10874.340250363171</v>
      </c>
      <c r="AE122" s="22">
        <f ca="1">ts2bElec*SUMPRODUCT(tpSurvCnU,INDEX(tEIdxElec,27)*INDEX(elecCnU,1,3)*convFactor)</f>
        <v>10874.340250363171</v>
      </c>
      <c r="AF122" s="22">
        <f ca="1">ts2bElec*SUMPRODUCT(tpSurvCnU,INDEX(tEIdxElec,28)*INDEX(elecCnU,1,3)*convFactor)</f>
        <v>10874.340250363171</v>
      </c>
      <c r="AG122" s="22">
        <f ca="1">ts2bElec*SUMPRODUCT(tpSurvCnU,INDEX(tEIdxElec,29)*INDEX(elecCnU,1,3)*convFactor)</f>
        <v>10874.340250363171</v>
      </c>
      <c r="AH122" s="22">
        <f ca="1">ts2bElec*SUMPRODUCT(tpSurvCnU,INDEX(tEIdxElec,30)*INDEX(elecCnU,1,3)*convFactor)</f>
        <v>10874.340250363171</v>
      </c>
      <c r="AI122" s="22">
        <f ca="1">ts2bElec*SUMPRODUCT(tpSurvCnU,INDEX(tEIdxElec,31)*INDEX(elecCnU,1,3)*convFactor)</f>
        <v>10874.340250363171</v>
      </c>
      <c r="AJ122" s="22">
        <f ca="1">ts2bElec*SUMPRODUCT(tpSurvCnU,INDEX(tEIdxElec,32)*INDEX(elecCnU,1,3)*convFactor)</f>
        <v>10874.340250363171</v>
      </c>
      <c r="AK122" s="25">
        <f ca="1">ts2bElec*SUMPRODUCT(tpSurvCnU,INDEX(tEIdxElec,33)*INDEX(elecCnU,1,3)*convFactor)</f>
        <v>10874.340250363171</v>
      </c>
      <c r="AL122" s="3"/>
    </row>
    <row r="123" spans="2:38">
      <c r="B123" s="3"/>
      <c r="C123" s="30" t="str">
        <f>"EL 3: " &amp; INDEX(_doName,4,4)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(1+INDEX(vadCnU,1,4))*INDEX(mspCnU,1,4)*tPIdxAll + INDEX(instCnU,1,4) + SUMPRODUCT(dFactor,tpSurvCnU,INDEX(mrCnU,1,4)*allOnes)</f>
        <v>1585.3124339999999</v>
      </c>
      <c r="F124" s="28">
        <f ca="1"/>
        <v>1585.3124339999999</v>
      </c>
      <c r="G124" s="28">
        <f ca="1"/>
        <v>1585.3124339999999</v>
      </c>
      <c r="H124" s="28">
        <f ca="1"/>
        <v>1585.3124339999999</v>
      </c>
      <c r="I124" s="28">
        <f ca="1"/>
        <v>1585.3124339999999</v>
      </c>
      <c r="J124" s="28">
        <f ca="1"/>
        <v>1585.3124339999999</v>
      </c>
      <c r="K124" s="28">
        <f ca="1"/>
        <v>1585.3124339999999</v>
      </c>
      <c r="L124" s="28">
        <f ca="1"/>
        <v>1585.3124339999999</v>
      </c>
      <c r="M124" s="28">
        <f ca="1"/>
        <v>1585.3124339999999</v>
      </c>
      <c r="N124" s="28">
        <f ca="1"/>
        <v>1585.3124339999999</v>
      </c>
      <c r="O124" s="28">
        <f ca="1"/>
        <v>1585.3124339999999</v>
      </c>
      <c r="P124" s="28">
        <f ca="1"/>
        <v>1585.3124339999999</v>
      </c>
      <c r="Q124" s="28">
        <f ca="1"/>
        <v>1585.3124339999999</v>
      </c>
      <c r="R124" s="28">
        <f ca="1"/>
        <v>1585.3124339999999</v>
      </c>
      <c r="S124" s="28">
        <f ca="1"/>
        <v>1585.3124339999999</v>
      </c>
      <c r="T124" s="28">
        <f ca="1"/>
        <v>1585.3124339999999</v>
      </c>
      <c r="U124" s="28">
        <f ca="1"/>
        <v>1585.3124339999999</v>
      </c>
      <c r="V124" s="28">
        <f ca="1"/>
        <v>1585.3124339999999</v>
      </c>
      <c r="W124" s="28">
        <f ca="1"/>
        <v>1585.3124339999999</v>
      </c>
      <c r="X124" s="28">
        <f ca="1"/>
        <v>1585.3124339999999</v>
      </c>
      <c r="Y124" s="28">
        <f ca="1"/>
        <v>1585.3124339999999</v>
      </c>
      <c r="Z124" s="28">
        <f ca="1"/>
        <v>1585.3124339999999</v>
      </c>
      <c r="AA124" s="28">
        <f ca="1"/>
        <v>1585.3124339999999</v>
      </c>
      <c r="AB124" s="28">
        <f ca="1"/>
        <v>1585.3124339999999</v>
      </c>
      <c r="AC124" s="28">
        <f ca="1"/>
        <v>1585.3124339999999</v>
      </c>
      <c r="AD124" s="28">
        <f ca="1"/>
        <v>1585.3124339999999</v>
      </c>
      <c r="AE124" s="28">
        <f ca="1"/>
        <v>1585.3124339999999</v>
      </c>
      <c r="AF124" s="28">
        <f ca="1"/>
        <v>1585.3124339999999</v>
      </c>
      <c r="AG124" s="28">
        <f ca="1"/>
        <v>1585.3124339999999</v>
      </c>
      <c r="AH124" s="28">
        <f ca="1"/>
        <v>1585.3124339999999</v>
      </c>
      <c r="AI124" s="28">
        <f ca="1"/>
        <v>1585.3124339999999</v>
      </c>
      <c r="AJ124" s="28">
        <f ca="1"/>
        <v>1585.3124339999999</v>
      </c>
      <c r="AK124" s="29">
        <f ca="1"/>
        <v>1585.3124339999999</v>
      </c>
      <c r="AL124" s="3"/>
    </row>
    <row r="125" spans="2:38">
      <c r="B125" s="3"/>
      <c r="C125" s="23" t="s">
        <v>47</v>
      </c>
      <c r="D125" s="16" t="str">
        <f>_yearDol &amp; "$"</f>
        <v>2013$</v>
      </c>
      <c r="E125" s="141">
        <f t="array" aca="1" ref="E125:AK125" ca="1">(tlccEFubcElec3)</f>
        <v>47476.07586674246</v>
      </c>
      <c r="F125" s="28">
        <f ca="1"/>
        <v>47685.21568020658</v>
      </c>
      <c r="G125" s="28">
        <f ca="1"/>
        <v>47870.219876886033</v>
      </c>
      <c r="H125" s="28">
        <f ca="1"/>
        <v>48072.06938024507</v>
      </c>
      <c r="I125" s="28">
        <f ca="1"/>
        <v>48249.196235430158</v>
      </c>
      <c r="J125" s="28">
        <f ca="1"/>
        <v>48442.611157942534</v>
      </c>
      <c r="K125" s="28">
        <f ca="1"/>
        <v>48610.84907029022</v>
      </c>
      <c r="L125" s="28">
        <f ca="1"/>
        <v>48794.692462343468</v>
      </c>
      <c r="M125" s="28">
        <f ca="1"/>
        <v>48995.40498499971</v>
      </c>
      <c r="N125" s="28">
        <f ca="1"/>
        <v>49171.37498636722</v>
      </c>
      <c r="O125" s="28">
        <f ca="1"/>
        <v>49363.612528481033</v>
      </c>
      <c r="P125" s="28">
        <f ca="1"/>
        <v>49573.355144373265</v>
      </c>
      <c r="Q125" s="28">
        <f ca="1"/>
        <v>49759.048144425833</v>
      </c>
      <c r="R125" s="28">
        <f ca="1"/>
        <v>49961.837587855269</v>
      </c>
      <c r="S125" s="28">
        <f ca="1"/>
        <v>50140.109330401669</v>
      </c>
      <c r="T125" s="28">
        <f ca="1"/>
        <v>50334.946674678889</v>
      </c>
      <c r="U125" s="28">
        <f ca="1"/>
        <v>50547.493206711668</v>
      </c>
      <c r="V125" s="28">
        <f ca="1"/>
        <v>50736.300931240105</v>
      </c>
      <c r="W125" s="28">
        <f ca="1"/>
        <v>50942.535669169658</v>
      </c>
      <c r="X125" s="28">
        <f ca="1"/>
        <v>51124.527301660055</v>
      </c>
      <c r="Y125" s="28">
        <f ca="1"/>
        <v>51323.540167443978</v>
      </c>
      <c r="Z125" s="28">
        <f ca="1"/>
        <v>51540.573518232697</v>
      </c>
      <c r="AA125" s="28">
        <f ca="1"/>
        <v>51734.384946017883</v>
      </c>
      <c r="AB125" s="28">
        <f ca="1"/>
        <v>51945.866983472231</v>
      </c>
      <c r="AC125" s="28">
        <f ca="1"/>
        <v>52133.655195841267</v>
      </c>
      <c r="AD125" s="28">
        <f ca="1"/>
        <v>52338.854708382969</v>
      </c>
      <c r="AE125" s="28">
        <f ca="1"/>
        <v>52562.484652853105</v>
      </c>
      <c r="AF125" s="28">
        <f ca="1"/>
        <v>52763.591750767155</v>
      </c>
      <c r="AG125" s="28">
        <f ca="1"/>
        <v>52982.952058417788</v>
      </c>
      <c r="AH125" s="28">
        <f ca="1"/>
        <v>53179.37916626779</v>
      </c>
      <c r="AI125" s="28">
        <f ca="1"/>
        <v>53393.830803443496</v>
      </c>
      <c r="AJ125" s="28">
        <f ca="1"/>
        <v>53584.980171116906</v>
      </c>
      <c r="AK125" s="29">
        <f ca="1"/>
        <v>53793.847974562486</v>
      </c>
      <c r="AL125" s="3"/>
    </row>
    <row r="126" spans="2:38">
      <c r="B126" s="3"/>
      <c r="C126" s="27" t="str">
        <f>INDEX(_fuel,1)</f>
        <v>Electricity</v>
      </c>
      <c r="D126" s="16" t="str">
        <f>_yearDol &amp; "$"</f>
        <v>2013$</v>
      </c>
      <c r="E126" s="141">
        <f ca="1">SUMPRODUCT(dFactor,tpSurvCnU,INDEX(tEIdxElec,1)*INDEX(elecCnU,1,4)*allOnes,OFFSET(tPrcElec,0,0,1,_maxLT))</f>
        <v>47476.07586674246</v>
      </c>
      <c r="F126" s="28">
        <f ca="1">SUMPRODUCT(dFactor,tpSurvCnU,INDEX(tEIdxElec,2)*INDEX(elecCnU,1,4)*allOnes,OFFSET(tPrcElec,0,1,1,_maxLT))</f>
        <v>47685.21568020658</v>
      </c>
      <c r="G126" s="28">
        <f ca="1">SUMPRODUCT(dFactor,tpSurvCnU,INDEX(tEIdxElec,3)*INDEX(elecCnU,1,4)*allOnes,OFFSET(tPrcElec,0,2,1,_maxLT))</f>
        <v>47870.219876886033</v>
      </c>
      <c r="H126" s="28">
        <f ca="1">SUMPRODUCT(dFactor,tpSurvCnU,INDEX(tEIdxElec,4)*INDEX(elecCnU,1,4)*allOnes,OFFSET(tPrcElec,0,3,1,_maxLT))</f>
        <v>48072.06938024507</v>
      </c>
      <c r="I126" s="28">
        <f ca="1">SUMPRODUCT(dFactor,tpSurvCnU,INDEX(tEIdxElec,5)*INDEX(elecCnU,1,4)*allOnes,OFFSET(tPrcElec,0,4,1,_maxLT))</f>
        <v>48249.196235430158</v>
      </c>
      <c r="J126" s="28">
        <f ca="1">SUMPRODUCT(dFactor,tpSurvCnU,INDEX(tEIdxElec,6)*INDEX(elecCnU,1,4)*allOnes,OFFSET(tPrcElec,0,5,1,_maxLT))</f>
        <v>48442.611157942534</v>
      </c>
      <c r="K126" s="28">
        <f ca="1">SUMPRODUCT(dFactor,tpSurvCnU,INDEX(tEIdxElec,7)*INDEX(elecCnU,1,4)*allOnes,OFFSET(tPrcElec,0,6,1,_maxLT))</f>
        <v>48610.84907029022</v>
      </c>
      <c r="L126" s="28">
        <f ca="1">SUMPRODUCT(dFactor,tpSurvCnU,INDEX(tEIdxElec,8)*INDEX(elecCnU,1,4)*allOnes,OFFSET(tPrcElec,0,7,1,_maxLT))</f>
        <v>48794.692462343468</v>
      </c>
      <c r="M126" s="28">
        <f ca="1">SUMPRODUCT(dFactor,tpSurvCnU,INDEX(tEIdxElec,9)*INDEX(elecCnU,1,4)*allOnes,OFFSET(tPrcElec,0,8,1,_maxLT))</f>
        <v>48995.40498499971</v>
      </c>
      <c r="N126" s="28">
        <f ca="1">SUMPRODUCT(dFactor,tpSurvCnU,INDEX(tEIdxElec,10)*INDEX(elecCnU,1,4)*allOnes,OFFSET(tPrcElec,0,9,1,_maxLT))</f>
        <v>49171.37498636722</v>
      </c>
      <c r="O126" s="28">
        <f ca="1">SUMPRODUCT(dFactor,tpSurvCnU,INDEX(tEIdxElec,11)*INDEX(elecCnU,1,4)*allOnes,OFFSET(tPrcElec,0,10,1,_maxLT))</f>
        <v>49363.612528481033</v>
      </c>
      <c r="P126" s="28">
        <f ca="1">SUMPRODUCT(dFactor,tpSurvCnU,INDEX(tEIdxElec,12)*INDEX(elecCnU,1,4)*allOnes,OFFSET(tPrcElec,0,11,1,_maxLT))</f>
        <v>49573.355144373265</v>
      </c>
      <c r="Q126" s="28">
        <f ca="1">SUMPRODUCT(dFactor,tpSurvCnU,INDEX(tEIdxElec,13)*INDEX(elecCnU,1,4)*allOnes,OFFSET(tPrcElec,0,12,1,_maxLT))</f>
        <v>49759.048144425833</v>
      </c>
      <c r="R126" s="28">
        <f ca="1">SUMPRODUCT(dFactor,tpSurvCnU,INDEX(tEIdxElec,14)*INDEX(elecCnU,1,4)*allOnes,OFFSET(tPrcElec,0,13,1,_maxLT))</f>
        <v>49961.837587855269</v>
      </c>
      <c r="S126" s="28">
        <f ca="1">SUMPRODUCT(dFactor,tpSurvCnU,INDEX(tEIdxElec,15)*INDEX(elecCnU,1,4)*allOnes,OFFSET(tPrcElec,0,14,1,_maxLT))</f>
        <v>50140.109330401669</v>
      </c>
      <c r="T126" s="28">
        <f ca="1">SUMPRODUCT(dFactor,tpSurvCnU,INDEX(tEIdxElec,16)*INDEX(elecCnU,1,4)*allOnes,OFFSET(tPrcElec,0,15,1,_maxLT))</f>
        <v>50334.946674678889</v>
      </c>
      <c r="U126" s="28">
        <f ca="1">SUMPRODUCT(dFactor,tpSurvCnU,INDEX(tEIdxElec,17)*INDEX(elecCnU,1,4)*allOnes,OFFSET(tPrcElec,0,16,1,_maxLT))</f>
        <v>50547.493206711668</v>
      </c>
      <c r="V126" s="28">
        <f ca="1">SUMPRODUCT(dFactor,tpSurvCnU,INDEX(tEIdxElec,18)*INDEX(elecCnU,1,4)*allOnes,OFFSET(tPrcElec,0,17,1,_maxLT))</f>
        <v>50736.300931240105</v>
      </c>
      <c r="W126" s="28">
        <f ca="1">SUMPRODUCT(dFactor,tpSurvCnU,INDEX(tEIdxElec,19)*INDEX(elecCnU,1,4)*allOnes,OFFSET(tPrcElec,0,18,1,_maxLT))</f>
        <v>50942.535669169658</v>
      </c>
      <c r="X126" s="28">
        <f ca="1">SUMPRODUCT(dFactor,tpSurvCnU,INDEX(tEIdxElec,20)*INDEX(elecCnU,1,4)*allOnes,OFFSET(tPrcElec,0,19,1,_maxLT))</f>
        <v>51124.527301660055</v>
      </c>
      <c r="Y126" s="28">
        <f ca="1">SUMPRODUCT(dFactor,tpSurvCnU,INDEX(tEIdxElec,21)*INDEX(elecCnU,1,4)*allOnes,OFFSET(tPrcElec,0,20,1,_maxLT))</f>
        <v>51323.540167443978</v>
      </c>
      <c r="Z126" s="28">
        <f ca="1">SUMPRODUCT(dFactor,tpSurvCnU,INDEX(tEIdxElec,22)*INDEX(elecCnU,1,4)*allOnes,OFFSET(tPrcElec,0,21,1,_maxLT))</f>
        <v>51540.573518232697</v>
      </c>
      <c r="AA126" s="28">
        <f ca="1">SUMPRODUCT(dFactor,tpSurvCnU,INDEX(tEIdxElec,23)*INDEX(elecCnU,1,4)*allOnes,OFFSET(tPrcElec,0,22,1,_maxLT))</f>
        <v>51734.384946017883</v>
      </c>
      <c r="AB126" s="28">
        <f ca="1">SUMPRODUCT(dFactor,tpSurvCnU,INDEX(tEIdxElec,24)*INDEX(elecCnU,1,4)*allOnes,OFFSET(tPrcElec,0,23,1,_maxLT))</f>
        <v>51945.866983472231</v>
      </c>
      <c r="AC126" s="28">
        <f ca="1">SUMPRODUCT(dFactor,tpSurvCnU,INDEX(tEIdxElec,25)*INDEX(elecCnU,1,4)*allOnes,OFFSET(tPrcElec,0,24,1,_maxLT))</f>
        <v>52133.655195841267</v>
      </c>
      <c r="AD126" s="28">
        <f ca="1">SUMPRODUCT(dFactor,tpSurvCnU,INDEX(tEIdxElec,26)*INDEX(elecCnU,1,4)*allOnes,OFFSET(tPrcElec,0,25,1,_maxLT))</f>
        <v>52338.854708382969</v>
      </c>
      <c r="AE126" s="28">
        <f ca="1">SUMPRODUCT(dFactor,tpSurvCnU,INDEX(tEIdxElec,27)*INDEX(elecCnU,1,4)*allOnes,OFFSET(tPrcElec,0,26,1,_maxLT))</f>
        <v>52562.484652853105</v>
      </c>
      <c r="AF126" s="28">
        <f ca="1">SUMPRODUCT(dFactor,tpSurvCnU,INDEX(tEIdxElec,28)*INDEX(elecCnU,1,4)*allOnes,OFFSET(tPrcElec,0,27,1,_maxLT))</f>
        <v>52763.591750767155</v>
      </c>
      <c r="AG126" s="28">
        <f ca="1">SUMPRODUCT(dFactor,tpSurvCnU,INDEX(tEIdxElec,29)*INDEX(elecCnU,1,4)*allOnes,OFFSET(tPrcElec,0,28,1,_maxLT))</f>
        <v>52982.952058417788</v>
      </c>
      <c r="AH126" s="28">
        <f ca="1">SUMPRODUCT(dFactor,tpSurvCnU,INDEX(tEIdxElec,30)*INDEX(elecCnU,1,4)*allOnes,OFFSET(tPrcElec,0,29,1,_maxLT))</f>
        <v>53179.37916626779</v>
      </c>
      <c r="AI126" s="28">
        <f ca="1">SUMPRODUCT(dFactor,tpSurvCnU,INDEX(tEIdxElec,31)*INDEX(elecCnU,1,4)*allOnes,OFFSET(tPrcElec,0,30,1,_maxLT))</f>
        <v>53393.830803443496</v>
      </c>
      <c r="AJ126" s="28">
        <f ca="1">SUMPRODUCT(dFactor,tpSurvCnU,INDEX(tEIdxElec,32)*INDEX(elecCnU,1,4)*allOnes,OFFSET(tPrcElec,0,31,1,_maxLT))</f>
        <v>53584.980171116906</v>
      </c>
      <c r="AK126" s="29">
        <f ca="1">SUMPRODUCT(dFactor,tpSurvCnU,INDEX(tEIdxElec,33)*INDEX(elecCnU,1,4)*allOnes,OFFSET(tPrcElec,0,32,1,_maxLT))</f>
        <v>53793.847974562486</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ts2bElec*SUMPRODUCT(tpSurvCnU,INDEX(tEIdxElec,1)*INDEX(elecCnU,1,4)*convFactor)</f>
        <v>10082.619100578633</v>
      </c>
      <c r="F128" s="22">
        <f ca="1">ts2bElec*SUMPRODUCT(tpSurvCnU,INDEX(tEIdxElec,2)*INDEX(elecCnU,1,4)*convFactor)</f>
        <v>10006.942287980399</v>
      </c>
      <c r="G128" s="22">
        <f ca="1">ts2bElec*SUMPRODUCT(tpSurvCnU,INDEX(tEIdxElec,3)*INDEX(elecCnU,1,4)*convFactor)</f>
        <v>9930.7086230132627</v>
      </c>
      <c r="H128" s="22">
        <f ca="1">ts2bElec*SUMPRODUCT(tpSurvCnU,INDEX(tEIdxElec,4)*INDEX(elecCnU,1,4)*convFactor)</f>
        <v>9863.7863011132049</v>
      </c>
      <c r="I128" s="22">
        <f ca="1">ts2bElec*SUMPRODUCT(tpSurvCnU,INDEX(tEIdxElec,5)*INDEX(elecCnU,1,4)*convFactor)</f>
        <v>9800.3348409949467</v>
      </c>
      <c r="J128" s="22">
        <f ca="1">ts2bElec*SUMPRODUCT(tpSurvCnU,INDEX(tEIdxElec,6)*INDEX(elecCnU,1,4)*convFactor)</f>
        <v>9745.0992325619882</v>
      </c>
      <c r="K128" s="22">
        <f ca="1">ts2bElec*SUMPRODUCT(tpSurvCnU,INDEX(tEIdxElec,7)*INDEX(elecCnU,1,4)*convFactor)</f>
        <v>9702.2718287560638</v>
      </c>
      <c r="L128" s="22">
        <f ca="1">ts2bElec*SUMPRODUCT(tpSurvCnU,INDEX(tEIdxElec,8)*INDEX(elecCnU,1,4)*convFactor)</f>
        <v>9666.7819421377499</v>
      </c>
      <c r="M128" s="22">
        <f ca="1">ts2bElec*SUMPRODUCT(tpSurvCnU,INDEX(tEIdxElec,9)*INDEX(elecCnU,1,4)*convFactor)</f>
        <v>9631.1334741314204</v>
      </c>
      <c r="N128" s="22">
        <f ca="1">ts2bElec*SUMPRODUCT(tpSurvCnU,INDEX(tEIdxElec,10)*INDEX(elecCnU,1,4)*convFactor)</f>
        <v>9602.6227354865805</v>
      </c>
      <c r="O128" s="22">
        <f ca="1">ts2bElec*SUMPRODUCT(tpSurvCnU,INDEX(tEIdxElec,11)*INDEX(elecCnU,1,4)*convFactor)</f>
        <v>9582.9853700551048</v>
      </c>
      <c r="P128" s="22">
        <f ca="1">ts2bElec*SUMPRODUCT(tpSurvCnU,INDEX(tEIdxElec,12)*INDEX(elecCnU,1,4)*convFactor)</f>
        <v>9568.612527880241</v>
      </c>
      <c r="Q128" s="22">
        <f ca="1">ts2bElec*SUMPRODUCT(tpSurvCnU,INDEX(tEIdxElec,13)*INDEX(elecCnU,1,4)*convFactor)</f>
        <v>9556.5190558758222</v>
      </c>
      <c r="R128" s="22">
        <f ca="1">ts2bElec*SUMPRODUCT(tpSurvCnU,INDEX(tEIdxElec,14)*INDEX(elecCnU,1,4)*convFactor)</f>
        <v>9547.5963127934865</v>
      </c>
      <c r="S128" s="22">
        <f ca="1">ts2bElec*SUMPRODUCT(tpSurvCnU,INDEX(tEIdxElec,15)*INDEX(elecCnU,1,4)*convFactor)</f>
        <v>9540.7962144242138</v>
      </c>
      <c r="T128" s="22">
        <f ca="1">ts2bElec*SUMPRODUCT(tpSurvCnU,INDEX(tEIdxElec,16)*INDEX(elecCnU,1,4)*convFactor)</f>
        <v>9539.9433211701453</v>
      </c>
      <c r="U128" s="22">
        <f ca="1">ts2bElec*SUMPRODUCT(tpSurvCnU,INDEX(tEIdxElec,17)*INDEX(elecCnU,1,4)*convFactor)</f>
        <v>9541.6887171317721</v>
      </c>
      <c r="V128" s="22">
        <f ca="1">ts2bElec*SUMPRODUCT(tpSurvCnU,INDEX(tEIdxElec,18)*INDEX(elecCnU,1,4)*convFactor)</f>
        <v>9544.2535402896938</v>
      </c>
      <c r="W128" s="22">
        <f ca="1">ts2bElec*SUMPRODUCT(tpSurvCnU,INDEX(tEIdxElec,19)*INDEX(elecCnU,1,4)*convFactor)</f>
        <v>9547.921592757506</v>
      </c>
      <c r="X128" s="22">
        <f ca="1">ts2bElec*SUMPRODUCT(tpSurvCnU,INDEX(tEIdxElec,20)*INDEX(elecCnU,1,4)*convFactor)</f>
        <v>9551.3878629372848</v>
      </c>
      <c r="Y128" s="22">
        <f ca="1">ts2bElec*SUMPRODUCT(tpSurvCnU,INDEX(tEIdxElec,21)*INDEX(elecCnU,1,4)*convFactor)</f>
        <v>9554.2598531102904</v>
      </c>
      <c r="Z128" s="22">
        <f ca="1">ts2bElec*SUMPRODUCT(tpSurvCnU,INDEX(tEIdxElec,22)*INDEX(elecCnU,1,4)*convFactor)</f>
        <v>9556.1844925895366</v>
      </c>
      <c r="AA128" s="22">
        <f ca="1">ts2bElec*SUMPRODUCT(tpSurvCnU,INDEX(tEIdxElec,23)*INDEX(elecCnU,1,4)*convFactor)</f>
        <v>9557.4529581230818</v>
      </c>
      <c r="AB128" s="22">
        <f ca="1">ts2bElec*SUMPRODUCT(tpSurvCnU,INDEX(tEIdxElec,24)*INDEX(elecCnU,1,4)*convFactor)</f>
        <v>9557.4529581230818</v>
      </c>
      <c r="AC128" s="22">
        <f ca="1">ts2bElec*SUMPRODUCT(tpSurvCnU,INDEX(tEIdxElec,25)*INDEX(elecCnU,1,4)*convFactor)</f>
        <v>9557.4529581230818</v>
      </c>
      <c r="AD128" s="22">
        <f ca="1">ts2bElec*SUMPRODUCT(tpSurvCnU,INDEX(tEIdxElec,26)*INDEX(elecCnU,1,4)*convFactor)</f>
        <v>9557.4529581230818</v>
      </c>
      <c r="AE128" s="22">
        <f ca="1">ts2bElec*SUMPRODUCT(tpSurvCnU,INDEX(tEIdxElec,27)*INDEX(elecCnU,1,4)*convFactor)</f>
        <v>9557.4529581230818</v>
      </c>
      <c r="AF128" s="22">
        <f ca="1">ts2bElec*SUMPRODUCT(tpSurvCnU,INDEX(tEIdxElec,28)*INDEX(elecCnU,1,4)*convFactor)</f>
        <v>9557.4529581230818</v>
      </c>
      <c r="AG128" s="22">
        <f ca="1">ts2bElec*SUMPRODUCT(tpSurvCnU,INDEX(tEIdxElec,29)*INDEX(elecCnU,1,4)*convFactor)</f>
        <v>9557.4529581230818</v>
      </c>
      <c r="AH128" s="22">
        <f ca="1">ts2bElec*SUMPRODUCT(tpSurvCnU,INDEX(tEIdxElec,30)*INDEX(elecCnU,1,4)*convFactor)</f>
        <v>9557.4529581230818</v>
      </c>
      <c r="AI128" s="22">
        <f ca="1">ts2bElec*SUMPRODUCT(tpSurvCnU,INDEX(tEIdxElec,31)*INDEX(elecCnU,1,4)*convFactor)</f>
        <v>9557.4529581230818</v>
      </c>
      <c r="AJ128" s="22">
        <f ca="1">ts2bElec*SUMPRODUCT(tpSurvCnU,INDEX(tEIdxElec,32)*INDEX(elecCnU,1,4)*convFactor)</f>
        <v>9557.4529581230818</v>
      </c>
      <c r="AK128" s="25">
        <f ca="1">ts2bElec*SUMPRODUCT(tpSurvCnU,INDEX(tEIdxElec,33)*INDEX(elecCnU,1,4)*convFactor)</f>
        <v>9557.4529581230818</v>
      </c>
      <c r="AL128" s="3"/>
    </row>
    <row r="129" spans="2:38">
      <c r="B129" s="3"/>
      <c r="C129" s="30" t="str">
        <f>"EL 4: " &amp; INDEX(_doName,4,5)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(1+INDEX(vadCnU,1,5))*INDEX(mspCnU,1,5)*tPIdxAll + INDEX(instCnU,1,5) + SUMPRODUCT(dFactor,tpSurvCnU,INDEX(mrCnU,1,5)*allOnes)</f>
        <v>1495.8686339999999</v>
      </c>
      <c r="F130" s="28">
        <f ca="1"/>
        <v>1495.8686339999999</v>
      </c>
      <c r="G130" s="28">
        <f ca="1"/>
        <v>1495.8686339999999</v>
      </c>
      <c r="H130" s="28">
        <f ca="1"/>
        <v>1495.8686339999999</v>
      </c>
      <c r="I130" s="28">
        <f ca="1"/>
        <v>1495.8686339999999</v>
      </c>
      <c r="J130" s="28">
        <f ca="1"/>
        <v>1495.8686339999999</v>
      </c>
      <c r="K130" s="28">
        <f ca="1"/>
        <v>1495.8686339999999</v>
      </c>
      <c r="L130" s="28">
        <f ca="1"/>
        <v>1495.8686339999999</v>
      </c>
      <c r="M130" s="28">
        <f ca="1"/>
        <v>1495.8686339999999</v>
      </c>
      <c r="N130" s="28">
        <f ca="1"/>
        <v>1495.8686339999999</v>
      </c>
      <c r="O130" s="28">
        <f ca="1"/>
        <v>1495.8686339999999</v>
      </c>
      <c r="P130" s="28">
        <f ca="1"/>
        <v>1495.8686339999999</v>
      </c>
      <c r="Q130" s="28">
        <f ca="1"/>
        <v>1495.8686339999999</v>
      </c>
      <c r="R130" s="28">
        <f ca="1"/>
        <v>1495.8686339999999</v>
      </c>
      <c r="S130" s="28">
        <f ca="1"/>
        <v>1495.8686339999999</v>
      </c>
      <c r="T130" s="28">
        <f ca="1"/>
        <v>1495.8686339999999</v>
      </c>
      <c r="U130" s="28">
        <f ca="1"/>
        <v>1495.8686339999999</v>
      </c>
      <c r="V130" s="28">
        <f ca="1"/>
        <v>1495.8686339999999</v>
      </c>
      <c r="W130" s="28">
        <f ca="1"/>
        <v>1495.8686339999999</v>
      </c>
      <c r="X130" s="28">
        <f ca="1"/>
        <v>1495.8686339999999</v>
      </c>
      <c r="Y130" s="28">
        <f ca="1"/>
        <v>1495.8686339999999</v>
      </c>
      <c r="Z130" s="28">
        <f ca="1"/>
        <v>1495.8686339999999</v>
      </c>
      <c r="AA130" s="28">
        <f ca="1"/>
        <v>1495.8686339999999</v>
      </c>
      <c r="AB130" s="28">
        <f ca="1"/>
        <v>1495.8686339999999</v>
      </c>
      <c r="AC130" s="28">
        <f ca="1"/>
        <v>1495.8686339999999</v>
      </c>
      <c r="AD130" s="28">
        <f ca="1"/>
        <v>1495.8686339999999</v>
      </c>
      <c r="AE130" s="28">
        <f ca="1"/>
        <v>1495.8686339999999</v>
      </c>
      <c r="AF130" s="28">
        <f ca="1"/>
        <v>1495.8686339999999</v>
      </c>
      <c r="AG130" s="28">
        <f ca="1"/>
        <v>1495.8686339999999</v>
      </c>
      <c r="AH130" s="28">
        <f ca="1"/>
        <v>1495.8686339999999</v>
      </c>
      <c r="AI130" s="28">
        <f ca="1"/>
        <v>1495.8686339999999</v>
      </c>
      <c r="AJ130" s="28">
        <f ca="1"/>
        <v>1495.8686339999999</v>
      </c>
      <c r="AK130" s="29">
        <f ca="1"/>
        <v>1495.8686339999999</v>
      </c>
      <c r="AL130" s="3"/>
    </row>
    <row r="131" spans="2:38">
      <c r="B131" s="3"/>
      <c r="C131" s="23" t="s">
        <v>47</v>
      </c>
      <c r="D131" s="16" t="str">
        <f>_yearDol &amp; "$"</f>
        <v>2013$</v>
      </c>
      <c r="E131" s="141">
        <f t="array" aca="1" ref="E131:AK131" ca="1">(tlccEFubcElec4)</f>
        <v>46396.010712905525</v>
      </c>
      <c r="F131" s="28">
        <f ca="1"/>
        <v>46600.392664211067</v>
      </c>
      <c r="G131" s="28">
        <f ca="1"/>
        <v>46781.18807609738</v>
      </c>
      <c r="H131" s="28">
        <f ca="1"/>
        <v>46978.445569461546</v>
      </c>
      <c r="I131" s="28">
        <f ca="1"/>
        <v>47151.542846788674</v>
      </c>
      <c r="J131" s="28">
        <f ca="1"/>
        <v>47340.557643253887</v>
      </c>
      <c r="K131" s="28">
        <f ca="1"/>
        <v>47504.968198277646</v>
      </c>
      <c r="L131" s="28">
        <f ca="1"/>
        <v>47684.629213462242</v>
      </c>
      <c r="M131" s="28">
        <f ca="1"/>
        <v>47880.775592061676</v>
      </c>
      <c r="N131" s="28">
        <f ca="1"/>
        <v>48052.742333616152</v>
      </c>
      <c r="O131" s="28">
        <f ca="1"/>
        <v>48240.606534700724</v>
      </c>
      <c r="P131" s="28">
        <f ca="1"/>
        <v>48445.577574876887</v>
      </c>
      <c r="Q131" s="28">
        <f ca="1"/>
        <v>48627.04612008547</v>
      </c>
      <c r="R131" s="28">
        <f ca="1"/>
        <v>48825.222170191708</v>
      </c>
      <c r="S131" s="28">
        <f ca="1"/>
        <v>48999.438289068261</v>
      </c>
      <c r="T131" s="28">
        <f ca="1"/>
        <v>49189.843147669737</v>
      </c>
      <c r="U131" s="28">
        <f ca="1"/>
        <v>49397.554315813926</v>
      </c>
      <c r="V131" s="28">
        <f ca="1"/>
        <v>49582.066726538163</v>
      </c>
      <c r="W131" s="28">
        <f ca="1"/>
        <v>49783.609691824684</v>
      </c>
      <c r="X131" s="28">
        <f ca="1"/>
        <v>49961.461074369108</v>
      </c>
      <c r="Y131" s="28">
        <f ca="1"/>
        <v>50155.946462732587</v>
      </c>
      <c r="Z131" s="28">
        <f ca="1"/>
        <v>50368.042375977726</v>
      </c>
      <c r="AA131" s="28">
        <f ca="1"/>
        <v>50557.444657350861</v>
      </c>
      <c r="AB131" s="28">
        <f ca="1"/>
        <v>50764.115547819143</v>
      </c>
      <c r="AC131" s="28">
        <f ca="1"/>
        <v>50947.631639951236</v>
      </c>
      <c r="AD131" s="28">
        <f ca="1"/>
        <v>51148.162930887978</v>
      </c>
      <c r="AE131" s="28">
        <f ca="1"/>
        <v>51366.705367471914</v>
      </c>
      <c r="AF131" s="28">
        <f ca="1"/>
        <v>51563.237344871435</v>
      </c>
      <c r="AG131" s="28">
        <f ca="1"/>
        <v>51777.607277473107</v>
      </c>
      <c r="AH131" s="28">
        <f ca="1"/>
        <v>51969.565733047566</v>
      </c>
      <c r="AI131" s="28">
        <f ca="1"/>
        <v>52179.138665817562</v>
      </c>
      <c r="AJ131" s="28">
        <f ca="1"/>
        <v>52365.939448073288</v>
      </c>
      <c r="AK131" s="29">
        <f ca="1"/>
        <v>52570.055577499028</v>
      </c>
      <c r="AL131" s="3"/>
    </row>
    <row r="132" spans="2:38">
      <c r="B132" s="3"/>
      <c r="C132" s="27" t="str">
        <f>INDEX(_fuel,1)</f>
        <v>Electricity</v>
      </c>
      <c r="D132" s="16" t="str">
        <f>_yearDol &amp; "$"</f>
        <v>2013$</v>
      </c>
      <c r="E132" s="141">
        <f ca="1">SUMPRODUCT(dFactor,tpSurvCnU,INDEX(tEIdxElec,1)*INDEX(elecCnU,1,5)*allOnes,OFFSET(tPrcElec,0,0,1,_maxLT))</f>
        <v>46396.010712905525</v>
      </c>
      <c r="F132" s="28">
        <f ca="1">SUMPRODUCT(dFactor,tpSurvCnU,INDEX(tEIdxElec,2)*INDEX(elecCnU,1,5)*allOnes,OFFSET(tPrcElec,0,1,1,_maxLT))</f>
        <v>46600.392664211067</v>
      </c>
      <c r="G132" s="28">
        <f ca="1">SUMPRODUCT(dFactor,tpSurvCnU,INDEX(tEIdxElec,3)*INDEX(elecCnU,1,5)*allOnes,OFFSET(tPrcElec,0,2,1,_maxLT))</f>
        <v>46781.18807609738</v>
      </c>
      <c r="H132" s="28">
        <f ca="1">SUMPRODUCT(dFactor,tpSurvCnU,INDEX(tEIdxElec,4)*INDEX(elecCnU,1,5)*allOnes,OFFSET(tPrcElec,0,3,1,_maxLT))</f>
        <v>46978.445569461546</v>
      </c>
      <c r="I132" s="28">
        <f ca="1">SUMPRODUCT(dFactor,tpSurvCnU,INDEX(tEIdxElec,5)*INDEX(elecCnU,1,5)*allOnes,OFFSET(tPrcElec,0,4,1,_maxLT))</f>
        <v>47151.542846788674</v>
      </c>
      <c r="J132" s="28">
        <f ca="1">SUMPRODUCT(dFactor,tpSurvCnU,INDEX(tEIdxElec,6)*INDEX(elecCnU,1,5)*allOnes,OFFSET(tPrcElec,0,5,1,_maxLT))</f>
        <v>47340.557643253887</v>
      </c>
      <c r="K132" s="28">
        <f ca="1">SUMPRODUCT(dFactor,tpSurvCnU,INDEX(tEIdxElec,7)*INDEX(elecCnU,1,5)*allOnes,OFFSET(tPrcElec,0,6,1,_maxLT))</f>
        <v>47504.968198277646</v>
      </c>
      <c r="L132" s="28">
        <f ca="1">SUMPRODUCT(dFactor,tpSurvCnU,INDEX(tEIdxElec,8)*INDEX(elecCnU,1,5)*allOnes,OFFSET(tPrcElec,0,7,1,_maxLT))</f>
        <v>47684.629213462242</v>
      </c>
      <c r="M132" s="28">
        <f ca="1">SUMPRODUCT(dFactor,tpSurvCnU,INDEX(tEIdxElec,9)*INDEX(elecCnU,1,5)*allOnes,OFFSET(tPrcElec,0,8,1,_maxLT))</f>
        <v>47880.775592061676</v>
      </c>
      <c r="N132" s="28">
        <f ca="1">SUMPRODUCT(dFactor,tpSurvCnU,INDEX(tEIdxElec,10)*INDEX(elecCnU,1,5)*allOnes,OFFSET(tPrcElec,0,9,1,_maxLT))</f>
        <v>48052.742333616152</v>
      </c>
      <c r="O132" s="28">
        <f ca="1">SUMPRODUCT(dFactor,tpSurvCnU,INDEX(tEIdxElec,11)*INDEX(elecCnU,1,5)*allOnes,OFFSET(tPrcElec,0,10,1,_maxLT))</f>
        <v>48240.606534700724</v>
      </c>
      <c r="P132" s="28">
        <f ca="1">SUMPRODUCT(dFactor,tpSurvCnU,INDEX(tEIdxElec,12)*INDEX(elecCnU,1,5)*allOnes,OFFSET(tPrcElec,0,11,1,_maxLT))</f>
        <v>48445.577574876887</v>
      </c>
      <c r="Q132" s="28">
        <f ca="1">SUMPRODUCT(dFactor,tpSurvCnU,INDEX(tEIdxElec,13)*INDEX(elecCnU,1,5)*allOnes,OFFSET(tPrcElec,0,12,1,_maxLT))</f>
        <v>48627.04612008547</v>
      </c>
      <c r="R132" s="28">
        <f ca="1">SUMPRODUCT(dFactor,tpSurvCnU,INDEX(tEIdxElec,14)*INDEX(elecCnU,1,5)*allOnes,OFFSET(tPrcElec,0,13,1,_maxLT))</f>
        <v>48825.222170191708</v>
      </c>
      <c r="S132" s="28">
        <f ca="1">SUMPRODUCT(dFactor,tpSurvCnU,INDEX(tEIdxElec,15)*INDEX(elecCnU,1,5)*allOnes,OFFSET(tPrcElec,0,14,1,_maxLT))</f>
        <v>48999.438289068261</v>
      </c>
      <c r="T132" s="28">
        <f ca="1">SUMPRODUCT(dFactor,tpSurvCnU,INDEX(tEIdxElec,16)*INDEX(elecCnU,1,5)*allOnes,OFFSET(tPrcElec,0,15,1,_maxLT))</f>
        <v>49189.843147669737</v>
      </c>
      <c r="U132" s="28">
        <f ca="1">SUMPRODUCT(dFactor,tpSurvCnU,INDEX(tEIdxElec,17)*INDEX(elecCnU,1,5)*allOnes,OFFSET(tPrcElec,0,16,1,_maxLT))</f>
        <v>49397.554315813926</v>
      </c>
      <c r="V132" s="28">
        <f ca="1">SUMPRODUCT(dFactor,tpSurvCnU,INDEX(tEIdxElec,18)*INDEX(elecCnU,1,5)*allOnes,OFFSET(tPrcElec,0,17,1,_maxLT))</f>
        <v>49582.066726538163</v>
      </c>
      <c r="W132" s="28">
        <f ca="1">SUMPRODUCT(dFactor,tpSurvCnU,INDEX(tEIdxElec,19)*INDEX(elecCnU,1,5)*allOnes,OFFSET(tPrcElec,0,18,1,_maxLT))</f>
        <v>49783.609691824684</v>
      </c>
      <c r="X132" s="28">
        <f ca="1">SUMPRODUCT(dFactor,tpSurvCnU,INDEX(tEIdxElec,20)*INDEX(elecCnU,1,5)*allOnes,OFFSET(tPrcElec,0,19,1,_maxLT))</f>
        <v>49961.461074369108</v>
      </c>
      <c r="Y132" s="28">
        <f ca="1">SUMPRODUCT(dFactor,tpSurvCnU,INDEX(tEIdxElec,21)*INDEX(elecCnU,1,5)*allOnes,OFFSET(tPrcElec,0,20,1,_maxLT))</f>
        <v>50155.946462732587</v>
      </c>
      <c r="Z132" s="28">
        <f ca="1">SUMPRODUCT(dFactor,tpSurvCnU,INDEX(tEIdxElec,22)*INDEX(elecCnU,1,5)*allOnes,OFFSET(tPrcElec,0,21,1,_maxLT))</f>
        <v>50368.042375977726</v>
      </c>
      <c r="AA132" s="28">
        <f ca="1">SUMPRODUCT(dFactor,tpSurvCnU,INDEX(tEIdxElec,23)*INDEX(elecCnU,1,5)*allOnes,OFFSET(tPrcElec,0,22,1,_maxLT))</f>
        <v>50557.444657350861</v>
      </c>
      <c r="AB132" s="28">
        <f ca="1">SUMPRODUCT(dFactor,tpSurvCnU,INDEX(tEIdxElec,24)*INDEX(elecCnU,1,5)*allOnes,OFFSET(tPrcElec,0,23,1,_maxLT))</f>
        <v>50764.115547819143</v>
      </c>
      <c r="AC132" s="28">
        <f ca="1">SUMPRODUCT(dFactor,tpSurvCnU,INDEX(tEIdxElec,25)*INDEX(elecCnU,1,5)*allOnes,OFFSET(tPrcElec,0,24,1,_maxLT))</f>
        <v>50947.631639951236</v>
      </c>
      <c r="AD132" s="28">
        <f ca="1">SUMPRODUCT(dFactor,tpSurvCnU,INDEX(tEIdxElec,26)*INDEX(elecCnU,1,5)*allOnes,OFFSET(tPrcElec,0,25,1,_maxLT))</f>
        <v>51148.162930887978</v>
      </c>
      <c r="AE132" s="28">
        <f ca="1">SUMPRODUCT(dFactor,tpSurvCnU,INDEX(tEIdxElec,27)*INDEX(elecCnU,1,5)*allOnes,OFFSET(tPrcElec,0,26,1,_maxLT))</f>
        <v>51366.705367471914</v>
      </c>
      <c r="AF132" s="28">
        <f ca="1">SUMPRODUCT(dFactor,tpSurvCnU,INDEX(tEIdxElec,28)*INDEX(elecCnU,1,5)*allOnes,OFFSET(tPrcElec,0,27,1,_maxLT))</f>
        <v>51563.237344871435</v>
      </c>
      <c r="AG132" s="28">
        <f ca="1">SUMPRODUCT(dFactor,tpSurvCnU,INDEX(tEIdxElec,29)*INDEX(elecCnU,1,5)*allOnes,OFFSET(tPrcElec,0,28,1,_maxLT))</f>
        <v>51777.607277473107</v>
      </c>
      <c r="AH132" s="28">
        <f ca="1">SUMPRODUCT(dFactor,tpSurvCnU,INDEX(tEIdxElec,30)*INDEX(elecCnU,1,5)*allOnes,OFFSET(tPrcElec,0,29,1,_maxLT))</f>
        <v>51969.565733047566</v>
      </c>
      <c r="AI132" s="28">
        <f ca="1">SUMPRODUCT(dFactor,tpSurvCnU,INDEX(tEIdxElec,31)*INDEX(elecCnU,1,5)*allOnes,OFFSET(tPrcElec,0,30,1,_maxLT))</f>
        <v>52179.138665817562</v>
      </c>
      <c r="AJ132" s="28">
        <f ca="1">SUMPRODUCT(dFactor,tpSurvCnU,INDEX(tEIdxElec,32)*INDEX(elecCnU,1,5)*allOnes,OFFSET(tPrcElec,0,31,1,_maxLT))</f>
        <v>52365.939448073288</v>
      </c>
      <c r="AK132" s="29">
        <f ca="1">SUMPRODUCT(dFactor,tpSurvCnU,INDEX(tEIdxElec,33)*INDEX(elecCnU,1,5)*allOnes,OFFSET(tPrcElec,0,32,1,_maxLT))</f>
        <v>52570.055577499028</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ts2bElec*SUMPRODUCT(tpSurvCnU,INDEX(tEIdxElec,1)*INDEX(elecCnU,1,5)*convFactor)</f>
        <v>9853.2428231349822</v>
      </c>
      <c r="F134" s="22">
        <f ca="1">ts2bElec*SUMPRODUCT(tpSurvCnU,INDEX(tEIdxElec,2)*INDEX(elecCnU,1,5)*convFactor)</f>
        <v>9779.2876332013984</v>
      </c>
      <c r="G134" s="22">
        <f ca="1">ts2bElec*SUMPRODUCT(tpSurvCnU,INDEX(tEIdxElec,3)*INDEX(elecCnU,1,5)*convFactor)</f>
        <v>9704.7882591076541</v>
      </c>
      <c r="H134" s="22">
        <f ca="1">ts2bElec*SUMPRODUCT(tpSurvCnU,INDEX(tEIdxElec,4)*INDEX(elecCnU,1,5)*convFactor)</f>
        <v>9639.388398080333</v>
      </c>
      <c r="I134" s="22">
        <f ca="1">ts2bElec*SUMPRODUCT(tpSurvCnU,INDEX(tEIdxElec,5)*INDEX(elecCnU,1,5)*convFactor)</f>
        <v>9577.3804378677141</v>
      </c>
      <c r="J134" s="22">
        <f ca="1">ts2bElec*SUMPRODUCT(tpSurvCnU,INDEX(tEIdxElec,6)*INDEX(elecCnU,1,5)*convFactor)</f>
        <v>9523.4014214093513</v>
      </c>
      <c r="K134" s="22">
        <f ca="1">ts2bElec*SUMPRODUCT(tpSurvCnU,INDEX(tEIdxElec,7)*INDEX(elecCnU,1,5)*convFactor)</f>
        <v>9481.5483269926426</v>
      </c>
      <c r="L134" s="22">
        <f ca="1">ts2bElec*SUMPRODUCT(tpSurvCnU,INDEX(tEIdxElec,8)*INDEX(elecCnU,1,5)*convFactor)</f>
        <v>9446.8658236542287</v>
      </c>
      <c r="M134" s="22">
        <f ca="1">ts2bElec*SUMPRODUCT(tpSurvCnU,INDEX(tEIdxElec,9)*INDEX(elecCnU,1,5)*convFactor)</f>
        <v>9412.0283466023611</v>
      </c>
      <c r="N134" s="22">
        <f ca="1">ts2bElec*SUMPRODUCT(tpSurvCnU,INDEX(tEIdxElec,10)*INDEX(elecCnU,1,5)*convFactor)</f>
        <v>9384.1662179101822</v>
      </c>
      <c r="O134" s="22">
        <f ca="1">ts2bElec*SUMPRODUCT(tpSurvCnU,INDEX(tEIdxElec,11)*INDEX(elecCnU,1,5)*convFactor)</f>
        <v>9364.975596101227</v>
      </c>
      <c r="P134" s="22">
        <f ca="1">ts2bElec*SUMPRODUCT(tpSurvCnU,INDEX(tEIdxElec,12)*INDEX(elecCnU,1,5)*convFactor)</f>
        <v>9350.929731371556</v>
      </c>
      <c r="Q134" s="22">
        <f ca="1">ts2bElec*SUMPRODUCT(tpSurvCnU,INDEX(tEIdxElec,13)*INDEX(elecCnU,1,5)*convFactor)</f>
        <v>9339.1113818885842</v>
      </c>
      <c r="R134" s="22">
        <f ca="1">ts2bElec*SUMPRODUCT(tpSurvCnU,INDEX(tEIdxElec,14)*INDEX(elecCnU,1,5)*convFactor)</f>
        <v>9330.3916282847131</v>
      </c>
      <c r="S134" s="22">
        <f ca="1">ts2bElec*SUMPRODUCT(tpSurvCnU,INDEX(tEIdxElec,15)*INDEX(elecCnU,1,5)*convFactor)</f>
        <v>9323.7462299229137</v>
      </c>
      <c r="T134" s="22">
        <f ca="1">ts2bElec*SUMPRODUCT(tpSurvCnU,INDEX(tEIdxElec,16)*INDEX(elecCnU,1,5)*convFactor)</f>
        <v>9322.9127397106258</v>
      </c>
      <c r="U134" s="22">
        <f ca="1">ts2bElec*SUMPRODUCT(tpSurvCnU,INDEX(tEIdxElec,17)*INDEX(elecCnU,1,5)*convFactor)</f>
        <v>9324.6184284866158</v>
      </c>
      <c r="V134" s="22">
        <f ca="1">ts2bElec*SUMPRODUCT(tpSurvCnU,INDEX(tEIdxElec,18)*INDEX(elecCnU,1,5)*convFactor)</f>
        <v>9327.1249027589547</v>
      </c>
      <c r="W134" s="22">
        <f ca="1">ts2bElec*SUMPRODUCT(tpSurvCnU,INDEX(tEIdxElec,19)*INDEX(elecCnU,1,5)*convFactor)</f>
        <v>9330.7095082362448</v>
      </c>
      <c r="X134" s="22">
        <f ca="1">ts2bElec*SUMPRODUCT(tpSurvCnU,INDEX(tEIdxElec,20)*INDEX(elecCnU,1,5)*convFactor)</f>
        <v>9334.0969219063682</v>
      </c>
      <c r="Y134" s="22">
        <f ca="1">ts2bElec*SUMPRODUCT(tpSurvCnU,INDEX(tEIdxElec,21)*INDEX(elecCnU,1,5)*convFactor)</f>
        <v>9336.903575244949</v>
      </c>
      <c r="Z134" s="22">
        <f ca="1">ts2bElec*SUMPRODUCT(tpSurvCnU,INDEX(tEIdxElec,22)*INDEX(elecCnU,1,5)*convFactor)</f>
        <v>9338.7844298073232</v>
      </c>
      <c r="AA134" s="22">
        <f ca="1">ts2bElec*SUMPRODUCT(tpSurvCnU,INDEX(tEIdxElec,23)*INDEX(elecCnU,1,5)*convFactor)</f>
        <v>9340.0240381660351</v>
      </c>
      <c r="AB134" s="22">
        <f ca="1">ts2bElec*SUMPRODUCT(tpSurvCnU,INDEX(tEIdxElec,24)*INDEX(elecCnU,1,5)*convFactor)</f>
        <v>9340.0240381660351</v>
      </c>
      <c r="AC134" s="22">
        <f ca="1">ts2bElec*SUMPRODUCT(tpSurvCnU,INDEX(tEIdxElec,25)*INDEX(elecCnU,1,5)*convFactor)</f>
        <v>9340.0240381660351</v>
      </c>
      <c r="AD134" s="22">
        <f ca="1">ts2bElec*SUMPRODUCT(tpSurvCnU,INDEX(tEIdxElec,26)*INDEX(elecCnU,1,5)*convFactor)</f>
        <v>9340.0240381660351</v>
      </c>
      <c r="AE134" s="22">
        <f ca="1">ts2bElec*SUMPRODUCT(tpSurvCnU,INDEX(tEIdxElec,27)*INDEX(elecCnU,1,5)*convFactor)</f>
        <v>9340.0240381660351</v>
      </c>
      <c r="AF134" s="22">
        <f ca="1">ts2bElec*SUMPRODUCT(tpSurvCnU,INDEX(tEIdxElec,28)*INDEX(elecCnU,1,5)*convFactor)</f>
        <v>9340.0240381660351</v>
      </c>
      <c r="AG134" s="22">
        <f ca="1">ts2bElec*SUMPRODUCT(tpSurvCnU,INDEX(tEIdxElec,29)*INDEX(elecCnU,1,5)*convFactor)</f>
        <v>9340.0240381660351</v>
      </c>
      <c r="AH134" s="22">
        <f ca="1">ts2bElec*SUMPRODUCT(tpSurvCnU,INDEX(tEIdxElec,30)*INDEX(elecCnU,1,5)*convFactor)</f>
        <v>9340.0240381660351</v>
      </c>
      <c r="AI134" s="22">
        <f ca="1">ts2bElec*SUMPRODUCT(tpSurvCnU,INDEX(tEIdxElec,31)*INDEX(elecCnU,1,5)*convFactor)</f>
        <v>9340.0240381660351</v>
      </c>
      <c r="AJ134" s="22">
        <f ca="1">ts2bElec*SUMPRODUCT(tpSurvCnU,INDEX(tEIdxElec,32)*INDEX(elecCnU,1,5)*convFactor)</f>
        <v>9340.0240381660351</v>
      </c>
      <c r="AK134" s="25">
        <f ca="1">ts2bElec*SUMPRODUCT(tpSurvCnU,INDEX(tEIdxElec,33)*INDEX(elecCnU,1,5)*convFactor)</f>
        <v>9340.0240381660351</v>
      </c>
      <c r="AL134" s="3"/>
    </row>
    <row r="135" spans="2:38">
      <c r="B135" s="3"/>
      <c r="C135" s="30" t="str">
        <f>"EL 5: " &amp; INDEX(_doName,4,6)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(1+INDEX(vadCnU,1,6))*INDEX(mspCnU,1,6)*tPIdxAll + INDEX(instCnU,1,6) + SUMPRODUCT(dFactor,tpSurvCnU,INDEX(mrCnU,1,6)*allOnes)</f>
        <v>1745.2063800000001</v>
      </c>
      <c r="F136" s="28">
        <f ca="1"/>
        <v>1745.2063800000001</v>
      </c>
      <c r="G136" s="28">
        <f ca="1"/>
        <v>1745.2063800000001</v>
      </c>
      <c r="H136" s="28">
        <f ca="1"/>
        <v>1745.2063800000001</v>
      </c>
      <c r="I136" s="28">
        <f ca="1"/>
        <v>1745.2063800000001</v>
      </c>
      <c r="J136" s="28">
        <f ca="1"/>
        <v>1745.2063800000001</v>
      </c>
      <c r="K136" s="28">
        <f ca="1"/>
        <v>1745.2063800000001</v>
      </c>
      <c r="L136" s="28">
        <f ca="1"/>
        <v>1745.2063800000001</v>
      </c>
      <c r="M136" s="28">
        <f ca="1"/>
        <v>1745.2063800000001</v>
      </c>
      <c r="N136" s="28">
        <f ca="1"/>
        <v>1745.2063800000001</v>
      </c>
      <c r="O136" s="28">
        <f ca="1"/>
        <v>1745.2063800000001</v>
      </c>
      <c r="P136" s="28">
        <f ca="1"/>
        <v>1745.2063800000001</v>
      </c>
      <c r="Q136" s="28">
        <f ca="1"/>
        <v>1745.2063800000001</v>
      </c>
      <c r="R136" s="28">
        <f ca="1"/>
        <v>1745.2063800000001</v>
      </c>
      <c r="S136" s="28">
        <f ca="1"/>
        <v>1745.2063800000001</v>
      </c>
      <c r="T136" s="28">
        <f ca="1"/>
        <v>1745.2063800000001</v>
      </c>
      <c r="U136" s="28">
        <f ca="1"/>
        <v>1745.2063800000001</v>
      </c>
      <c r="V136" s="28">
        <f ca="1"/>
        <v>1745.2063800000001</v>
      </c>
      <c r="W136" s="28">
        <f ca="1"/>
        <v>1745.2063800000001</v>
      </c>
      <c r="X136" s="28">
        <f ca="1"/>
        <v>1745.2063800000001</v>
      </c>
      <c r="Y136" s="28">
        <f ca="1"/>
        <v>1745.2063800000001</v>
      </c>
      <c r="Z136" s="28">
        <f ca="1"/>
        <v>1745.2063800000001</v>
      </c>
      <c r="AA136" s="28">
        <f ca="1"/>
        <v>1745.2063800000001</v>
      </c>
      <c r="AB136" s="28">
        <f ca="1"/>
        <v>1745.2063800000001</v>
      </c>
      <c r="AC136" s="28">
        <f ca="1"/>
        <v>1745.2063800000001</v>
      </c>
      <c r="AD136" s="28">
        <f ca="1"/>
        <v>1745.2063800000001</v>
      </c>
      <c r="AE136" s="28">
        <f ca="1"/>
        <v>1745.2063800000001</v>
      </c>
      <c r="AF136" s="28">
        <f ca="1"/>
        <v>1745.2063800000001</v>
      </c>
      <c r="AG136" s="28">
        <f ca="1"/>
        <v>1745.2063800000001</v>
      </c>
      <c r="AH136" s="28">
        <f ca="1"/>
        <v>1745.2063800000001</v>
      </c>
      <c r="AI136" s="28">
        <f ca="1"/>
        <v>1745.2063800000001</v>
      </c>
      <c r="AJ136" s="28">
        <f ca="1"/>
        <v>1745.2063800000001</v>
      </c>
      <c r="AK136" s="29">
        <f ca="1"/>
        <v>1745.2063800000001</v>
      </c>
      <c r="AL136" s="3"/>
    </row>
    <row r="137" spans="2:38">
      <c r="B137" s="3"/>
      <c r="C137" s="23" t="s">
        <v>47</v>
      </c>
      <c r="D137" s="16" t="str">
        <f>_yearDol &amp; "$"</f>
        <v>2013$</v>
      </c>
      <c r="E137" s="141">
        <f t="array" aca="1" ref="E137:AK137" ca="1">(tlccEFubcElec5)</f>
        <v>33332.157748538812</v>
      </c>
      <c r="F137" s="28">
        <f ca="1"/>
        <v>33478.991308950419</v>
      </c>
      <c r="G137" s="28">
        <f ca="1"/>
        <v>33608.879657034835</v>
      </c>
      <c r="H137" s="28">
        <f ca="1"/>
        <v>33750.594812817988</v>
      </c>
      <c r="I137" s="28">
        <f ca="1"/>
        <v>33874.952611366942</v>
      </c>
      <c r="J137" s="28">
        <f ca="1"/>
        <v>34010.74598919788</v>
      </c>
      <c r="K137" s="28">
        <f ca="1"/>
        <v>34128.863009850524</v>
      </c>
      <c r="L137" s="28">
        <f ca="1"/>
        <v>34257.93637644776</v>
      </c>
      <c r="M137" s="28">
        <f ca="1"/>
        <v>34398.853277121343</v>
      </c>
      <c r="N137" s="28">
        <f ca="1"/>
        <v>34522.398867979689</v>
      </c>
      <c r="O137" s="28">
        <f ca="1"/>
        <v>34657.365626751292</v>
      </c>
      <c r="P137" s="28">
        <f ca="1"/>
        <v>34804.622404652087</v>
      </c>
      <c r="Q137" s="28">
        <f ca="1"/>
        <v>34934.994350048866</v>
      </c>
      <c r="R137" s="28">
        <f ca="1"/>
        <v>35077.369422013544</v>
      </c>
      <c r="S137" s="28">
        <f ca="1"/>
        <v>35202.531026804601</v>
      </c>
      <c r="T137" s="28">
        <f ca="1"/>
        <v>35339.323063134296</v>
      </c>
      <c r="U137" s="28">
        <f ca="1"/>
        <v>35488.548423598106</v>
      </c>
      <c r="V137" s="28">
        <f ca="1"/>
        <v>35621.107164884728</v>
      </c>
      <c r="W137" s="28">
        <f ca="1"/>
        <v>35765.901120416995</v>
      </c>
      <c r="X137" s="28">
        <f ca="1"/>
        <v>35893.674397637937</v>
      </c>
      <c r="Y137" s="28">
        <f ca="1"/>
        <v>36033.397997686916</v>
      </c>
      <c r="Z137" s="28">
        <f ca="1"/>
        <v>36185.773478455143</v>
      </c>
      <c r="AA137" s="28">
        <f ca="1"/>
        <v>36321.845235997564</v>
      </c>
      <c r="AB137" s="28">
        <f ca="1"/>
        <v>36470.323232645766</v>
      </c>
      <c r="AC137" s="28">
        <f ca="1"/>
        <v>36602.166191519827</v>
      </c>
      <c r="AD137" s="28">
        <f ca="1"/>
        <v>36746.233332644995</v>
      </c>
      <c r="AE137" s="28">
        <f ca="1"/>
        <v>36903.240171358811</v>
      </c>
      <c r="AF137" s="28">
        <f ca="1"/>
        <v>37044.434096712648</v>
      </c>
      <c r="AG137" s="28">
        <f ca="1"/>
        <v>37198.443294922348</v>
      </c>
      <c r="AH137" s="28">
        <f ca="1"/>
        <v>37336.35147763155</v>
      </c>
      <c r="AI137" s="28">
        <f ca="1"/>
        <v>37486.914380509959</v>
      </c>
      <c r="AJ137" s="28">
        <f ca="1"/>
        <v>37621.11715023141</v>
      </c>
      <c r="AK137" s="29">
        <f ca="1"/>
        <v>37767.759736964574</v>
      </c>
      <c r="AL137" s="3"/>
    </row>
    <row r="138" spans="2:38">
      <c r="B138" s="3"/>
      <c r="C138" s="27" t="str">
        <f>INDEX(_fuel,1)</f>
        <v>Electricity</v>
      </c>
      <c r="D138" s="16" t="str">
        <f>_yearDol &amp; "$"</f>
        <v>2013$</v>
      </c>
      <c r="E138" s="141">
        <f ca="1">SUMPRODUCT(dFactor,tpSurvCnU,INDEX(tEIdxElec,1)*INDEX(elecCnU,1,6)*allOnes,OFFSET(tPrcElec,0,0,1,_maxLT))</f>
        <v>33332.157748538812</v>
      </c>
      <c r="F138" s="28">
        <f ca="1">SUMPRODUCT(dFactor,tpSurvCnU,INDEX(tEIdxElec,2)*INDEX(elecCnU,1,6)*allOnes,OFFSET(tPrcElec,0,1,1,_maxLT))</f>
        <v>33478.991308950419</v>
      </c>
      <c r="G138" s="28">
        <f ca="1">SUMPRODUCT(dFactor,tpSurvCnU,INDEX(tEIdxElec,3)*INDEX(elecCnU,1,6)*allOnes,OFFSET(tPrcElec,0,2,1,_maxLT))</f>
        <v>33608.879657034835</v>
      </c>
      <c r="H138" s="28">
        <f ca="1">SUMPRODUCT(dFactor,tpSurvCnU,INDEX(tEIdxElec,4)*INDEX(elecCnU,1,6)*allOnes,OFFSET(tPrcElec,0,3,1,_maxLT))</f>
        <v>33750.594812817988</v>
      </c>
      <c r="I138" s="28">
        <f ca="1">SUMPRODUCT(dFactor,tpSurvCnU,INDEX(tEIdxElec,5)*INDEX(elecCnU,1,6)*allOnes,OFFSET(tPrcElec,0,4,1,_maxLT))</f>
        <v>33874.952611366942</v>
      </c>
      <c r="J138" s="28">
        <f ca="1">SUMPRODUCT(dFactor,tpSurvCnU,INDEX(tEIdxElec,6)*INDEX(elecCnU,1,6)*allOnes,OFFSET(tPrcElec,0,5,1,_maxLT))</f>
        <v>34010.74598919788</v>
      </c>
      <c r="K138" s="28">
        <f ca="1">SUMPRODUCT(dFactor,tpSurvCnU,INDEX(tEIdxElec,7)*INDEX(elecCnU,1,6)*allOnes,OFFSET(tPrcElec,0,6,1,_maxLT))</f>
        <v>34128.863009850524</v>
      </c>
      <c r="L138" s="28">
        <f ca="1">SUMPRODUCT(dFactor,tpSurvCnU,INDEX(tEIdxElec,8)*INDEX(elecCnU,1,6)*allOnes,OFFSET(tPrcElec,0,7,1,_maxLT))</f>
        <v>34257.93637644776</v>
      </c>
      <c r="M138" s="28">
        <f ca="1">SUMPRODUCT(dFactor,tpSurvCnU,INDEX(tEIdxElec,9)*INDEX(elecCnU,1,6)*allOnes,OFFSET(tPrcElec,0,8,1,_maxLT))</f>
        <v>34398.853277121343</v>
      </c>
      <c r="N138" s="28">
        <f ca="1">SUMPRODUCT(dFactor,tpSurvCnU,INDEX(tEIdxElec,10)*INDEX(elecCnU,1,6)*allOnes,OFFSET(tPrcElec,0,9,1,_maxLT))</f>
        <v>34522.398867979689</v>
      </c>
      <c r="O138" s="28">
        <f ca="1">SUMPRODUCT(dFactor,tpSurvCnU,INDEX(tEIdxElec,11)*INDEX(elecCnU,1,6)*allOnes,OFFSET(tPrcElec,0,10,1,_maxLT))</f>
        <v>34657.365626751292</v>
      </c>
      <c r="P138" s="28">
        <f ca="1">SUMPRODUCT(dFactor,tpSurvCnU,INDEX(tEIdxElec,12)*INDEX(elecCnU,1,6)*allOnes,OFFSET(tPrcElec,0,11,1,_maxLT))</f>
        <v>34804.622404652087</v>
      </c>
      <c r="Q138" s="28">
        <f ca="1">SUMPRODUCT(dFactor,tpSurvCnU,INDEX(tEIdxElec,13)*INDEX(elecCnU,1,6)*allOnes,OFFSET(tPrcElec,0,12,1,_maxLT))</f>
        <v>34934.994350048866</v>
      </c>
      <c r="R138" s="28">
        <f ca="1">SUMPRODUCT(dFactor,tpSurvCnU,INDEX(tEIdxElec,14)*INDEX(elecCnU,1,6)*allOnes,OFFSET(tPrcElec,0,13,1,_maxLT))</f>
        <v>35077.369422013544</v>
      </c>
      <c r="S138" s="28">
        <f ca="1">SUMPRODUCT(dFactor,tpSurvCnU,INDEX(tEIdxElec,15)*INDEX(elecCnU,1,6)*allOnes,OFFSET(tPrcElec,0,14,1,_maxLT))</f>
        <v>35202.531026804601</v>
      </c>
      <c r="T138" s="28">
        <f ca="1">SUMPRODUCT(dFactor,tpSurvCnU,INDEX(tEIdxElec,16)*INDEX(elecCnU,1,6)*allOnes,OFFSET(tPrcElec,0,15,1,_maxLT))</f>
        <v>35339.323063134296</v>
      </c>
      <c r="U138" s="28">
        <f ca="1">SUMPRODUCT(dFactor,tpSurvCnU,INDEX(tEIdxElec,17)*INDEX(elecCnU,1,6)*allOnes,OFFSET(tPrcElec,0,16,1,_maxLT))</f>
        <v>35488.548423598106</v>
      </c>
      <c r="V138" s="28">
        <f ca="1">SUMPRODUCT(dFactor,tpSurvCnU,INDEX(tEIdxElec,18)*INDEX(elecCnU,1,6)*allOnes,OFFSET(tPrcElec,0,17,1,_maxLT))</f>
        <v>35621.107164884728</v>
      </c>
      <c r="W138" s="28">
        <f ca="1">SUMPRODUCT(dFactor,tpSurvCnU,INDEX(tEIdxElec,19)*INDEX(elecCnU,1,6)*allOnes,OFFSET(tPrcElec,0,18,1,_maxLT))</f>
        <v>35765.901120416995</v>
      </c>
      <c r="X138" s="28">
        <f ca="1">SUMPRODUCT(dFactor,tpSurvCnU,INDEX(tEIdxElec,20)*INDEX(elecCnU,1,6)*allOnes,OFFSET(tPrcElec,0,19,1,_maxLT))</f>
        <v>35893.674397637937</v>
      </c>
      <c r="Y138" s="28">
        <f ca="1">SUMPRODUCT(dFactor,tpSurvCnU,INDEX(tEIdxElec,21)*INDEX(elecCnU,1,6)*allOnes,OFFSET(tPrcElec,0,20,1,_maxLT))</f>
        <v>36033.397997686916</v>
      </c>
      <c r="Z138" s="28">
        <f ca="1">SUMPRODUCT(dFactor,tpSurvCnU,INDEX(tEIdxElec,22)*INDEX(elecCnU,1,6)*allOnes,OFFSET(tPrcElec,0,21,1,_maxLT))</f>
        <v>36185.773478455143</v>
      </c>
      <c r="AA138" s="28">
        <f ca="1">SUMPRODUCT(dFactor,tpSurvCnU,INDEX(tEIdxElec,23)*INDEX(elecCnU,1,6)*allOnes,OFFSET(tPrcElec,0,22,1,_maxLT))</f>
        <v>36321.845235997564</v>
      </c>
      <c r="AB138" s="28">
        <f ca="1">SUMPRODUCT(dFactor,tpSurvCnU,INDEX(tEIdxElec,24)*INDEX(elecCnU,1,6)*allOnes,OFFSET(tPrcElec,0,23,1,_maxLT))</f>
        <v>36470.323232645766</v>
      </c>
      <c r="AC138" s="28">
        <f ca="1">SUMPRODUCT(dFactor,tpSurvCnU,INDEX(tEIdxElec,25)*INDEX(elecCnU,1,6)*allOnes,OFFSET(tPrcElec,0,24,1,_maxLT))</f>
        <v>36602.166191519827</v>
      </c>
      <c r="AD138" s="28">
        <f ca="1">SUMPRODUCT(dFactor,tpSurvCnU,INDEX(tEIdxElec,26)*INDEX(elecCnU,1,6)*allOnes,OFFSET(tPrcElec,0,25,1,_maxLT))</f>
        <v>36746.233332644995</v>
      </c>
      <c r="AE138" s="28">
        <f ca="1">SUMPRODUCT(dFactor,tpSurvCnU,INDEX(tEIdxElec,27)*INDEX(elecCnU,1,6)*allOnes,OFFSET(tPrcElec,0,26,1,_maxLT))</f>
        <v>36903.240171358811</v>
      </c>
      <c r="AF138" s="28">
        <f ca="1">SUMPRODUCT(dFactor,tpSurvCnU,INDEX(tEIdxElec,28)*INDEX(elecCnU,1,6)*allOnes,OFFSET(tPrcElec,0,27,1,_maxLT))</f>
        <v>37044.434096712648</v>
      </c>
      <c r="AG138" s="28">
        <f ca="1">SUMPRODUCT(dFactor,tpSurvCnU,INDEX(tEIdxElec,29)*INDEX(elecCnU,1,6)*allOnes,OFFSET(tPrcElec,0,28,1,_maxLT))</f>
        <v>37198.443294922348</v>
      </c>
      <c r="AH138" s="28">
        <f ca="1">SUMPRODUCT(dFactor,tpSurvCnU,INDEX(tEIdxElec,30)*INDEX(elecCnU,1,6)*allOnes,OFFSET(tPrcElec,0,29,1,_maxLT))</f>
        <v>37336.35147763155</v>
      </c>
      <c r="AI138" s="28">
        <f ca="1">SUMPRODUCT(dFactor,tpSurvCnU,INDEX(tEIdxElec,31)*INDEX(elecCnU,1,6)*allOnes,OFFSET(tPrcElec,0,30,1,_maxLT))</f>
        <v>37486.914380509959</v>
      </c>
      <c r="AJ138" s="28">
        <f ca="1">SUMPRODUCT(dFactor,tpSurvCnU,INDEX(tEIdxElec,32)*INDEX(elecCnU,1,6)*allOnes,OFFSET(tPrcElec,0,31,1,_maxLT))</f>
        <v>37621.11715023141</v>
      </c>
      <c r="AK138" s="29">
        <f ca="1">SUMPRODUCT(dFactor,tpSurvCnU,INDEX(tEIdxElec,33)*INDEX(elecCnU,1,6)*allOnes,OFFSET(tPrcElec,0,32,1,_maxLT))</f>
        <v>37767.759736964574</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ts2bElec*SUMPRODUCT(tpSurvCnU,INDEX(tEIdxElec,1)*INDEX(elecCnU,1,6)*convFactor)</f>
        <v>7078.8380093212836</v>
      </c>
      <c r="F140" s="22">
        <f ca="1">ts2bElec*SUMPRODUCT(tpSurvCnU,INDEX(tEIdxElec,2)*INDEX(elecCnU,1,6)*convFactor)</f>
        <v>7025.7065866124849</v>
      </c>
      <c r="G140" s="22">
        <f ca="1">ts2bElec*SUMPRODUCT(tpSurvCnU,INDEX(tEIdxElec,3)*INDEX(elecCnU,1,6)*convFactor)</f>
        <v>6972.1842071815026</v>
      </c>
      <c r="H140" s="22">
        <f ca="1">ts2bElec*SUMPRODUCT(tpSurvCnU,INDEX(tEIdxElec,4)*INDEX(elecCnU,1,6)*convFactor)</f>
        <v>6925.1991657738618</v>
      </c>
      <c r="I140" s="22">
        <f ca="1">ts2bElec*SUMPRODUCT(tpSurvCnU,INDEX(tEIdxElec,5)*INDEX(elecCnU,1,6)*convFactor)</f>
        <v>6880.6509582940926</v>
      </c>
      <c r="J140" s="22">
        <f ca="1">ts2bElec*SUMPRODUCT(tpSurvCnU,INDEX(tEIdxElec,6)*INDEX(elecCnU,1,6)*convFactor)</f>
        <v>6841.8709626855316</v>
      </c>
      <c r="K140" s="22">
        <f ca="1">ts2bElec*SUMPRODUCT(tpSurvCnU,INDEX(tEIdxElec,7)*INDEX(elecCnU,1,6)*convFactor)</f>
        <v>6811.8025597360911</v>
      </c>
      <c r="L140" s="22">
        <f ca="1">ts2bElec*SUMPRODUCT(tpSurvCnU,INDEX(tEIdxElec,8)*INDEX(elecCnU,1,6)*convFactor)</f>
        <v>6786.8857047171596</v>
      </c>
      <c r="M140" s="22">
        <f ca="1">ts2bElec*SUMPRODUCT(tpSurvCnU,INDEX(tEIdxElec,9)*INDEX(elecCnU,1,6)*convFactor)</f>
        <v>6761.8575123615847</v>
      </c>
      <c r="N140" s="22">
        <f ca="1">ts2bElec*SUMPRODUCT(tpSurvCnU,INDEX(tEIdxElec,10)*INDEX(elecCnU,1,6)*convFactor)</f>
        <v>6741.8406002497968</v>
      </c>
      <c r="O140" s="22">
        <f ca="1">ts2bElec*SUMPRODUCT(tpSurvCnU,INDEX(tEIdxElec,11)*INDEX(elecCnU,1,6)*convFactor)</f>
        <v>6728.053534862067</v>
      </c>
      <c r="P140" s="22">
        <f ca="1">ts2bElec*SUMPRODUCT(tpSurvCnU,INDEX(tEIdxElec,12)*INDEX(elecCnU,1,6)*convFactor)</f>
        <v>6717.962603083879</v>
      </c>
      <c r="Q140" s="22">
        <f ca="1">ts2bElec*SUMPRODUCT(tpSurvCnU,INDEX(tEIdxElec,13)*INDEX(elecCnU,1,6)*convFactor)</f>
        <v>6709.4719789280352</v>
      </c>
      <c r="R140" s="22">
        <f ca="1">ts2bElec*SUMPRODUCT(tpSurvCnU,INDEX(tEIdxElec,14)*INDEX(elecCnU,1,6)*convFactor)</f>
        <v>6703.2074704458064</v>
      </c>
      <c r="S140" s="22">
        <f ca="1">ts2bElec*SUMPRODUCT(tpSurvCnU,INDEX(tEIdxElec,15)*INDEX(elecCnU,1,6)*convFactor)</f>
        <v>6698.4332352670954</v>
      </c>
      <c r="T140" s="22">
        <f ca="1">ts2bElec*SUMPRODUCT(tpSurvCnU,INDEX(tEIdxElec,16)*INDEX(elecCnU,1,6)*convFactor)</f>
        <v>6697.8344331974577</v>
      </c>
      <c r="U140" s="22">
        <f ca="1">ts2bElec*SUMPRODUCT(tpSurvCnU,INDEX(tEIdxElec,17)*INDEX(elecCnU,1,6)*convFactor)</f>
        <v>6699.05984647066</v>
      </c>
      <c r="V140" s="22">
        <f ca="1">ts2bElec*SUMPRODUCT(tpSurvCnU,INDEX(tEIdxElec,18)*INDEX(elecCnU,1,6)*convFactor)</f>
        <v>6700.8605658548158</v>
      </c>
      <c r="W140" s="22">
        <f ca="1">ts2bElec*SUMPRODUCT(tpSurvCnU,INDEX(tEIdxElec,19)*INDEX(elecCnU,1,6)*convFactor)</f>
        <v>6703.4358440608376</v>
      </c>
      <c r="X140" s="22">
        <f ca="1">ts2bElec*SUMPRODUCT(tpSurvCnU,INDEX(tEIdxElec,20)*INDEX(elecCnU,1,6)*convFactor)</f>
        <v>6705.869454301831</v>
      </c>
      <c r="Y140" s="22">
        <f ca="1">ts2bElec*SUMPRODUCT(tpSurvCnU,INDEX(tEIdxElec,21)*INDEX(elecCnU,1,6)*convFactor)</f>
        <v>6707.8858305029207</v>
      </c>
      <c r="Z140" s="22">
        <f ca="1">ts2bElec*SUMPRODUCT(tpSurvCnU,INDEX(tEIdxElec,22)*INDEX(elecCnU,1,6)*convFactor)</f>
        <v>6709.2370876479163</v>
      </c>
      <c r="AA140" s="22">
        <f ca="1">ts2bElec*SUMPRODUCT(tpSurvCnU,INDEX(tEIdxElec,23)*INDEX(elecCnU,1,6)*convFactor)</f>
        <v>6710.1276560550732</v>
      </c>
      <c r="AB140" s="22">
        <f ca="1">ts2bElec*SUMPRODUCT(tpSurvCnU,INDEX(tEIdxElec,24)*INDEX(elecCnU,1,6)*convFactor)</f>
        <v>6710.1276560550732</v>
      </c>
      <c r="AC140" s="22">
        <f ca="1">ts2bElec*SUMPRODUCT(tpSurvCnU,INDEX(tEIdxElec,25)*INDEX(elecCnU,1,6)*convFactor)</f>
        <v>6710.1276560550732</v>
      </c>
      <c r="AD140" s="22">
        <f ca="1">ts2bElec*SUMPRODUCT(tpSurvCnU,INDEX(tEIdxElec,26)*INDEX(elecCnU,1,6)*convFactor)</f>
        <v>6710.1276560550732</v>
      </c>
      <c r="AE140" s="22">
        <f ca="1">ts2bElec*SUMPRODUCT(tpSurvCnU,INDEX(tEIdxElec,27)*INDEX(elecCnU,1,6)*convFactor)</f>
        <v>6710.1276560550732</v>
      </c>
      <c r="AF140" s="22">
        <f ca="1">ts2bElec*SUMPRODUCT(tpSurvCnU,INDEX(tEIdxElec,28)*INDEX(elecCnU,1,6)*convFactor)</f>
        <v>6710.1276560550732</v>
      </c>
      <c r="AG140" s="22">
        <f ca="1">ts2bElec*SUMPRODUCT(tpSurvCnU,INDEX(tEIdxElec,29)*INDEX(elecCnU,1,6)*convFactor)</f>
        <v>6710.1276560550732</v>
      </c>
      <c r="AH140" s="22">
        <f ca="1">ts2bElec*SUMPRODUCT(tpSurvCnU,INDEX(tEIdxElec,30)*INDEX(elecCnU,1,6)*convFactor)</f>
        <v>6710.1276560550732</v>
      </c>
      <c r="AI140" s="22">
        <f ca="1">ts2bElec*SUMPRODUCT(tpSurvCnU,INDEX(tEIdxElec,31)*INDEX(elecCnU,1,6)*convFactor)</f>
        <v>6710.1276560550732</v>
      </c>
      <c r="AJ140" s="22">
        <f ca="1">ts2bElec*SUMPRODUCT(tpSurvCnU,INDEX(tEIdxElec,32)*INDEX(elecCnU,1,6)*convFactor)</f>
        <v>6710.1276560550732</v>
      </c>
      <c r="AK140" s="25">
        <f ca="1">ts2bElec*SUMPRODUCT(tpSurvCnU,INDEX(tEIdxElec,33)*INDEX(elecCnU,1,6)*convFactor)</f>
        <v>6710.1276560550732</v>
      </c>
      <c r="AL140" s="3"/>
    </row>
    <row r="141" spans="2:38">
      <c r="B141" s="3"/>
      <c r="C141" s="30" t="str">
        <f>"EL 6: " &amp; INDEX(_doName,4,7)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(1+INDEX(vadCnU,1,7))*INDEX(mspCnU,1,7)*tPIdxAll + INDEX(instCnU,1,7) + SUMPRODUCT(dFactor,tpSurvCnU,INDEX(mrCnU,1,7)*allOnes)</f>
        <v>1768.2513120000001</v>
      </c>
      <c r="F142" s="28">
        <f ca="1"/>
        <v>1768.2513120000001</v>
      </c>
      <c r="G142" s="28">
        <f ca="1"/>
        <v>1768.2513120000001</v>
      </c>
      <c r="H142" s="28">
        <f ca="1"/>
        <v>1768.2513120000001</v>
      </c>
      <c r="I142" s="28">
        <f ca="1"/>
        <v>1768.2513120000001</v>
      </c>
      <c r="J142" s="28">
        <f ca="1"/>
        <v>1768.2513120000001</v>
      </c>
      <c r="K142" s="28">
        <f ca="1"/>
        <v>1768.2513120000001</v>
      </c>
      <c r="L142" s="28">
        <f ca="1"/>
        <v>1768.2513120000001</v>
      </c>
      <c r="M142" s="28">
        <f ca="1"/>
        <v>1768.2513120000001</v>
      </c>
      <c r="N142" s="28">
        <f ca="1"/>
        <v>1768.2513120000001</v>
      </c>
      <c r="O142" s="28">
        <f ca="1"/>
        <v>1768.2513120000001</v>
      </c>
      <c r="P142" s="28">
        <f ca="1"/>
        <v>1768.2513120000001</v>
      </c>
      <c r="Q142" s="28">
        <f ca="1"/>
        <v>1768.2513120000001</v>
      </c>
      <c r="R142" s="28">
        <f ca="1"/>
        <v>1768.2513120000001</v>
      </c>
      <c r="S142" s="28">
        <f ca="1"/>
        <v>1768.2513120000001</v>
      </c>
      <c r="T142" s="28">
        <f ca="1"/>
        <v>1768.2513120000001</v>
      </c>
      <c r="U142" s="28">
        <f ca="1"/>
        <v>1768.2513120000001</v>
      </c>
      <c r="V142" s="28">
        <f ca="1"/>
        <v>1768.2513120000001</v>
      </c>
      <c r="W142" s="28">
        <f ca="1"/>
        <v>1768.2513120000001</v>
      </c>
      <c r="X142" s="28">
        <f ca="1"/>
        <v>1768.2513120000001</v>
      </c>
      <c r="Y142" s="28">
        <f ca="1"/>
        <v>1768.2513120000001</v>
      </c>
      <c r="Z142" s="28">
        <f ca="1"/>
        <v>1768.2513120000001</v>
      </c>
      <c r="AA142" s="28">
        <f ca="1"/>
        <v>1768.2513120000001</v>
      </c>
      <c r="AB142" s="28">
        <f ca="1"/>
        <v>1768.2513120000001</v>
      </c>
      <c r="AC142" s="28">
        <f ca="1"/>
        <v>1768.2513120000001</v>
      </c>
      <c r="AD142" s="28">
        <f ca="1"/>
        <v>1768.2513120000001</v>
      </c>
      <c r="AE142" s="28">
        <f ca="1"/>
        <v>1768.2513120000001</v>
      </c>
      <c r="AF142" s="28">
        <f ca="1"/>
        <v>1768.2513120000001</v>
      </c>
      <c r="AG142" s="28">
        <f ca="1"/>
        <v>1768.2513120000001</v>
      </c>
      <c r="AH142" s="28">
        <f ca="1"/>
        <v>1768.2513120000001</v>
      </c>
      <c r="AI142" s="28">
        <f ca="1"/>
        <v>1768.2513120000001</v>
      </c>
      <c r="AJ142" s="28">
        <f ca="1"/>
        <v>1768.2513120000001</v>
      </c>
      <c r="AK142" s="29">
        <f ca="1"/>
        <v>1768.2513120000001</v>
      </c>
      <c r="AL142" s="3"/>
    </row>
    <row r="143" spans="2:38">
      <c r="B143" s="3"/>
      <c r="C143" s="23" t="s">
        <v>47</v>
      </c>
      <c r="D143" s="16" t="str">
        <f>_yearDol &amp; "$"</f>
        <v>2013$</v>
      </c>
      <c r="E143" s="141">
        <f t="array" aca="1" ref="E143:AK143" ca="1">(tlccEFubcElec6)</f>
        <v>41346.217347511236</v>
      </c>
      <c r="F143" s="28">
        <f ca="1"/>
        <v>41528.35414010915</v>
      </c>
      <c r="G143" s="28">
        <f ca="1"/>
        <v>41689.471578449688</v>
      </c>
      <c r="H143" s="28">
        <f ca="1"/>
        <v>41865.259347025923</v>
      </c>
      <c r="I143" s="28">
        <f ca="1"/>
        <v>42019.516524327577</v>
      </c>
      <c r="J143" s="28">
        <f ca="1"/>
        <v>42187.958740295369</v>
      </c>
      <c r="K143" s="28">
        <f ca="1"/>
        <v>42334.474667802606</v>
      </c>
      <c r="L143" s="28">
        <f ca="1"/>
        <v>42494.581178439083</v>
      </c>
      <c r="M143" s="28">
        <f ca="1"/>
        <v>42669.378767216316</v>
      </c>
      <c r="N143" s="28">
        <f ca="1"/>
        <v>42822.628457515129</v>
      </c>
      <c r="O143" s="28">
        <f ca="1"/>
        <v>42990.045310182155</v>
      </c>
      <c r="P143" s="28">
        <f ca="1"/>
        <v>43172.707074563383</v>
      </c>
      <c r="Q143" s="28">
        <f ca="1"/>
        <v>43334.424381647368</v>
      </c>
      <c r="R143" s="28">
        <f ca="1"/>
        <v>43511.030730229082</v>
      </c>
      <c r="S143" s="28">
        <f ca="1"/>
        <v>43666.284973122543</v>
      </c>
      <c r="T143" s="28">
        <f ca="1"/>
        <v>43835.965955318898</v>
      </c>
      <c r="U143" s="28">
        <f ca="1"/>
        <v>44021.069609095059</v>
      </c>
      <c r="V143" s="28">
        <f ca="1"/>
        <v>44185.499483989377</v>
      </c>
      <c r="W143" s="28">
        <f ca="1"/>
        <v>44365.106288961535</v>
      </c>
      <c r="X143" s="28">
        <f ca="1"/>
        <v>44523.600129385442</v>
      </c>
      <c r="Y143" s="28">
        <f ca="1"/>
        <v>44696.917511949847</v>
      </c>
      <c r="Z143" s="28">
        <f ca="1"/>
        <v>44885.928670297362</v>
      </c>
      <c r="AA143" s="28">
        <f ca="1"/>
        <v>45054.716196885071</v>
      </c>
      <c r="AB143" s="28">
        <f ca="1"/>
        <v>45238.892797963606</v>
      </c>
      <c r="AC143" s="28">
        <f ca="1"/>
        <v>45402.43479468851</v>
      </c>
      <c r="AD143" s="28">
        <f ca="1"/>
        <v>45581.140037071404</v>
      </c>
      <c r="AE143" s="28">
        <f ca="1"/>
        <v>45775.896071993629</v>
      </c>
      <c r="AF143" s="28">
        <f ca="1"/>
        <v>45951.037290569046</v>
      </c>
      <c r="AG143" s="28">
        <f ca="1"/>
        <v>46142.074961479273</v>
      </c>
      <c r="AH143" s="28">
        <f ca="1"/>
        <v>46313.140445427547</v>
      </c>
      <c r="AI143" s="28">
        <f ca="1"/>
        <v>46499.90322729863</v>
      </c>
      <c r="AJ143" s="28">
        <f ca="1"/>
        <v>46666.372404823895</v>
      </c>
      <c r="AK143" s="29">
        <f ca="1"/>
        <v>46848.272307890817</v>
      </c>
      <c r="AL143" s="3"/>
    </row>
    <row r="144" spans="2:38">
      <c r="B144" s="3"/>
      <c r="C144" s="27" t="str">
        <f>INDEX(_fuel,1)</f>
        <v>Electricity</v>
      </c>
      <c r="D144" s="16" t="str">
        <f>_yearDol &amp; "$"</f>
        <v>2013$</v>
      </c>
      <c r="E144" s="141">
        <f ca="1">SUMPRODUCT(dFactor,tpSurvCnU,INDEX(tEIdxElec,1)*INDEX(elecCnU,1,7)*allOnes,OFFSET(tPrcElec,0,0,1,_maxLT))</f>
        <v>41346.217347511236</v>
      </c>
      <c r="F144" s="28">
        <f ca="1">SUMPRODUCT(dFactor,tpSurvCnU,INDEX(tEIdxElec,2)*INDEX(elecCnU,1,7)*allOnes,OFFSET(tPrcElec,0,1,1,_maxLT))</f>
        <v>41528.35414010915</v>
      </c>
      <c r="G144" s="28">
        <f ca="1">SUMPRODUCT(dFactor,tpSurvCnU,INDEX(tEIdxElec,3)*INDEX(elecCnU,1,7)*allOnes,OFFSET(tPrcElec,0,2,1,_maxLT))</f>
        <v>41689.471578449688</v>
      </c>
      <c r="H144" s="28">
        <f ca="1">SUMPRODUCT(dFactor,tpSurvCnU,INDEX(tEIdxElec,4)*INDEX(elecCnU,1,7)*allOnes,OFFSET(tPrcElec,0,3,1,_maxLT))</f>
        <v>41865.259347025923</v>
      </c>
      <c r="I144" s="28">
        <f ca="1">SUMPRODUCT(dFactor,tpSurvCnU,INDEX(tEIdxElec,5)*INDEX(elecCnU,1,7)*allOnes,OFFSET(tPrcElec,0,4,1,_maxLT))</f>
        <v>42019.516524327577</v>
      </c>
      <c r="J144" s="28">
        <f ca="1">SUMPRODUCT(dFactor,tpSurvCnU,INDEX(tEIdxElec,6)*INDEX(elecCnU,1,7)*allOnes,OFFSET(tPrcElec,0,5,1,_maxLT))</f>
        <v>42187.958740295369</v>
      </c>
      <c r="K144" s="28">
        <f ca="1">SUMPRODUCT(dFactor,tpSurvCnU,INDEX(tEIdxElec,7)*INDEX(elecCnU,1,7)*allOnes,OFFSET(tPrcElec,0,6,1,_maxLT))</f>
        <v>42334.474667802606</v>
      </c>
      <c r="L144" s="28">
        <f ca="1">SUMPRODUCT(dFactor,tpSurvCnU,INDEX(tEIdxElec,8)*INDEX(elecCnU,1,7)*allOnes,OFFSET(tPrcElec,0,7,1,_maxLT))</f>
        <v>42494.581178439083</v>
      </c>
      <c r="M144" s="28">
        <f ca="1">SUMPRODUCT(dFactor,tpSurvCnU,INDEX(tEIdxElec,9)*INDEX(elecCnU,1,7)*allOnes,OFFSET(tPrcElec,0,8,1,_maxLT))</f>
        <v>42669.378767216316</v>
      </c>
      <c r="N144" s="28">
        <f ca="1">SUMPRODUCT(dFactor,tpSurvCnU,INDEX(tEIdxElec,10)*INDEX(elecCnU,1,7)*allOnes,OFFSET(tPrcElec,0,9,1,_maxLT))</f>
        <v>42822.628457515129</v>
      </c>
      <c r="O144" s="28">
        <f ca="1">SUMPRODUCT(dFactor,tpSurvCnU,INDEX(tEIdxElec,11)*INDEX(elecCnU,1,7)*allOnes,OFFSET(tPrcElec,0,10,1,_maxLT))</f>
        <v>42990.045310182155</v>
      </c>
      <c r="P144" s="28">
        <f ca="1">SUMPRODUCT(dFactor,tpSurvCnU,INDEX(tEIdxElec,12)*INDEX(elecCnU,1,7)*allOnes,OFFSET(tPrcElec,0,11,1,_maxLT))</f>
        <v>43172.707074563383</v>
      </c>
      <c r="Q144" s="28">
        <f ca="1">SUMPRODUCT(dFactor,tpSurvCnU,INDEX(tEIdxElec,13)*INDEX(elecCnU,1,7)*allOnes,OFFSET(tPrcElec,0,12,1,_maxLT))</f>
        <v>43334.424381647368</v>
      </c>
      <c r="R144" s="28">
        <f ca="1">SUMPRODUCT(dFactor,tpSurvCnU,INDEX(tEIdxElec,14)*INDEX(elecCnU,1,7)*allOnes,OFFSET(tPrcElec,0,13,1,_maxLT))</f>
        <v>43511.030730229082</v>
      </c>
      <c r="S144" s="28">
        <f ca="1">SUMPRODUCT(dFactor,tpSurvCnU,INDEX(tEIdxElec,15)*INDEX(elecCnU,1,7)*allOnes,OFFSET(tPrcElec,0,14,1,_maxLT))</f>
        <v>43666.284973122543</v>
      </c>
      <c r="T144" s="28">
        <f ca="1">SUMPRODUCT(dFactor,tpSurvCnU,INDEX(tEIdxElec,16)*INDEX(elecCnU,1,7)*allOnes,OFFSET(tPrcElec,0,15,1,_maxLT))</f>
        <v>43835.965955318898</v>
      </c>
      <c r="U144" s="28">
        <f ca="1">SUMPRODUCT(dFactor,tpSurvCnU,INDEX(tEIdxElec,17)*INDEX(elecCnU,1,7)*allOnes,OFFSET(tPrcElec,0,16,1,_maxLT))</f>
        <v>44021.069609095059</v>
      </c>
      <c r="V144" s="28">
        <f ca="1">SUMPRODUCT(dFactor,tpSurvCnU,INDEX(tEIdxElec,18)*INDEX(elecCnU,1,7)*allOnes,OFFSET(tPrcElec,0,17,1,_maxLT))</f>
        <v>44185.499483989377</v>
      </c>
      <c r="W144" s="28">
        <f ca="1">SUMPRODUCT(dFactor,tpSurvCnU,INDEX(tEIdxElec,19)*INDEX(elecCnU,1,7)*allOnes,OFFSET(tPrcElec,0,18,1,_maxLT))</f>
        <v>44365.106288961535</v>
      </c>
      <c r="X144" s="28">
        <f ca="1">SUMPRODUCT(dFactor,tpSurvCnU,INDEX(tEIdxElec,20)*INDEX(elecCnU,1,7)*allOnes,OFFSET(tPrcElec,0,19,1,_maxLT))</f>
        <v>44523.600129385442</v>
      </c>
      <c r="Y144" s="28">
        <f ca="1">SUMPRODUCT(dFactor,tpSurvCnU,INDEX(tEIdxElec,21)*INDEX(elecCnU,1,7)*allOnes,OFFSET(tPrcElec,0,20,1,_maxLT))</f>
        <v>44696.917511949847</v>
      </c>
      <c r="Z144" s="28">
        <f ca="1">SUMPRODUCT(dFactor,tpSurvCnU,INDEX(tEIdxElec,22)*INDEX(elecCnU,1,7)*allOnes,OFFSET(tPrcElec,0,21,1,_maxLT))</f>
        <v>44885.928670297362</v>
      </c>
      <c r="AA144" s="28">
        <f ca="1">SUMPRODUCT(dFactor,tpSurvCnU,INDEX(tEIdxElec,23)*INDEX(elecCnU,1,7)*allOnes,OFFSET(tPrcElec,0,22,1,_maxLT))</f>
        <v>45054.716196885071</v>
      </c>
      <c r="AB144" s="28">
        <f ca="1">SUMPRODUCT(dFactor,tpSurvCnU,INDEX(tEIdxElec,24)*INDEX(elecCnU,1,7)*allOnes,OFFSET(tPrcElec,0,23,1,_maxLT))</f>
        <v>45238.892797963606</v>
      </c>
      <c r="AC144" s="28">
        <f ca="1">SUMPRODUCT(dFactor,tpSurvCnU,INDEX(tEIdxElec,25)*INDEX(elecCnU,1,7)*allOnes,OFFSET(tPrcElec,0,24,1,_maxLT))</f>
        <v>45402.43479468851</v>
      </c>
      <c r="AD144" s="28">
        <f ca="1">SUMPRODUCT(dFactor,tpSurvCnU,INDEX(tEIdxElec,26)*INDEX(elecCnU,1,7)*allOnes,OFFSET(tPrcElec,0,25,1,_maxLT))</f>
        <v>45581.140037071404</v>
      </c>
      <c r="AE144" s="28">
        <f ca="1">SUMPRODUCT(dFactor,tpSurvCnU,INDEX(tEIdxElec,27)*INDEX(elecCnU,1,7)*allOnes,OFFSET(tPrcElec,0,26,1,_maxLT))</f>
        <v>45775.896071993629</v>
      </c>
      <c r="AF144" s="28">
        <f ca="1">SUMPRODUCT(dFactor,tpSurvCnU,INDEX(tEIdxElec,28)*INDEX(elecCnU,1,7)*allOnes,OFFSET(tPrcElec,0,27,1,_maxLT))</f>
        <v>45951.037290569046</v>
      </c>
      <c r="AG144" s="28">
        <f ca="1">SUMPRODUCT(dFactor,tpSurvCnU,INDEX(tEIdxElec,29)*INDEX(elecCnU,1,7)*allOnes,OFFSET(tPrcElec,0,28,1,_maxLT))</f>
        <v>46142.074961479273</v>
      </c>
      <c r="AH144" s="28">
        <f ca="1">SUMPRODUCT(dFactor,tpSurvCnU,INDEX(tEIdxElec,30)*INDEX(elecCnU,1,7)*allOnes,OFFSET(tPrcElec,0,29,1,_maxLT))</f>
        <v>46313.140445427547</v>
      </c>
      <c r="AI144" s="28">
        <f ca="1">SUMPRODUCT(dFactor,tpSurvCnU,INDEX(tEIdxElec,31)*INDEX(elecCnU,1,7)*allOnes,OFFSET(tPrcElec,0,30,1,_maxLT))</f>
        <v>46499.90322729863</v>
      </c>
      <c r="AJ144" s="28">
        <f ca="1">SUMPRODUCT(dFactor,tpSurvCnU,INDEX(tEIdxElec,32)*INDEX(elecCnU,1,7)*allOnes,OFFSET(tPrcElec,0,31,1,_maxLT))</f>
        <v>46666.372404823895</v>
      </c>
      <c r="AK144" s="29">
        <f ca="1">SUMPRODUCT(dFactor,tpSurvCnU,INDEX(tEIdxElec,33)*INDEX(elecCnU,1,7)*allOnes,OFFSET(tPrcElec,0,32,1,_maxLT))</f>
        <v>46848.272307890817</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ts2bElec*SUMPRODUCT(tpSurvCnU,INDEX(tEIdxElec,1)*INDEX(elecCnU,1,7)*convFactor)</f>
        <v>8780.8049244592257</v>
      </c>
      <c r="F146" s="22">
        <f ca="1">ts2bElec*SUMPRODUCT(tpSurvCnU,INDEX(tEIdxElec,2)*INDEX(elecCnU,1,7)*convFactor)</f>
        <v>8714.899099583643</v>
      </c>
      <c r="G146" s="22">
        <f ca="1">ts2bElec*SUMPRODUCT(tpSurvCnU,INDEX(tEIdxElec,3)*INDEX(elecCnU,1,7)*convFactor)</f>
        <v>8648.5083201566395</v>
      </c>
      <c r="H146" s="22">
        <f ca="1">ts2bElec*SUMPRODUCT(tpSurvCnU,INDEX(tEIdxElec,4)*INDEX(elecCnU,1,7)*convFactor)</f>
        <v>8590.2266526817129</v>
      </c>
      <c r="I146" s="22">
        <f ca="1">ts2bElec*SUMPRODUCT(tpSurvCnU,INDEX(tEIdxElec,5)*INDEX(elecCnU,1,7)*convFactor)</f>
        <v>8534.9677077674351</v>
      </c>
      <c r="J146" s="22">
        <f ca="1">ts2bElec*SUMPRODUCT(tpSurvCnU,INDEX(tEIdxElec,6)*INDEX(elecCnU,1,7)*convFactor)</f>
        <v>8486.8638274467157</v>
      </c>
      <c r="K146" s="22">
        <f ca="1">ts2bElec*SUMPRODUCT(tpSurvCnU,INDEX(tEIdxElec,7)*INDEX(elecCnU,1,7)*convFactor)</f>
        <v>8449.5660703372287</v>
      </c>
      <c r="L146" s="22">
        <f ca="1">ts2bElec*SUMPRODUCT(tpSurvCnU,INDEX(tEIdxElec,8)*INDEX(elecCnU,1,7)*convFactor)</f>
        <v>8418.6584492044713</v>
      </c>
      <c r="M146" s="22">
        <f ca="1">ts2bElec*SUMPRODUCT(tpSurvCnU,INDEX(tEIdxElec,9)*INDEX(elecCnU,1,7)*convFactor)</f>
        <v>8387.6127218694492</v>
      </c>
      <c r="N146" s="22">
        <f ca="1">ts2bElec*SUMPRODUCT(tpSurvCnU,INDEX(tEIdxElec,10)*INDEX(elecCnU,1,7)*convFactor)</f>
        <v>8362.7831382270215</v>
      </c>
      <c r="O146" s="22">
        <f ca="1">ts2bElec*SUMPRODUCT(tpSurvCnU,INDEX(tEIdxElec,11)*INDEX(elecCnU,1,7)*convFactor)</f>
        <v>8345.6812450220914</v>
      </c>
      <c r="P146" s="22">
        <f ca="1">ts2bElec*SUMPRODUCT(tpSurvCnU,INDEX(tEIdxElec,12)*INDEX(elecCnU,1,7)*convFactor)</f>
        <v>8333.1641478186211</v>
      </c>
      <c r="Q146" s="22">
        <f ca="1">ts2bElec*SUMPRODUCT(tpSurvCnU,INDEX(tEIdxElec,13)*INDEX(elecCnU,1,7)*convFactor)</f>
        <v>8322.632120626984</v>
      </c>
      <c r="R146" s="22">
        <f ca="1">ts2bElec*SUMPRODUCT(tpSurvCnU,INDEX(tEIdxElec,14)*INDEX(elecCnU,1,7)*convFactor)</f>
        <v>8314.861434695531</v>
      </c>
      <c r="S146" s="22">
        <f ca="1">ts2bElec*SUMPRODUCT(tpSurvCnU,INDEX(tEIdxElec,15)*INDEX(elecCnU,1,7)*convFactor)</f>
        <v>8308.9393288763913</v>
      </c>
      <c r="T146" s="22">
        <f ca="1">ts2bElec*SUMPRODUCT(tpSurvCnU,INDEX(tEIdxElec,16)*INDEX(elecCnU,1,7)*convFactor)</f>
        <v>8308.1965566650561</v>
      </c>
      <c r="U146" s="22">
        <f ca="1">ts2bElec*SUMPRODUCT(tpSurvCnU,INDEX(tEIdxElec,17)*INDEX(elecCnU,1,7)*convFactor)</f>
        <v>8309.716596379154</v>
      </c>
      <c r="V146" s="22">
        <f ca="1">ts2bElec*SUMPRODUCT(tpSurvCnU,INDEX(tEIdxElec,18)*INDEX(elecCnU,1,7)*convFactor)</f>
        <v>8311.950263206274</v>
      </c>
      <c r="W146" s="22">
        <f ca="1">ts2bElec*SUMPRODUCT(tpSurvCnU,INDEX(tEIdxElec,19)*INDEX(elecCnU,1,7)*convFactor)</f>
        <v>8315.1447162398799</v>
      </c>
      <c r="X146" s="22">
        <f ca="1">ts2bElec*SUMPRODUCT(tpSurvCnU,INDEX(tEIdxElec,20)*INDEX(elecCnU,1,7)*convFactor)</f>
        <v>8318.1634400417515</v>
      </c>
      <c r="Y146" s="22">
        <f ca="1">ts2bElec*SUMPRODUCT(tpSurvCnU,INDEX(tEIdxElec,21)*INDEX(elecCnU,1,7)*convFactor)</f>
        <v>8320.6646141119563</v>
      </c>
      <c r="Z146" s="22">
        <f ca="1">ts2bElec*SUMPRODUCT(tpSurvCnU,INDEX(tEIdxElec,22)*INDEX(elecCnU,1,7)*convFactor)</f>
        <v>8322.3407543735866</v>
      </c>
      <c r="AA146" s="22">
        <f ca="1">ts2bElec*SUMPRODUCT(tpSurvCnU,INDEX(tEIdxElec,23)*INDEX(elecCnU,1,7)*convFactor)</f>
        <v>8323.445442380973</v>
      </c>
      <c r="AB146" s="22">
        <f ca="1">ts2bElec*SUMPRODUCT(tpSurvCnU,INDEX(tEIdxElec,24)*INDEX(elecCnU,1,7)*convFactor)</f>
        <v>8323.445442380973</v>
      </c>
      <c r="AC146" s="22">
        <f ca="1">ts2bElec*SUMPRODUCT(tpSurvCnU,INDEX(tEIdxElec,25)*INDEX(elecCnU,1,7)*convFactor)</f>
        <v>8323.445442380973</v>
      </c>
      <c r="AD146" s="22">
        <f ca="1">ts2bElec*SUMPRODUCT(tpSurvCnU,INDEX(tEIdxElec,26)*INDEX(elecCnU,1,7)*convFactor)</f>
        <v>8323.445442380973</v>
      </c>
      <c r="AE146" s="22">
        <f ca="1">ts2bElec*SUMPRODUCT(tpSurvCnU,INDEX(tEIdxElec,27)*INDEX(elecCnU,1,7)*convFactor)</f>
        <v>8323.445442380973</v>
      </c>
      <c r="AF146" s="22">
        <f ca="1">ts2bElec*SUMPRODUCT(tpSurvCnU,INDEX(tEIdxElec,28)*INDEX(elecCnU,1,7)*convFactor)</f>
        <v>8323.445442380973</v>
      </c>
      <c r="AG146" s="22">
        <f ca="1">ts2bElec*SUMPRODUCT(tpSurvCnU,INDEX(tEIdxElec,29)*INDEX(elecCnU,1,7)*convFactor)</f>
        <v>8323.445442380973</v>
      </c>
      <c r="AH146" s="22">
        <f ca="1">ts2bElec*SUMPRODUCT(tpSurvCnU,INDEX(tEIdxElec,30)*INDEX(elecCnU,1,7)*convFactor)</f>
        <v>8323.445442380973</v>
      </c>
      <c r="AI146" s="22">
        <f ca="1">ts2bElec*SUMPRODUCT(tpSurvCnU,INDEX(tEIdxElec,31)*INDEX(elecCnU,1,7)*convFactor)</f>
        <v>8323.445442380973</v>
      </c>
      <c r="AJ146" s="22">
        <f ca="1">ts2bElec*SUMPRODUCT(tpSurvCnU,INDEX(tEIdxElec,32)*INDEX(elecCnU,1,7)*convFactor)</f>
        <v>8323.445442380973</v>
      </c>
      <c r="AK146" s="25">
        <f ca="1">ts2bElec*SUMPRODUCT(tpSurvCnU,INDEX(tEIdxElec,33)*INDEX(elecCnU,1,7)*convFactor)</f>
        <v>8323.445442380973</v>
      </c>
      <c r="AL146" s="3"/>
    </row>
    <row r="147" spans="2:38">
      <c r="B147" s="3"/>
      <c r="C147" s="33" t="str">
        <f>"Std (CSL " &amp; stdCSL &amp; "): " &amp; INDEX(_doName,4,stdCSL+1)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INDEX(_doName,4,1)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(1+INDEX(vadCnU,stdCSL+1,1))*INDEX(mspCnU,stdCSL+1,1)*tPIdxAll + INDEX(instCnU,stdCSL+1,1) + SUMPRODUCT(dFactor,tpSurvCnU,INDEX(mrCnU,stdCSL+1,1)*allOnes)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SUMPRODUCT(dFactor,tpSurvCnU,INDEX(tEIdxElec,1)*INDEX(elecCnU,stdCSL+1,1)*allOnes,OFFSET(tPrcElec,0,0,1,_maxLT))</f>
        <v>0</v>
      </c>
      <c r="F151" s="28">
        <f ca="1">SUMPRODUCT(dFactor,tpSurvCnU,INDEX(tEIdxElec,2)*INDEX(elecCnU,stdCSL+1,1)*allOnes,OFFSET(tPrcElec,0,1,1,_maxLT))</f>
        <v>0</v>
      </c>
      <c r="G151" s="28">
        <f ca="1">SUMPRODUCT(dFactor,tpSurvCnU,INDEX(tEIdxElec,3)*INDEX(elecCnU,stdCSL+1,1)*allOnes,OFFSET(tPrcElec,0,2,1,_maxLT))</f>
        <v>0</v>
      </c>
      <c r="H151" s="28">
        <f ca="1">SUMPRODUCT(dFactor,tpSurvCnU,INDEX(tEIdxElec,4)*INDEX(elecCnU,stdCSL+1,1)*allOnes,OFFSET(tPrcElec,0,3,1,_maxLT))</f>
        <v>0</v>
      </c>
      <c r="I151" s="28">
        <f ca="1">SUMPRODUCT(dFactor,tpSurvCnU,INDEX(tEIdxElec,5)*INDEX(elecCnU,stdCSL+1,1)*allOnes,OFFSET(tPrcElec,0,4,1,_maxLT))</f>
        <v>0</v>
      </c>
      <c r="J151" s="28">
        <f ca="1">SUMPRODUCT(dFactor,tpSurvCnU,INDEX(tEIdxElec,6)*INDEX(elecCnU,stdCSL+1,1)*allOnes,OFFSET(tPrcElec,0,5,1,_maxLT))</f>
        <v>0</v>
      </c>
      <c r="K151" s="28">
        <f ca="1">SUMPRODUCT(dFactor,tpSurvCnU,INDEX(tEIdxElec,7)*INDEX(elecCnU,stdCSL+1,1)*allOnes,OFFSET(tPrcElec,0,6,1,_maxLT))</f>
        <v>0</v>
      </c>
      <c r="L151" s="28">
        <f ca="1">SUMPRODUCT(dFactor,tpSurvCnU,INDEX(tEIdxElec,8)*INDEX(elecCnU,stdCSL+1,1)*allOnes,OFFSET(tPrcElec,0,7,1,_maxLT))</f>
        <v>0</v>
      </c>
      <c r="M151" s="28">
        <f ca="1">SUMPRODUCT(dFactor,tpSurvCnU,INDEX(tEIdxElec,9)*INDEX(elecCnU,stdCSL+1,1)*allOnes,OFFSET(tPrcElec,0,8,1,_maxLT))</f>
        <v>0</v>
      </c>
      <c r="N151" s="28">
        <f ca="1">SUMPRODUCT(dFactor,tpSurvCnU,INDEX(tEIdxElec,10)*INDEX(elecCnU,stdCSL+1,1)*allOnes,OFFSET(tPrcElec,0,9,1,_maxLT))</f>
        <v>0</v>
      </c>
      <c r="O151" s="28">
        <f ca="1">SUMPRODUCT(dFactor,tpSurvCnU,INDEX(tEIdxElec,11)*INDEX(elecCnU,stdCSL+1,1)*allOnes,OFFSET(tPrcElec,0,10,1,_maxLT))</f>
        <v>0</v>
      </c>
      <c r="P151" s="28">
        <f ca="1">SUMPRODUCT(dFactor,tpSurvCnU,INDEX(tEIdxElec,12)*INDEX(elecCnU,stdCSL+1,1)*allOnes,OFFSET(tPrcElec,0,11,1,_maxLT))</f>
        <v>0</v>
      </c>
      <c r="Q151" s="28">
        <f ca="1">SUMPRODUCT(dFactor,tpSurvCnU,INDEX(tEIdxElec,13)*INDEX(elecCnU,stdCSL+1,1)*allOnes,OFFSET(tPrcElec,0,12,1,_maxLT))</f>
        <v>0</v>
      </c>
      <c r="R151" s="28">
        <f ca="1">SUMPRODUCT(dFactor,tpSurvCnU,INDEX(tEIdxElec,14)*INDEX(elecCnU,stdCSL+1,1)*allOnes,OFFSET(tPrcElec,0,13,1,_maxLT))</f>
        <v>0</v>
      </c>
      <c r="S151" s="28">
        <f ca="1">SUMPRODUCT(dFactor,tpSurvCnU,INDEX(tEIdxElec,15)*INDEX(elecCnU,stdCSL+1,1)*allOnes,OFFSET(tPrcElec,0,14,1,_maxLT))</f>
        <v>0</v>
      </c>
      <c r="T151" s="28">
        <f ca="1">SUMPRODUCT(dFactor,tpSurvCnU,INDEX(tEIdxElec,16)*INDEX(elecCnU,stdCSL+1,1)*allOnes,OFFSET(tPrcElec,0,15,1,_maxLT))</f>
        <v>0</v>
      </c>
      <c r="U151" s="28">
        <f ca="1">SUMPRODUCT(dFactor,tpSurvCnU,INDEX(tEIdxElec,17)*INDEX(elecCnU,stdCSL+1,1)*allOnes,OFFSET(tPrcElec,0,16,1,_maxLT))</f>
        <v>0</v>
      </c>
      <c r="V151" s="28">
        <f ca="1">SUMPRODUCT(dFactor,tpSurvCnU,INDEX(tEIdxElec,18)*INDEX(elecCnU,stdCSL+1,1)*allOnes,OFFSET(tPrcElec,0,17,1,_maxLT))</f>
        <v>0</v>
      </c>
      <c r="W151" s="28">
        <f ca="1">SUMPRODUCT(dFactor,tpSurvCnU,INDEX(tEIdxElec,19)*INDEX(elecCnU,stdCSL+1,1)*allOnes,OFFSET(tPrcElec,0,18,1,_maxLT))</f>
        <v>0</v>
      </c>
      <c r="X151" s="28">
        <f ca="1">SUMPRODUCT(dFactor,tpSurvCnU,INDEX(tEIdxElec,20)*INDEX(elecCnU,stdCSL+1,1)*allOnes,OFFSET(tPrcElec,0,19,1,_maxLT))</f>
        <v>0</v>
      </c>
      <c r="Y151" s="28">
        <f ca="1">SUMPRODUCT(dFactor,tpSurvCnU,INDEX(tEIdxElec,21)*INDEX(elecCnU,stdCSL+1,1)*allOnes,OFFSET(tPrcElec,0,20,1,_maxLT))</f>
        <v>0</v>
      </c>
      <c r="Z151" s="28">
        <f ca="1">SUMPRODUCT(dFactor,tpSurvCnU,INDEX(tEIdxElec,22)*INDEX(elecCnU,stdCSL+1,1)*allOnes,OFFSET(tPrcElec,0,21,1,_maxLT))</f>
        <v>0</v>
      </c>
      <c r="AA151" s="28">
        <f ca="1">SUMPRODUCT(dFactor,tpSurvCnU,INDEX(tEIdxElec,23)*INDEX(elecCnU,stdCSL+1,1)*allOnes,OFFSET(tPrcElec,0,22,1,_maxLT))</f>
        <v>0</v>
      </c>
      <c r="AB151" s="28">
        <f ca="1">SUMPRODUCT(dFactor,tpSurvCnU,INDEX(tEIdxElec,24)*INDEX(elecCnU,stdCSL+1,1)*allOnes,OFFSET(tPrcElec,0,23,1,_maxLT))</f>
        <v>0</v>
      </c>
      <c r="AC151" s="28">
        <f ca="1">SUMPRODUCT(dFactor,tpSurvCnU,INDEX(tEIdxElec,25)*INDEX(elecCnU,stdCSL+1,1)*allOnes,OFFSET(tPrcElec,0,24,1,_maxLT))</f>
        <v>0</v>
      </c>
      <c r="AD151" s="28">
        <f ca="1">SUMPRODUCT(dFactor,tpSurvCnU,INDEX(tEIdxElec,26)*INDEX(elecCnU,stdCSL+1,1)*allOnes,OFFSET(tPrcElec,0,25,1,_maxLT))</f>
        <v>0</v>
      </c>
      <c r="AE151" s="28">
        <f ca="1">SUMPRODUCT(dFactor,tpSurvCnU,INDEX(tEIdxElec,27)*INDEX(elecCnU,stdCSL+1,1)*allOnes,OFFSET(tPrcElec,0,26,1,_maxLT))</f>
        <v>0</v>
      </c>
      <c r="AF151" s="28">
        <f ca="1">SUMPRODUCT(dFactor,tpSurvCnU,INDEX(tEIdxElec,28)*INDEX(elecCnU,stdCSL+1,1)*allOnes,OFFSET(tPrcElec,0,27,1,_maxLT))</f>
        <v>0</v>
      </c>
      <c r="AG151" s="28">
        <f ca="1">SUMPRODUCT(dFactor,tpSurvCnU,INDEX(tEIdxElec,29)*INDEX(elecCnU,stdCSL+1,1)*allOnes,OFFSET(tPrcElec,0,28,1,_maxLT))</f>
        <v>0</v>
      </c>
      <c r="AH151" s="28">
        <f ca="1">SUMPRODUCT(dFactor,tpSurvCnU,INDEX(tEIdxElec,30)*INDEX(elecCnU,stdCSL+1,1)*allOnes,OFFSET(tPrcElec,0,29,1,_maxLT))</f>
        <v>0</v>
      </c>
      <c r="AI151" s="28">
        <f ca="1">SUMPRODUCT(dFactor,tpSurvCnU,INDEX(tEIdxElec,31)*INDEX(elecCnU,stdCSL+1,1)*allOnes,OFFSET(tPrcElec,0,30,1,_maxLT))</f>
        <v>0</v>
      </c>
      <c r="AJ151" s="28">
        <f ca="1">SUMPRODUCT(dFactor,tpSurvCnU,INDEX(tEIdxElec,32)*INDEX(elecCnU,stdCSL+1,1)*allOnes,OFFSET(tPrcElec,0,31,1,_maxLT))</f>
        <v>0</v>
      </c>
      <c r="AK151" s="29">
        <f ca="1">SUMPRODUCT(dFactor,tpSurvCnU,INDEX(tEIdxElec,33)*INDEX(elecCnU,stdCSL+1,1)*allOnes,OFFSET(tPrcElec,0,32,1,_maxLT))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ts2bElec*SUMPRODUCT(tpSurvCnU,INDEX(tEIdxElec,1)*INDEX(elecCnU,stdCSL+1,1)*convFactor)</f>
        <v>0</v>
      </c>
      <c r="F153" s="22">
        <f ca="1">ts2bElec*SUMPRODUCT(tpSurvCnU,INDEX(tEIdxElec,2)*INDEX(elecCnU,stdCSL+1,1)*convFactor)</f>
        <v>0</v>
      </c>
      <c r="G153" s="22">
        <f ca="1">ts2bElec*SUMPRODUCT(tpSurvCnU,INDEX(tEIdxElec,3)*INDEX(elecCnU,stdCSL+1,1)*convFactor)</f>
        <v>0</v>
      </c>
      <c r="H153" s="22">
        <f ca="1">ts2bElec*SUMPRODUCT(tpSurvCnU,INDEX(tEIdxElec,4)*INDEX(elecCnU,stdCSL+1,1)*convFactor)</f>
        <v>0</v>
      </c>
      <c r="I153" s="22">
        <f ca="1">ts2bElec*SUMPRODUCT(tpSurvCnU,INDEX(tEIdxElec,5)*INDEX(elecCnU,stdCSL+1,1)*convFactor)</f>
        <v>0</v>
      </c>
      <c r="J153" s="22">
        <f ca="1">ts2bElec*SUMPRODUCT(tpSurvCnU,INDEX(tEIdxElec,6)*INDEX(elecCnU,stdCSL+1,1)*convFactor)</f>
        <v>0</v>
      </c>
      <c r="K153" s="22">
        <f ca="1">ts2bElec*SUMPRODUCT(tpSurvCnU,INDEX(tEIdxElec,7)*INDEX(elecCnU,stdCSL+1,1)*convFactor)</f>
        <v>0</v>
      </c>
      <c r="L153" s="22">
        <f ca="1">ts2bElec*SUMPRODUCT(tpSurvCnU,INDEX(tEIdxElec,8)*INDEX(elecCnU,stdCSL+1,1)*convFactor)</f>
        <v>0</v>
      </c>
      <c r="M153" s="22">
        <f ca="1">ts2bElec*SUMPRODUCT(tpSurvCnU,INDEX(tEIdxElec,9)*INDEX(elecCnU,stdCSL+1,1)*convFactor)</f>
        <v>0</v>
      </c>
      <c r="N153" s="22">
        <f ca="1">ts2bElec*SUMPRODUCT(tpSurvCnU,INDEX(tEIdxElec,10)*INDEX(elecCnU,stdCSL+1,1)*convFactor)</f>
        <v>0</v>
      </c>
      <c r="O153" s="22">
        <f ca="1">ts2bElec*SUMPRODUCT(tpSurvCnU,INDEX(tEIdxElec,11)*INDEX(elecCnU,stdCSL+1,1)*convFactor)</f>
        <v>0</v>
      </c>
      <c r="P153" s="22">
        <f ca="1">ts2bElec*SUMPRODUCT(tpSurvCnU,INDEX(tEIdxElec,12)*INDEX(elecCnU,stdCSL+1,1)*convFactor)</f>
        <v>0</v>
      </c>
      <c r="Q153" s="22">
        <f ca="1">ts2bElec*SUMPRODUCT(tpSurvCnU,INDEX(tEIdxElec,13)*INDEX(elecCnU,stdCSL+1,1)*convFactor)</f>
        <v>0</v>
      </c>
      <c r="R153" s="22">
        <f ca="1">ts2bElec*SUMPRODUCT(tpSurvCnU,INDEX(tEIdxElec,14)*INDEX(elecCnU,stdCSL+1,1)*convFactor)</f>
        <v>0</v>
      </c>
      <c r="S153" s="22">
        <f ca="1">ts2bElec*SUMPRODUCT(tpSurvCnU,INDEX(tEIdxElec,15)*INDEX(elecCnU,stdCSL+1,1)*convFactor)</f>
        <v>0</v>
      </c>
      <c r="T153" s="22">
        <f ca="1">ts2bElec*SUMPRODUCT(tpSurvCnU,INDEX(tEIdxElec,16)*INDEX(elecCnU,stdCSL+1,1)*convFactor)</f>
        <v>0</v>
      </c>
      <c r="U153" s="22">
        <f ca="1">ts2bElec*SUMPRODUCT(tpSurvCnU,INDEX(tEIdxElec,17)*INDEX(elecCnU,stdCSL+1,1)*convFactor)</f>
        <v>0</v>
      </c>
      <c r="V153" s="22">
        <f ca="1">ts2bElec*SUMPRODUCT(tpSurvCnU,INDEX(tEIdxElec,18)*INDEX(elecCnU,stdCSL+1,1)*convFactor)</f>
        <v>0</v>
      </c>
      <c r="W153" s="22">
        <f ca="1">ts2bElec*SUMPRODUCT(tpSurvCnU,INDEX(tEIdxElec,19)*INDEX(elecCnU,stdCSL+1,1)*convFactor)</f>
        <v>0</v>
      </c>
      <c r="X153" s="22">
        <f ca="1">ts2bElec*SUMPRODUCT(tpSurvCnU,INDEX(tEIdxElec,20)*INDEX(elecCnU,stdCSL+1,1)*convFactor)</f>
        <v>0</v>
      </c>
      <c r="Y153" s="22">
        <f ca="1">ts2bElec*SUMPRODUCT(tpSurvCnU,INDEX(tEIdxElec,21)*INDEX(elecCnU,stdCSL+1,1)*convFactor)</f>
        <v>0</v>
      </c>
      <c r="Z153" s="22">
        <f ca="1">ts2bElec*SUMPRODUCT(tpSurvCnU,INDEX(tEIdxElec,22)*INDEX(elecCnU,stdCSL+1,1)*convFactor)</f>
        <v>0</v>
      </c>
      <c r="AA153" s="22">
        <f ca="1">ts2bElec*SUMPRODUCT(tpSurvCnU,INDEX(tEIdxElec,23)*INDEX(elecCnU,stdCSL+1,1)*convFactor)</f>
        <v>0</v>
      </c>
      <c r="AB153" s="22">
        <f ca="1">ts2bElec*SUMPRODUCT(tpSurvCnU,INDEX(tEIdxElec,24)*INDEX(elecCnU,stdCSL+1,1)*convFactor)</f>
        <v>0</v>
      </c>
      <c r="AC153" s="22">
        <f ca="1">ts2bElec*SUMPRODUCT(tpSurvCnU,INDEX(tEIdxElec,25)*INDEX(elecCnU,stdCSL+1,1)*convFactor)</f>
        <v>0</v>
      </c>
      <c r="AD153" s="22">
        <f ca="1">ts2bElec*SUMPRODUCT(tpSurvCnU,INDEX(tEIdxElec,26)*INDEX(elecCnU,stdCSL+1,1)*convFactor)</f>
        <v>0</v>
      </c>
      <c r="AE153" s="22">
        <f ca="1">ts2bElec*SUMPRODUCT(tpSurvCnU,INDEX(tEIdxElec,27)*INDEX(elecCnU,stdCSL+1,1)*convFactor)</f>
        <v>0</v>
      </c>
      <c r="AF153" s="22">
        <f ca="1">ts2bElec*SUMPRODUCT(tpSurvCnU,INDEX(tEIdxElec,28)*INDEX(elecCnU,stdCSL+1,1)*convFactor)</f>
        <v>0</v>
      </c>
      <c r="AG153" s="22">
        <f ca="1">ts2bElec*SUMPRODUCT(tpSurvCnU,INDEX(tEIdxElec,29)*INDEX(elecCnU,stdCSL+1,1)*convFactor)</f>
        <v>0</v>
      </c>
      <c r="AH153" s="22">
        <f ca="1">ts2bElec*SUMPRODUCT(tpSurvCnU,INDEX(tEIdxElec,30)*INDEX(elecCnU,stdCSL+1,1)*convFactor)</f>
        <v>0</v>
      </c>
      <c r="AI153" s="22">
        <f ca="1">ts2bElec*SUMPRODUCT(tpSurvCnU,INDEX(tEIdxElec,31)*INDEX(elecCnU,stdCSL+1,1)*convFactor)</f>
        <v>0</v>
      </c>
      <c r="AJ153" s="22">
        <f ca="1">ts2bElec*SUMPRODUCT(tpSurvCnU,INDEX(tEIdxElec,32)*INDEX(elecCnU,stdCSL+1,1)*convFactor)</f>
        <v>0</v>
      </c>
      <c r="AK153" s="25">
        <f ca="1">ts2bElec*SUMPRODUCT(tpSurvCnU,INDEX(tEIdxElec,33)*INDEX(elecCnU,stdCSL+1,1)*convFactor)</f>
        <v>0</v>
      </c>
      <c r="AL153" s="3"/>
    </row>
    <row r="154" spans="2:38">
      <c r="B154" s="3"/>
      <c r="C154" s="30" t="str">
        <f>"EL 1: " &amp; INDEX(_doName,4,2)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(1+INDEX(vadCnU,stdCSL+1,2))*INDEX(mspCnU,stdCSL+1,2)*tPIdxAll + INDEX(instCnU,stdCSL+1,2) + SUMPRODUCT(dFactor,tpSurvCnU,INDEX(mrCnU,stdCSL+1,2)*allOnes)</f>
        <v>1498.331825</v>
      </c>
      <c r="F155" s="28">
        <f ca="1"/>
        <v>1498.331825</v>
      </c>
      <c r="G155" s="28">
        <f ca="1"/>
        <v>1498.331825</v>
      </c>
      <c r="H155" s="28">
        <f ca="1"/>
        <v>1498.331825</v>
      </c>
      <c r="I155" s="28">
        <f ca="1"/>
        <v>1498.331825</v>
      </c>
      <c r="J155" s="28">
        <f ca="1"/>
        <v>1498.331825</v>
      </c>
      <c r="K155" s="28">
        <f ca="1"/>
        <v>1498.331825</v>
      </c>
      <c r="L155" s="28">
        <f ca="1"/>
        <v>1498.331825</v>
      </c>
      <c r="M155" s="28">
        <f ca="1"/>
        <v>1498.331825</v>
      </c>
      <c r="N155" s="28">
        <f ca="1"/>
        <v>1498.331825</v>
      </c>
      <c r="O155" s="28">
        <f ca="1"/>
        <v>1498.331825</v>
      </c>
      <c r="P155" s="28">
        <f ca="1"/>
        <v>1498.331825</v>
      </c>
      <c r="Q155" s="28">
        <f ca="1"/>
        <v>1498.331825</v>
      </c>
      <c r="R155" s="28">
        <f ca="1"/>
        <v>1498.331825</v>
      </c>
      <c r="S155" s="28">
        <f ca="1"/>
        <v>1498.331825</v>
      </c>
      <c r="T155" s="28">
        <f ca="1"/>
        <v>1498.331825</v>
      </c>
      <c r="U155" s="28">
        <f ca="1"/>
        <v>1498.331825</v>
      </c>
      <c r="V155" s="28">
        <f ca="1"/>
        <v>1498.331825</v>
      </c>
      <c r="W155" s="28">
        <f ca="1"/>
        <v>1498.331825</v>
      </c>
      <c r="X155" s="28">
        <f ca="1"/>
        <v>1498.331825</v>
      </c>
      <c r="Y155" s="28">
        <f ca="1"/>
        <v>1498.331825</v>
      </c>
      <c r="Z155" s="28">
        <f ca="1"/>
        <v>1498.331825</v>
      </c>
      <c r="AA155" s="28">
        <f ca="1"/>
        <v>1498.331825</v>
      </c>
      <c r="AB155" s="28">
        <f ca="1"/>
        <v>1498.331825</v>
      </c>
      <c r="AC155" s="28">
        <f ca="1"/>
        <v>1498.331825</v>
      </c>
      <c r="AD155" s="28">
        <f ca="1"/>
        <v>1498.331825</v>
      </c>
      <c r="AE155" s="28">
        <f ca="1"/>
        <v>1498.331825</v>
      </c>
      <c r="AF155" s="28">
        <f ca="1"/>
        <v>1498.331825</v>
      </c>
      <c r="AG155" s="28">
        <f ca="1"/>
        <v>1498.331825</v>
      </c>
      <c r="AH155" s="28">
        <f ca="1"/>
        <v>1498.331825</v>
      </c>
      <c r="AI155" s="28">
        <f ca="1"/>
        <v>1498.331825</v>
      </c>
      <c r="AJ155" s="28">
        <f ca="1"/>
        <v>1498.331825</v>
      </c>
      <c r="AK155" s="29">
        <f ca="1"/>
        <v>1498.331825</v>
      </c>
      <c r="AL155" s="3"/>
    </row>
    <row r="156" spans="2:38">
      <c r="B156" s="3"/>
      <c r="C156" s="23" t="s">
        <v>47</v>
      </c>
      <c r="D156" s="16" t="str">
        <f>_yearDol &amp; "$"</f>
        <v>2013$</v>
      </c>
      <c r="E156" s="141">
        <f t="array" aca="1" ref="E156:AK156" ca="1">(tlccEFupolElec1)</f>
        <v>29746.710996517188</v>
      </c>
      <c r="F156" s="28">
        <f ca="1"/>
        <v>29877.75008252851</v>
      </c>
      <c r="G156" s="28">
        <f ca="1"/>
        <v>29993.666705191543</v>
      </c>
      <c r="H156" s="28">
        <f ca="1"/>
        <v>30120.137959009262</v>
      </c>
      <c r="I156" s="28">
        <f ca="1"/>
        <v>30231.11893784377</v>
      </c>
      <c r="J156" s="28">
        <f ca="1"/>
        <v>30352.305402760096</v>
      </c>
      <c r="K156" s="28">
        <f ca="1"/>
        <v>30457.716906678634</v>
      </c>
      <c r="L156" s="28">
        <f ca="1"/>
        <v>30572.906213127979</v>
      </c>
      <c r="M156" s="28">
        <f ca="1"/>
        <v>30698.66507790011</v>
      </c>
      <c r="N156" s="28">
        <f ca="1"/>
        <v>30808.921215948001</v>
      </c>
      <c r="O156" s="28">
        <f ca="1"/>
        <v>30929.369978899504</v>
      </c>
      <c r="P156" s="28">
        <f ca="1"/>
        <v>31060.786758081336</v>
      </c>
      <c r="Q156" s="28">
        <f ca="1"/>
        <v>31177.134958849754</v>
      </c>
      <c r="R156" s="28">
        <f ca="1"/>
        <v>31304.195143515633</v>
      </c>
      <c r="S156" s="28">
        <f ca="1"/>
        <v>31415.89346540851</v>
      </c>
      <c r="T156" s="28">
        <f ca="1"/>
        <v>31537.971165928899</v>
      </c>
      <c r="U156" s="28">
        <f ca="1"/>
        <v>31671.144772766937</v>
      </c>
      <c r="V156" s="28">
        <f ca="1"/>
        <v>31789.444541922701</v>
      </c>
      <c r="W156" s="28">
        <f ca="1"/>
        <v>31918.663417632899</v>
      </c>
      <c r="X156" s="28">
        <f ca="1"/>
        <v>32032.692481674992</v>
      </c>
      <c r="Y156" s="28">
        <f ca="1"/>
        <v>32157.38640582492</v>
      </c>
      <c r="Z156" s="28">
        <f ca="1"/>
        <v>32293.371283358571</v>
      </c>
      <c r="AA156" s="28">
        <f ca="1"/>
        <v>32414.806183461315</v>
      </c>
      <c r="AB156" s="28">
        <f ca="1"/>
        <v>32547.312818313956</v>
      </c>
      <c r="AC156" s="28">
        <f ca="1"/>
        <v>32664.97379976435</v>
      </c>
      <c r="AD156" s="28">
        <f ca="1"/>
        <v>32793.544042455367</v>
      </c>
      <c r="AE156" s="28">
        <f ca="1"/>
        <v>32933.662095745858</v>
      </c>
      <c r="AF156" s="28">
        <f ca="1"/>
        <v>33059.668186430114</v>
      </c>
      <c r="AG156" s="28">
        <f ca="1"/>
        <v>33197.11104700069</v>
      </c>
      <c r="AH156" s="28">
        <f ca="1"/>
        <v>33320.184833163978</v>
      </c>
      <c r="AI156" s="28">
        <f ca="1"/>
        <v>33454.55210672933</v>
      </c>
      <c r="AJ156" s="28">
        <f ca="1"/>
        <v>33574.319060790724</v>
      </c>
      <c r="AK156" s="29">
        <f ca="1"/>
        <v>33705.187715626736</v>
      </c>
      <c r="AL156" s="3"/>
    </row>
    <row r="157" spans="2:38">
      <c r="B157" s="3"/>
      <c r="C157" s="27" t="str">
        <f>INDEX(_fuel,1)</f>
        <v>Electricity</v>
      </c>
      <c r="D157" s="16" t="str">
        <f>_yearDol &amp; "$"</f>
        <v>2013$</v>
      </c>
      <c r="E157" s="141">
        <f ca="1">SUMPRODUCT(dFactor,tpSurvCnU,INDEX(tEIdxElec,1)*INDEX(elecCnU,stdCSL+1,2)*allOnes,OFFSET(tPrcElec,0,0,1,_maxLT))</f>
        <v>29746.710996517188</v>
      </c>
      <c r="F157" s="28">
        <f ca="1">SUMPRODUCT(dFactor,tpSurvCnU,INDEX(tEIdxElec,2)*INDEX(elecCnU,stdCSL+1,2)*allOnes,OFFSET(tPrcElec,0,1,1,_maxLT))</f>
        <v>29877.75008252851</v>
      </c>
      <c r="G157" s="28">
        <f ca="1">SUMPRODUCT(dFactor,tpSurvCnU,INDEX(tEIdxElec,3)*INDEX(elecCnU,stdCSL+1,2)*allOnes,OFFSET(tPrcElec,0,2,1,_maxLT))</f>
        <v>29993.666705191543</v>
      </c>
      <c r="H157" s="28">
        <f ca="1">SUMPRODUCT(dFactor,tpSurvCnU,INDEX(tEIdxElec,4)*INDEX(elecCnU,stdCSL+1,2)*allOnes,OFFSET(tPrcElec,0,3,1,_maxLT))</f>
        <v>30120.137959009262</v>
      </c>
      <c r="I157" s="28">
        <f ca="1">SUMPRODUCT(dFactor,tpSurvCnU,INDEX(tEIdxElec,5)*INDEX(elecCnU,stdCSL+1,2)*allOnes,OFFSET(tPrcElec,0,4,1,_maxLT))</f>
        <v>30231.11893784377</v>
      </c>
      <c r="J157" s="28">
        <f ca="1">SUMPRODUCT(dFactor,tpSurvCnU,INDEX(tEIdxElec,6)*INDEX(elecCnU,stdCSL+1,2)*allOnes,OFFSET(tPrcElec,0,5,1,_maxLT))</f>
        <v>30352.305402760096</v>
      </c>
      <c r="K157" s="28">
        <f ca="1">SUMPRODUCT(dFactor,tpSurvCnU,INDEX(tEIdxElec,7)*INDEX(elecCnU,stdCSL+1,2)*allOnes,OFFSET(tPrcElec,0,6,1,_maxLT))</f>
        <v>30457.716906678634</v>
      </c>
      <c r="L157" s="28">
        <f ca="1">SUMPRODUCT(dFactor,tpSurvCnU,INDEX(tEIdxElec,8)*INDEX(elecCnU,stdCSL+1,2)*allOnes,OFFSET(tPrcElec,0,7,1,_maxLT))</f>
        <v>30572.906213127979</v>
      </c>
      <c r="M157" s="28">
        <f ca="1">SUMPRODUCT(dFactor,tpSurvCnU,INDEX(tEIdxElec,9)*INDEX(elecCnU,stdCSL+1,2)*allOnes,OFFSET(tPrcElec,0,8,1,_maxLT))</f>
        <v>30698.66507790011</v>
      </c>
      <c r="N157" s="28">
        <f ca="1">SUMPRODUCT(dFactor,tpSurvCnU,INDEX(tEIdxElec,10)*INDEX(elecCnU,stdCSL+1,2)*allOnes,OFFSET(tPrcElec,0,9,1,_maxLT))</f>
        <v>30808.921215948001</v>
      </c>
      <c r="O157" s="28">
        <f ca="1">SUMPRODUCT(dFactor,tpSurvCnU,INDEX(tEIdxElec,11)*INDEX(elecCnU,stdCSL+1,2)*allOnes,OFFSET(tPrcElec,0,10,1,_maxLT))</f>
        <v>30929.369978899504</v>
      </c>
      <c r="P157" s="28">
        <f ca="1">SUMPRODUCT(dFactor,tpSurvCnU,INDEX(tEIdxElec,12)*INDEX(elecCnU,stdCSL+1,2)*allOnes,OFFSET(tPrcElec,0,11,1,_maxLT))</f>
        <v>31060.786758081336</v>
      </c>
      <c r="Q157" s="28">
        <f ca="1">SUMPRODUCT(dFactor,tpSurvCnU,INDEX(tEIdxElec,13)*INDEX(elecCnU,stdCSL+1,2)*allOnes,OFFSET(tPrcElec,0,12,1,_maxLT))</f>
        <v>31177.134958849754</v>
      </c>
      <c r="R157" s="28">
        <f ca="1">SUMPRODUCT(dFactor,tpSurvCnU,INDEX(tEIdxElec,14)*INDEX(elecCnU,stdCSL+1,2)*allOnes,OFFSET(tPrcElec,0,13,1,_maxLT))</f>
        <v>31304.195143515633</v>
      </c>
      <c r="S157" s="28">
        <f ca="1">SUMPRODUCT(dFactor,tpSurvCnU,INDEX(tEIdxElec,15)*INDEX(elecCnU,stdCSL+1,2)*allOnes,OFFSET(tPrcElec,0,14,1,_maxLT))</f>
        <v>31415.89346540851</v>
      </c>
      <c r="T157" s="28">
        <f ca="1">SUMPRODUCT(dFactor,tpSurvCnU,INDEX(tEIdxElec,16)*INDEX(elecCnU,stdCSL+1,2)*allOnes,OFFSET(tPrcElec,0,15,1,_maxLT))</f>
        <v>31537.971165928899</v>
      </c>
      <c r="U157" s="28">
        <f ca="1">SUMPRODUCT(dFactor,tpSurvCnU,INDEX(tEIdxElec,17)*INDEX(elecCnU,stdCSL+1,2)*allOnes,OFFSET(tPrcElec,0,16,1,_maxLT))</f>
        <v>31671.144772766937</v>
      </c>
      <c r="V157" s="28">
        <f ca="1">SUMPRODUCT(dFactor,tpSurvCnU,INDEX(tEIdxElec,18)*INDEX(elecCnU,stdCSL+1,2)*allOnes,OFFSET(tPrcElec,0,17,1,_maxLT))</f>
        <v>31789.444541922701</v>
      </c>
      <c r="W157" s="28">
        <f ca="1">SUMPRODUCT(dFactor,tpSurvCnU,INDEX(tEIdxElec,19)*INDEX(elecCnU,stdCSL+1,2)*allOnes,OFFSET(tPrcElec,0,18,1,_maxLT))</f>
        <v>31918.663417632899</v>
      </c>
      <c r="X157" s="28">
        <f ca="1">SUMPRODUCT(dFactor,tpSurvCnU,INDEX(tEIdxElec,20)*INDEX(elecCnU,stdCSL+1,2)*allOnes,OFFSET(tPrcElec,0,19,1,_maxLT))</f>
        <v>32032.692481674992</v>
      </c>
      <c r="Y157" s="28">
        <f ca="1">SUMPRODUCT(dFactor,tpSurvCnU,INDEX(tEIdxElec,21)*INDEX(elecCnU,stdCSL+1,2)*allOnes,OFFSET(tPrcElec,0,20,1,_maxLT))</f>
        <v>32157.38640582492</v>
      </c>
      <c r="Z157" s="28">
        <f ca="1">SUMPRODUCT(dFactor,tpSurvCnU,INDEX(tEIdxElec,22)*INDEX(elecCnU,stdCSL+1,2)*allOnes,OFFSET(tPrcElec,0,21,1,_maxLT))</f>
        <v>32293.371283358571</v>
      </c>
      <c r="AA157" s="28">
        <f ca="1">SUMPRODUCT(dFactor,tpSurvCnU,INDEX(tEIdxElec,23)*INDEX(elecCnU,stdCSL+1,2)*allOnes,OFFSET(tPrcElec,0,22,1,_maxLT))</f>
        <v>32414.806183461315</v>
      </c>
      <c r="AB157" s="28">
        <f ca="1">SUMPRODUCT(dFactor,tpSurvCnU,INDEX(tEIdxElec,24)*INDEX(elecCnU,stdCSL+1,2)*allOnes,OFFSET(tPrcElec,0,23,1,_maxLT))</f>
        <v>32547.312818313956</v>
      </c>
      <c r="AC157" s="28">
        <f ca="1">SUMPRODUCT(dFactor,tpSurvCnU,INDEX(tEIdxElec,25)*INDEX(elecCnU,stdCSL+1,2)*allOnes,OFFSET(tPrcElec,0,24,1,_maxLT))</f>
        <v>32664.97379976435</v>
      </c>
      <c r="AD157" s="28">
        <f ca="1">SUMPRODUCT(dFactor,tpSurvCnU,INDEX(tEIdxElec,26)*INDEX(elecCnU,stdCSL+1,2)*allOnes,OFFSET(tPrcElec,0,25,1,_maxLT))</f>
        <v>32793.544042455367</v>
      </c>
      <c r="AE157" s="28">
        <f ca="1">SUMPRODUCT(dFactor,tpSurvCnU,INDEX(tEIdxElec,27)*INDEX(elecCnU,stdCSL+1,2)*allOnes,OFFSET(tPrcElec,0,26,1,_maxLT))</f>
        <v>32933.662095745858</v>
      </c>
      <c r="AF157" s="28">
        <f ca="1">SUMPRODUCT(dFactor,tpSurvCnU,INDEX(tEIdxElec,28)*INDEX(elecCnU,stdCSL+1,2)*allOnes,OFFSET(tPrcElec,0,27,1,_maxLT))</f>
        <v>33059.668186430114</v>
      </c>
      <c r="AG157" s="28">
        <f ca="1">SUMPRODUCT(dFactor,tpSurvCnU,INDEX(tEIdxElec,29)*INDEX(elecCnU,stdCSL+1,2)*allOnes,OFFSET(tPrcElec,0,28,1,_maxLT))</f>
        <v>33197.11104700069</v>
      </c>
      <c r="AH157" s="28">
        <f ca="1">SUMPRODUCT(dFactor,tpSurvCnU,INDEX(tEIdxElec,30)*INDEX(elecCnU,stdCSL+1,2)*allOnes,OFFSET(tPrcElec,0,29,1,_maxLT))</f>
        <v>33320.184833163978</v>
      </c>
      <c r="AI157" s="28">
        <f ca="1">SUMPRODUCT(dFactor,tpSurvCnU,INDEX(tEIdxElec,31)*INDEX(elecCnU,stdCSL+1,2)*allOnes,OFFSET(tPrcElec,0,30,1,_maxLT))</f>
        <v>33454.55210672933</v>
      </c>
      <c r="AJ157" s="28">
        <f ca="1">SUMPRODUCT(dFactor,tpSurvCnU,INDEX(tEIdxElec,32)*INDEX(elecCnU,stdCSL+1,2)*allOnes,OFFSET(tPrcElec,0,31,1,_maxLT))</f>
        <v>33574.319060790724</v>
      </c>
      <c r="AK157" s="29">
        <f ca="1">SUMPRODUCT(dFactor,tpSurvCnU,INDEX(tEIdxElec,33)*INDEX(elecCnU,stdCSL+1,2)*allOnes,OFFSET(tPrcElec,0,32,1,_maxLT))</f>
        <v>33705.187715626736</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ts2bElec*SUMPRODUCT(tpSurvCnU,INDEX(tEIdxElec,1)*INDEX(elecCnU,stdCSL+1,2)*convFactor)</f>
        <v>6317.387252365088</v>
      </c>
      <c r="F159" s="22">
        <f ca="1">ts2bElec*SUMPRODUCT(tpSurvCnU,INDEX(tEIdxElec,2)*INDEX(elecCnU,stdCSL+1,2)*convFactor)</f>
        <v>6269.9710278267376</v>
      </c>
      <c r="G159" s="22">
        <f ca="1">ts2bElec*SUMPRODUCT(tpSurvCnU,INDEX(tEIdxElec,3)*INDEX(elecCnU,stdCSL+1,2)*convFactor)</f>
        <v>6222.2059006846403</v>
      </c>
      <c r="H159" s="22">
        <f ca="1">ts2bElec*SUMPRODUCT(tpSurvCnU,INDEX(tEIdxElec,4)*INDEX(elecCnU,stdCSL+1,2)*convFactor)</f>
        <v>6180.2749084441593</v>
      </c>
      <c r="I159" s="22">
        <f ca="1">ts2bElec*SUMPRODUCT(tpSurvCnU,INDEX(tEIdxElec,5)*INDEX(elecCnU,stdCSL+1,2)*convFactor)</f>
        <v>6140.5186267383442</v>
      </c>
      <c r="J159" s="22">
        <f ca="1">ts2bElec*SUMPRODUCT(tpSurvCnU,INDEX(tEIdxElec,6)*INDEX(elecCnU,stdCSL+1,2)*convFactor)</f>
        <v>6105.9100865257142</v>
      </c>
      <c r="K159" s="22">
        <f ca="1">ts2bElec*SUMPRODUCT(tpSurvCnU,INDEX(tEIdxElec,7)*INDEX(elecCnU,stdCSL+1,2)*convFactor)</f>
        <v>6079.0760573754997</v>
      </c>
      <c r="L159" s="22">
        <f ca="1">ts2bElec*SUMPRODUCT(tpSurvCnU,INDEX(tEIdxElec,8)*INDEX(elecCnU,stdCSL+1,2)*convFactor)</f>
        <v>6056.8394385888641</v>
      </c>
      <c r="M159" s="22">
        <f ca="1">ts2bElec*SUMPRODUCT(tpSurvCnU,INDEX(tEIdxElec,9)*INDEX(elecCnU,stdCSL+1,2)*convFactor)</f>
        <v>6034.5034587107184</v>
      </c>
      <c r="N159" s="22">
        <f ca="1">ts2bElec*SUMPRODUCT(tpSurvCnU,INDEX(tEIdxElec,10)*INDEX(elecCnU,stdCSL+1,2)*convFactor)</f>
        <v>6016.6397097112058</v>
      </c>
      <c r="O159" s="22">
        <f ca="1">ts2bElec*SUMPRODUCT(tpSurvCnU,INDEX(tEIdxElec,11)*INDEX(elecCnU,stdCSL+1,2)*convFactor)</f>
        <v>6004.3356802909429</v>
      </c>
      <c r="P159" s="22">
        <f ca="1">ts2bElec*SUMPRODUCT(tpSurvCnU,INDEX(tEIdxElec,12)*INDEX(elecCnU,stdCSL+1,2)*convFactor)</f>
        <v>5995.3302017510932</v>
      </c>
      <c r="Q159" s="22">
        <f ca="1">ts2bElec*SUMPRODUCT(tpSurvCnU,INDEX(tEIdxElec,13)*INDEX(elecCnU,stdCSL+1,2)*convFactor)</f>
        <v>5987.752890229609</v>
      </c>
      <c r="R159" s="22">
        <f ca="1">ts2bElec*SUMPRODUCT(tpSurvCnU,INDEX(tEIdxElec,14)*INDEX(elecCnU,stdCSL+1,2)*convFactor)</f>
        <v>5982.1622373603313</v>
      </c>
      <c r="S159" s="22">
        <f ca="1">ts2bElec*SUMPRODUCT(tpSurvCnU,INDEX(tEIdxElec,15)*INDEX(elecCnU,stdCSL+1,2)*convFactor)</f>
        <v>5977.9015532737531</v>
      </c>
      <c r="T159" s="22">
        <f ca="1">ts2bElec*SUMPRODUCT(tpSurvCnU,INDEX(tEIdxElec,16)*INDEX(elecCnU,stdCSL+1,2)*convFactor)</f>
        <v>5977.3671626638188</v>
      </c>
      <c r="U159" s="22">
        <f ca="1">ts2bElec*SUMPRODUCT(tpSurvCnU,INDEX(tEIdxElec,17)*INDEX(elecCnU,stdCSL+1,2)*convFactor)</f>
        <v>5978.4607616670473</v>
      </c>
      <c r="V159" s="22">
        <f ca="1">ts2bElec*SUMPRODUCT(tpSurvCnU,INDEX(tEIdxElec,18)*INDEX(elecCnU,stdCSL+1,2)*convFactor)</f>
        <v>5980.0677827159225</v>
      </c>
      <c r="W159" s="22">
        <f ca="1">ts2bElec*SUMPRODUCT(tpSurvCnU,INDEX(tEIdxElec,19)*INDEX(elecCnU,stdCSL+1,2)*convFactor)</f>
        <v>5982.3660454659093</v>
      </c>
      <c r="X159" s="22">
        <f ca="1">ts2bElec*SUMPRODUCT(tpSurvCnU,INDEX(tEIdxElec,20)*INDEX(elecCnU,stdCSL+1,2)*convFactor)</f>
        <v>5984.5378790766554</v>
      </c>
      <c r="Y159" s="22">
        <f ca="1">ts2bElec*SUMPRODUCT(tpSurvCnU,INDEX(tEIdxElec,21)*INDEX(elecCnU,stdCSL+1,2)*convFactor)</f>
        <v>5986.337359343328</v>
      </c>
      <c r="Z159" s="22">
        <f ca="1">ts2bElec*SUMPRODUCT(tpSurvCnU,INDEX(tEIdxElec,22)*INDEX(elecCnU,stdCSL+1,2)*convFactor)</f>
        <v>5987.5432655459026</v>
      </c>
      <c r="AA159" s="22">
        <f ca="1">ts2bElec*SUMPRODUCT(tpSurvCnU,INDEX(tEIdxElec,23)*INDEX(elecCnU,stdCSL+1,2)*convFactor)</f>
        <v>5988.3380380064846</v>
      </c>
      <c r="AB159" s="22">
        <f ca="1">ts2bElec*SUMPRODUCT(tpSurvCnU,INDEX(tEIdxElec,24)*INDEX(elecCnU,stdCSL+1,2)*convFactor)</f>
        <v>5988.3380380064846</v>
      </c>
      <c r="AC159" s="22">
        <f ca="1">ts2bElec*SUMPRODUCT(tpSurvCnU,INDEX(tEIdxElec,25)*INDEX(elecCnU,stdCSL+1,2)*convFactor)</f>
        <v>5988.3380380064846</v>
      </c>
      <c r="AD159" s="22">
        <f ca="1">ts2bElec*SUMPRODUCT(tpSurvCnU,INDEX(tEIdxElec,26)*INDEX(elecCnU,stdCSL+1,2)*convFactor)</f>
        <v>5988.3380380064846</v>
      </c>
      <c r="AE159" s="22">
        <f ca="1">ts2bElec*SUMPRODUCT(tpSurvCnU,INDEX(tEIdxElec,27)*INDEX(elecCnU,stdCSL+1,2)*convFactor)</f>
        <v>5988.3380380064846</v>
      </c>
      <c r="AF159" s="22">
        <f ca="1">ts2bElec*SUMPRODUCT(tpSurvCnU,INDEX(tEIdxElec,28)*INDEX(elecCnU,stdCSL+1,2)*convFactor)</f>
        <v>5988.3380380064846</v>
      </c>
      <c r="AG159" s="22">
        <f ca="1">ts2bElec*SUMPRODUCT(tpSurvCnU,INDEX(tEIdxElec,29)*INDEX(elecCnU,stdCSL+1,2)*convFactor)</f>
        <v>5988.3380380064846</v>
      </c>
      <c r="AH159" s="22">
        <f ca="1">ts2bElec*SUMPRODUCT(tpSurvCnU,INDEX(tEIdxElec,30)*INDEX(elecCnU,stdCSL+1,2)*convFactor)</f>
        <v>5988.3380380064846</v>
      </c>
      <c r="AI159" s="22">
        <f ca="1">ts2bElec*SUMPRODUCT(tpSurvCnU,INDEX(tEIdxElec,31)*INDEX(elecCnU,stdCSL+1,2)*convFactor)</f>
        <v>5988.3380380064846</v>
      </c>
      <c r="AJ159" s="22">
        <f ca="1">ts2bElec*SUMPRODUCT(tpSurvCnU,INDEX(tEIdxElec,32)*INDEX(elecCnU,stdCSL+1,2)*convFactor)</f>
        <v>5988.3380380064846</v>
      </c>
      <c r="AK159" s="25">
        <f ca="1">ts2bElec*SUMPRODUCT(tpSurvCnU,INDEX(tEIdxElec,33)*INDEX(elecCnU,stdCSL+1,2)*convFactor)</f>
        <v>5988.3380380064846</v>
      </c>
      <c r="AL159" s="3"/>
    </row>
    <row r="160" spans="2:38">
      <c r="B160" s="3"/>
      <c r="C160" s="30" t="str">
        <f>"EL 2: " &amp; INDEX(_doName,4,3)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(1+INDEX(vadCnU,stdCSL+1,3))*INDEX(mspCnU,stdCSL+1,3)*tPIdxAll + INDEX(instCnU,stdCSL+1,3) + SUMPRODUCT(dFactor,tpSurvCnU,INDEX(mrCnU,stdCSL+1,3)*allOnes)</f>
        <v>2207.5431360000002</v>
      </c>
      <c r="F161" s="28">
        <f ca="1"/>
        <v>2207.5431360000002</v>
      </c>
      <c r="G161" s="28">
        <f ca="1"/>
        <v>2207.5431360000002</v>
      </c>
      <c r="H161" s="28">
        <f ca="1"/>
        <v>2207.5431360000002</v>
      </c>
      <c r="I161" s="28">
        <f ca="1"/>
        <v>2207.5431360000002</v>
      </c>
      <c r="J161" s="28">
        <f ca="1"/>
        <v>2207.5431360000002</v>
      </c>
      <c r="K161" s="28">
        <f ca="1"/>
        <v>2207.5431360000002</v>
      </c>
      <c r="L161" s="28">
        <f ca="1"/>
        <v>2207.5431360000002</v>
      </c>
      <c r="M161" s="28">
        <f ca="1"/>
        <v>2207.5431360000002</v>
      </c>
      <c r="N161" s="28">
        <f ca="1"/>
        <v>2207.5431360000002</v>
      </c>
      <c r="O161" s="28">
        <f ca="1"/>
        <v>2207.5431360000002</v>
      </c>
      <c r="P161" s="28">
        <f ca="1"/>
        <v>2207.5431360000002</v>
      </c>
      <c r="Q161" s="28">
        <f ca="1"/>
        <v>2207.5431360000002</v>
      </c>
      <c r="R161" s="28">
        <f ca="1"/>
        <v>2207.5431360000002</v>
      </c>
      <c r="S161" s="28">
        <f ca="1"/>
        <v>2207.5431360000002</v>
      </c>
      <c r="T161" s="28">
        <f ca="1"/>
        <v>2207.5431360000002</v>
      </c>
      <c r="U161" s="28">
        <f ca="1"/>
        <v>2207.5431360000002</v>
      </c>
      <c r="V161" s="28">
        <f ca="1"/>
        <v>2207.5431360000002</v>
      </c>
      <c r="W161" s="28">
        <f ca="1"/>
        <v>2207.5431360000002</v>
      </c>
      <c r="X161" s="28">
        <f ca="1"/>
        <v>2207.5431360000002</v>
      </c>
      <c r="Y161" s="28">
        <f ca="1"/>
        <v>2207.5431360000002</v>
      </c>
      <c r="Z161" s="28">
        <f ca="1"/>
        <v>2207.5431360000002</v>
      </c>
      <c r="AA161" s="28">
        <f ca="1"/>
        <v>2207.5431360000002</v>
      </c>
      <c r="AB161" s="28">
        <f ca="1"/>
        <v>2207.5431360000002</v>
      </c>
      <c r="AC161" s="28">
        <f ca="1"/>
        <v>2207.5431360000002</v>
      </c>
      <c r="AD161" s="28">
        <f ca="1"/>
        <v>2207.5431360000002</v>
      </c>
      <c r="AE161" s="28">
        <f ca="1"/>
        <v>2207.5431360000002</v>
      </c>
      <c r="AF161" s="28">
        <f ca="1"/>
        <v>2207.5431360000002</v>
      </c>
      <c r="AG161" s="28">
        <f ca="1"/>
        <v>2207.5431360000002</v>
      </c>
      <c r="AH161" s="28">
        <f ca="1"/>
        <v>2207.5431360000002</v>
      </c>
      <c r="AI161" s="28">
        <f ca="1"/>
        <v>2207.5431360000002</v>
      </c>
      <c r="AJ161" s="28">
        <f ca="1"/>
        <v>2207.5431360000002</v>
      </c>
      <c r="AK161" s="29">
        <f ca="1"/>
        <v>2207.5431360000002</v>
      </c>
      <c r="AL161" s="3"/>
    </row>
    <row r="162" spans="2:38">
      <c r="B162" s="3"/>
      <c r="C162" s="23" t="s">
        <v>47</v>
      </c>
      <c r="D162" s="16" t="str">
        <f>_yearDol &amp; "$"</f>
        <v>2013$</v>
      </c>
      <c r="E162" s="141">
        <f t="array" aca="1" ref="E162:AK162" ca="1">(tlccEFupolElec2)</f>
        <v>54017.634718068228</v>
      </c>
      <c r="F162" s="28">
        <f ca="1"/>
        <v>54255.591159127471</v>
      </c>
      <c r="G162" s="28">
        <f ca="1"/>
        <v>54466.086423007087</v>
      </c>
      <c r="H162" s="28">
        <f ca="1"/>
        <v>54695.748048181777</v>
      </c>
      <c r="I162" s="28">
        <f ca="1"/>
        <v>54897.280579829989</v>
      </c>
      <c r="J162" s="28">
        <f ca="1"/>
        <v>55117.345453401751</v>
      </c>
      <c r="K162" s="28">
        <f ca="1"/>
        <v>55308.764266541148</v>
      </c>
      <c r="L162" s="28">
        <f ca="1"/>
        <v>55517.938782672943</v>
      </c>
      <c r="M162" s="28">
        <f ca="1"/>
        <v>55746.306766636473</v>
      </c>
      <c r="N162" s="28">
        <f ca="1"/>
        <v>55946.523045713271</v>
      </c>
      <c r="O162" s="28">
        <f ca="1"/>
        <v>56165.248311848394</v>
      </c>
      <c r="P162" s="28">
        <f ca="1"/>
        <v>56403.890613328389</v>
      </c>
      <c r="Q162" s="28">
        <f ca="1"/>
        <v>56615.169588336707</v>
      </c>
      <c r="R162" s="28">
        <f ca="1"/>
        <v>56845.900664565444</v>
      </c>
      <c r="S162" s="28">
        <f ca="1"/>
        <v>57048.735833513601</v>
      </c>
      <c r="T162" s="28">
        <f ca="1"/>
        <v>57270.419119262551</v>
      </c>
      <c r="U162" s="28">
        <f ca="1"/>
        <v>57512.251678469089</v>
      </c>
      <c r="V162" s="28">
        <f ca="1"/>
        <v>57727.074544709176</v>
      </c>
      <c r="W162" s="28">
        <f ca="1"/>
        <v>57961.725630256406</v>
      </c>
      <c r="X162" s="28">
        <f ca="1"/>
        <v>58168.793239491948</v>
      </c>
      <c r="Y162" s="28">
        <f ca="1"/>
        <v>58395.227376935982</v>
      </c>
      <c r="Z162" s="28">
        <f ca="1"/>
        <v>58642.164977622437</v>
      </c>
      <c r="AA162" s="28">
        <f ca="1"/>
        <v>58862.680989511755</v>
      </c>
      <c r="AB162" s="28">
        <f ca="1"/>
        <v>59103.302381235619</v>
      </c>
      <c r="AC162" s="28">
        <f ca="1"/>
        <v>59316.965260378835</v>
      </c>
      <c r="AD162" s="28">
        <f ca="1"/>
        <v>59550.438480531142</v>
      </c>
      <c r="AE162" s="28">
        <f ca="1"/>
        <v>59804.881595971303</v>
      </c>
      <c r="AF162" s="28">
        <f ca="1"/>
        <v>60033.698522307495</v>
      </c>
      <c r="AG162" s="28">
        <f ca="1"/>
        <v>60283.283702927212</v>
      </c>
      <c r="AH162" s="28">
        <f ca="1"/>
        <v>60506.775800091084</v>
      </c>
      <c r="AI162" s="28">
        <f ca="1"/>
        <v>60750.775962070809</v>
      </c>
      <c r="AJ162" s="28">
        <f ca="1"/>
        <v>60968.26311809761</v>
      </c>
      <c r="AK162" s="29">
        <f ca="1"/>
        <v>61205.910069849888</v>
      </c>
      <c r="AL162" s="3"/>
    </row>
    <row r="163" spans="2:38">
      <c r="B163" s="3"/>
      <c r="C163" s="27" t="str">
        <f>INDEX(_fuel,1)</f>
        <v>Electricity</v>
      </c>
      <c r="D163" s="16" t="str">
        <f>_yearDol &amp; "$"</f>
        <v>2013$</v>
      </c>
      <c r="E163" s="141">
        <f ca="1">SUMPRODUCT(dFactor,tpSurvCnU,INDEX(tEIdxElec,1)*INDEX(elecCnU,stdCSL+1,3)*allOnes,OFFSET(tPrcElec,0,0,1,_maxLT))</f>
        <v>54017.634718068228</v>
      </c>
      <c r="F163" s="28">
        <f ca="1">SUMPRODUCT(dFactor,tpSurvCnU,INDEX(tEIdxElec,2)*INDEX(elecCnU,stdCSL+1,3)*allOnes,OFFSET(tPrcElec,0,1,1,_maxLT))</f>
        <v>54255.591159127471</v>
      </c>
      <c r="G163" s="28">
        <f ca="1">SUMPRODUCT(dFactor,tpSurvCnU,INDEX(tEIdxElec,3)*INDEX(elecCnU,stdCSL+1,3)*allOnes,OFFSET(tPrcElec,0,2,1,_maxLT))</f>
        <v>54466.086423007087</v>
      </c>
      <c r="H163" s="28">
        <f ca="1">SUMPRODUCT(dFactor,tpSurvCnU,INDEX(tEIdxElec,4)*INDEX(elecCnU,stdCSL+1,3)*allOnes,OFFSET(tPrcElec,0,3,1,_maxLT))</f>
        <v>54695.748048181777</v>
      </c>
      <c r="I163" s="28">
        <f ca="1">SUMPRODUCT(dFactor,tpSurvCnU,INDEX(tEIdxElec,5)*INDEX(elecCnU,stdCSL+1,3)*allOnes,OFFSET(tPrcElec,0,4,1,_maxLT))</f>
        <v>54897.280579829989</v>
      </c>
      <c r="J163" s="28">
        <f ca="1">SUMPRODUCT(dFactor,tpSurvCnU,INDEX(tEIdxElec,6)*INDEX(elecCnU,stdCSL+1,3)*allOnes,OFFSET(tPrcElec,0,5,1,_maxLT))</f>
        <v>55117.345453401751</v>
      </c>
      <c r="K163" s="28">
        <f ca="1">SUMPRODUCT(dFactor,tpSurvCnU,INDEX(tEIdxElec,7)*INDEX(elecCnU,stdCSL+1,3)*allOnes,OFFSET(tPrcElec,0,6,1,_maxLT))</f>
        <v>55308.764266541148</v>
      </c>
      <c r="L163" s="28">
        <f ca="1">SUMPRODUCT(dFactor,tpSurvCnU,INDEX(tEIdxElec,8)*INDEX(elecCnU,stdCSL+1,3)*allOnes,OFFSET(tPrcElec,0,7,1,_maxLT))</f>
        <v>55517.938782672943</v>
      </c>
      <c r="M163" s="28">
        <f ca="1">SUMPRODUCT(dFactor,tpSurvCnU,INDEX(tEIdxElec,9)*INDEX(elecCnU,stdCSL+1,3)*allOnes,OFFSET(tPrcElec,0,8,1,_maxLT))</f>
        <v>55746.306766636473</v>
      </c>
      <c r="N163" s="28">
        <f ca="1">SUMPRODUCT(dFactor,tpSurvCnU,INDEX(tEIdxElec,10)*INDEX(elecCnU,stdCSL+1,3)*allOnes,OFFSET(tPrcElec,0,9,1,_maxLT))</f>
        <v>55946.523045713271</v>
      </c>
      <c r="O163" s="28">
        <f ca="1">SUMPRODUCT(dFactor,tpSurvCnU,INDEX(tEIdxElec,11)*INDEX(elecCnU,stdCSL+1,3)*allOnes,OFFSET(tPrcElec,0,10,1,_maxLT))</f>
        <v>56165.248311848394</v>
      </c>
      <c r="P163" s="28">
        <f ca="1">SUMPRODUCT(dFactor,tpSurvCnU,INDEX(tEIdxElec,12)*INDEX(elecCnU,stdCSL+1,3)*allOnes,OFFSET(tPrcElec,0,11,1,_maxLT))</f>
        <v>56403.890613328389</v>
      </c>
      <c r="Q163" s="28">
        <f ca="1">SUMPRODUCT(dFactor,tpSurvCnU,INDEX(tEIdxElec,13)*INDEX(elecCnU,stdCSL+1,3)*allOnes,OFFSET(tPrcElec,0,12,1,_maxLT))</f>
        <v>56615.169588336707</v>
      </c>
      <c r="R163" s="28">
        <f ca="1">SUMPRODUCT(dFactor,tpSurvCnU,INDEX(tEIdxElec,14)*INDEX(elecCnU,stdCSL+1,3)*allOnes,OFFSET(tPrcElec,0,13,1,_maxLT))</f>
        <v>56845.900664565444</v>
      </c>
      <c r="S163" s="28">
        <f ca="1">SUMPRODUCT(dFactor,tpSurvCnU,INDEX(tEIdxElec,15)*INDEX(elecCnU,stdCSL+1,3)*allOnes,OFFSET(tPrcElec,0,14,1,_maxLT))</f>
        <v>57048.735833513601</v>
      </c>
      <c r="T163" s="28">
        <f ca="1">SUMPRODUCT(dFactor,tpSurvCnU,INDEX(tEIdxElec,16)*INDEX(elecCnU,stdCSL+1,3)*allOnes,OFFSET(tPrcElec,0,15,1,_maxLT))</f>
        <v>57270.419119262551</v>
      </c>
      <c r="U163" s="28">
        <f ca="1">SUMPRODUCT(dFactor,tpSurvCnU,INDEX(tEIdxElec,17)*INDEX(elecCnU,stdCSL+1,3)*allOnes,OFFSET(tPrcElec,0,16,1,_maxLT))</f>
        <v>57512.251678469089</v>
      </c>
      <c r="V163" s="28">
        <f ca="1">SUMPRODUCT(dFactor,tpSurvCnU,INDEX(tEIdxElec,18)*INDEX(elecCnU,stdCSL+1,3)*allOnes,OFFSET(tPrcElec,0,17,1,_maxLT))</f>
        <v>57727.074544709176</v>
      </c>
      <c r="W163" s="28">
        <f ca="1">SUMPRODUCT(dFactor,tpSurvCnU,INDEX(tEIdxElec,19)*INDEX(elecCnU,stdCSL+1,3)*allOnes,OFFSET(tPrcElec,0,18,1,_maxLT))</f>
        <v>57961.725630256406</v>
      </c>
      <c r="X163" s="28">
        <f ca="1">SUMPRODUCT(dFactor,tpSurvCnU,INDEX(tEIdxElec,20)*INDEX(elecCnU,stdCSL+1,3)*allOnes,OFFSET(tPrcElec,0,19,1,_maxLT))</f>
        <v>58168.793239491948</v>
      </c>
      <c r="Y163" s="28">
        <f ca="1">SUMPRODUCT(dFactor,tpSurvCnU,INDEX(tEIdxElec,21)*INDEX(elecCnU,stdCSL+1,3)*allOnes,OFFSET(tPrcElec,0,20,1,_maxLT))</f>
        <v>58395.227376935982</v>
      </c>
      <c r="Z163" s="28">
        <f ca="1">SUMPRODUCT(dFactor,tpSurvCnU,INDEX(tEIdxElec,22)*INDEX(elecCnU,stdCSL+1,3)*allOnes,OFFSET(tPrcElec,0,21,1,_maxLT))</f>
        <v>58642.164977622437</v>
      </c>
      <c r="AA163" s="28">
        <f ca="1">SUMPRODUCT(dFactor,tpSurvCnU,INDEX(tEIdxElec,23)*INDEX(elecCnU,stdCSL+1,3)*allOnes,OFFSET(tPrcElec,0,22,1,_maxLT))</f>
        <v>58862.680989511755</v>
      </c>
      <c r="AB163" s="28">
        <f ca="1">SUMPRODUCT(dFactor,tpSurvCnU,INDEX(tEIdxElec,24)*INDEX(elecCnU,stdCSL+1,3)*allOnes,OFFSET(tPrcElec,0,23,1,_maxLT))</f>
        <v>59103.302381235619</v>
      </c>
      <c r="AC163" s="28">
        <f ca="1">SUMPRODUCT(dFactor,tpSurvCnU,INDEX(tEIdxElec,25)*INDEX(elecCnU,stdCSL+1,3)*allOnes,OFFSET(tPrcElec,0,24,1,_maxLT))</f>
        <v>59316.965260378835</v>
      </c>
      <c r="AD163" s="28">
        <f ca="1">SUMPRODUCT(dFactor,tpSurvCnU,INDEX(tEIdxElec,26)*INDEX(elecCnU,stdCSL+1,3)*allOnes,OFFSET(tPrcElec,0,25,1,_maxLT))</f>
        <v>59550.438480531142</v>
      </c>
      <c r="AE163" s="28">
        <f ca="1">SUMPRODUCT(dFactor,tpSurvCnU,INDEX(tEIdxElec,27)*INDEX(elecCnU,stdCSL+1,3)*allOnes,OFFSET(tPrcElec,0,26,1,_maxLT))</f>
        <v>59804.881595971303</v>
      </c>
      <c r="AF163" s="28">
        <f ca="1">SUMPRODUCT(dFactor,tpSurvCnU,INDEX(tEIdxElec,28)*INDEX(elecCnU,stdCSL+1,3)*allOnes,OFFSET(tPrcElec,0,27,1,_maxLT))</f>
        <v>60033.698522307495</v>
      </c>
      <c r="AG163" s="28">
        <f ca="1">SUMPRODUCT(dFactor,tpSurvCnU,INDEX(tEIdxElec,29)*INDEX(elecCnU,stdCSL+1,3)*allOnes,OFFSET(tPrcElec,0,28,1,_maxLT))</f>
        <v>60283.283702927212</v>
      </c>
      <c r="AH163" s="28">
        <f ca="1">SUMPRODUCT(dFactor,tpSurvCnU,INDEX(tEIdxElec,30)*INDEX(elecCnU,stdCSL+1,3)*allOnes,OFFSET(tPrcElec,0,29,1,_maxLT))</f>
        <v>60506.775800091084</v>
      </c>
      <c r="AI163" s="28">
        <f ca="1">SUMPRODUCT(dFactor,tpSurvCnU,INDEX(tEIdxElec,31)*INDEX(elecCnU,stdCSL+1,3)*allOnes,OFFSET(tPrcElec,0,30,1,_maxLT))</f>
        <v>60750.775962070809</v>
      </c>
      <c r="AJ163" s="28">
        <f ca="1">SUMPRODUCT(dFactor,tpSurvCnU,INDEX(tEIdxElec,32)*INDEX(elecCnU,stdCSL+1,3)*allOnes,OFFSET(tPrcElec,0,31,1,_maxLT))</f>
        <v>60968.26311809761</v>
      </c>
      <c r="AK163" s="29">
        <f ca="1">SUMPRODUCT(dFactor,tpSurvCnU,INDEX(tEIdxElec,33)*INDEX(elecCnU,stdCSL+1,3)*allOnes,OFFSET(tPrcElec,0,32,1,_maxLT))</f>
        <v>61205.910069849888</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ts2bElec*SUMPRODUCT(tpSurvCnU,INDEX(tEIdxElec,1)*INDEX(elecCnU,stdCSL+1,3)*convFactor)</f>
        <v>11471.86715905474</v>
      </c>
      <c r="F165" s="22">
        <f ca="1">ts2bElec*SUMPRODUCT(tpSurvCnU,INDEX(tEIdxElec,2)*INDEX(elecCnU,stdCSL+1,3)*convFactor)</f>
        <v>11385.76310885832</v>
      </c>
      <c r="G165" s="22">
        <f ca="1">ts2bElec*SUMPRODUCT(tpSurvCnU,INDEX(tEIdxElec,3)*INDEX(elecCnU,stdCSL+1,3)*convFactor)</f>
        <v>11299.025479594837</v>
      </c>
      <c r="H165" s="22">
        <f ca="1">ts2bElec*SUMPRODUCT(tpSurvCnU,INDEX(tEIdxElec,4)*INDEX(elecCnU,stdCSL+1,3)*convFactor)</f>
        <v>11222.882170088194</v>
      </c>
      <c r="I165" s="22">
        <f ca="1">ts2bElec*SUMPRODUCT(tpSurvCnU,INDEX(tEIdxElec,5)*INDEX(elecCnU,stdCSL+1,3)*convFactor)</f>
        <v>11150.68796000612</v>
      </c>
      <c r="J165" s="22">
        <f ca="1">ts2bElec*SUMPRODUCT(tpSurvCnU,INDEX(tEIdxElec,6)*INDEX(elecCnU,stdCSL+1,3)*convFactor)</f>
        <v>11087.841634456034</v>
      </c>
      <c r="K165" s="22">
        <f ca="1">ts2bElec*SUMPRODUCT(tpSurvCnU,INDEX(tEIdxElec,7)*INDEX(elecCnU,stdCSL+1,3)*convFactor)</f>
        <v>11039.113195711327</v>
      </c>
      <c r="L165" s="22">
        <f ca="1">ts2bElec*SUMPRODUCT(tpSurvCnU,INDEX(tEIdxElec,8)*INDEX(elecCnU,stdCSL+1,3)*convFactor)</f>
        <v>10998.733284428965</v>
      </c>
      <c r="M165" s="22">
        <f ca="1">ts2bElec*SUMPRODUCT(tpSurvCnU,INDEX(tEIdxElec,9)*INDEX(elecCnU,stdCSL+1,3)*convFactor)</f>
        <v>10958.172941395778</v>
      </c>
      <c r="N165" s="22">
        <f ca="1">ts2bElec*SUMPRODUCT(tpSurvCnU,INDEX(tEIdxElec,10)*INDEX(elecCnU,stdCSL+1,3)*convFactor)</f>
        <v>10925.73380994814</v>
      </c>
      <c r="O165" s="22">
        <f ca="1">ts2bElec*SUMPRODUCT(tpSurvCnU,INDEX(tEIdxElec,11)*INDEX(elecCnU,stdCSL+1,3)*convFactor)</f>
        <v>10903.390682102445</v>
      </c>
      <c r="P165" s="22">
        <f ca="1">ts2bElec*SUMPRODUCT(tpSurvCnU,INDEX(tEIdxElec,12)*INDEX(elecCnU,stdCSL+1,3)*convFactor)</f>
        <v>10887.037457361601</v>
      </c>
      <c r="Q165" s="22">
        <f ca="1">ts2bElec*SUMPRODUCT(tpSurvCnU,INDEX(tEIdxElec,13)*INDEX(elecCnU,stdCSL+1,3)*convFactor)</f>
        <v>10873.277669062298</v>
      </c>
      <c r="R165" s="22">
        <f ca="1">ts2bElec*SUMPRODUCT(tpSurvCnU,INDEX(tEIdxElec,14)*INDEX(elecCnU,stdCSL+1,3)*convFactor)</f>
        <v>10863.125493093548</v>
      </c>
      <c r="S165" s="22">
        <f ca="1">ts2bElec*SUMPRODUCT(tpSurvCnU,INDEX(tEIdxElec,15)*INDEX(elecCnU,stdCSL+1,3)*convFactor)</f>
        <v>10855.38843346821</v>
      </c>
      <c r="T165" s="22">
        <f ca="1">ts2bElec*SUMPRODUCT(tpSurvCnU,INDEX(tEIdxElec,16)*INDEX(elecCnU,stdCSL+1,3)*convFactor)</f>
        <v>10854.418023100234</v>
      </c>
      <c r="U165" s="22">
        <f ca="1">ts2bElec*SUMPRODUCT(tpSurvCnU,INDEX(tEIdxElec,17)*INDEX(elecCnU,stdCSL+1,3)*convFactor)</f>
        <v>10856.403910934734</v>
      </c>
      <c r="V165" s="22">
        <f ca="1">ts2bElec*SUMPRODUCT(tpSurvCnU,INDEX(tEIdxElec,18)*INDEX(elecCnU,stdCSL+1,3)*convFactor)</f>
        <v>10859.322131910916</v>
      </c>
      <c r="W165" s="22">
        <f ca="1">ts2bElec*SUMPRODUCT(tpSurvCnU,INDEX(tEIdxElec,19)*INDEX(elecCnU,stdCSL+1,3)*convFactor)</f>
        <v>10863.495592221518</v>
      </c>
      <c r="X165" s="22">
        <f ca="1">ts2bElec*SUMPRODUCT(tpSurvCnU,INDEX(tEIdxElec,20)*INDEX(elecCnU,stdCSL+1,3)*convFactor)</f>
        <v>10867.43946738363</v>
      </c>
      <c r="Y165" s="22">
        <f ca="1">ts2bElec*SUMPRODUCT(tpSurvCnU,INDEX(tEIdxElec,21)*INDEX(elecCnU,stdCSL+1,3)*convFactor)</f>
        <v>10870.707178820327</v>
      </c>
      <c r="Z165" s="22">
        <f ca="1">ts2bElec*SUMPRODUCT(tpSurvCnU,INDEX(tEIdxElec,22)*INDEX(elecCnU,stdCSL+1,3)*convFactor)</f>
        <v>10872.897007496262</v>
      </c>
      <c r="AA165" s="22">
        <f ca="1">ts2bElec*SUMPRODUCT(tpSurvCnU,INDEX(tEIdxElec,23)*INDEX(elecCnU,stdCSL+1,3)*convFactor)</f>
        <v>10874.340250363171</v>
      </c>
      <c r="AB165" s="22">
        <f ca="1">ts2bElec*SUMPRODUCT(tpSurvCnU,INDEX(tEIdxElec,24)*INDEX(elecCnU,stdCSL+1,3)*convFactor)</f>
        <v>10874.340250363171</v>
      </c>
      <c r="AC165" s="22">
        <f ca="1">ts2bElec*SUMPRODUCT(tpSurvCnU,INDEX(tEIdxElec,25)*INDEX(elecCnU,stdCSL+1,3)*convFactor)</f>
        <v>10874.340250363171</v>
      </c>
      <c r="AD165" s="22">
        <f ca="1">ts2bElec*SUMPRODUCT(tpSurvCnU,INDEX(tEIdxElec,26)*INDEX(elecCnU,stdCSL+1,3)*convFactor)</f>
        <v>10874.340250363171</v>
      </c>
      <c r="AE165" s="22">
        <f ca="1">ts2bElec*SUMPRODUCT(tpSurvCnU,INDEX(tEIdxElec,27)*INDEX(elecCnU,stdCSL+1,3)*convFactor)</f>
        <v>10874.340250363171</v>
      </c>
      <c r="AF165" s="22">
        <f ca="1">ts2bElec*SUMPRODUCT(tpSurvCnU,INDEX(tEIdxElec,28)*INDEX(elecCnU,stdCSL+1,3)*convFactor)</f>
        <v>10874.340250363171</v>
      </c>
      <c r="AG165" s="22">
        <f ca="1">ts2bElec*SUMPRODUCT(tpSurvCnU,INDEX(tEIdxElec,29)*INDEX(elecCnU,stdCSL+1,3)*convFactor)</f>
        <v>10874.340250363171</v>
      </c>
      <c r="AH165" s="22">
        <f ca="1">ts2bElec*SUMPRODUCT(tpSurvCnU,INDEX(tEIdxElec,30)*INDEX(elecCnU,stdCSL+1,3)*convFactor)</f>
        <v>10874.340250363171</v>
      </c>
      <c r="AI165" s="22">
        <f ca="1">ts2bElec*SUMPRODUCT(tpSurvCnU,INDEX(tEIdxElec,31)*INDEX(elecCnU,stdCSL+1,3)*convFactor)</f>
        <v>10874.340250363171</v>
      </c>
      <c r="AJ165" s="22">
        <f ca="1">ts2bElec*SUMPRODUCT(tpSurvCnU,INDEX(tEIdxElec,32)*INDEX(elecCnU,stdCSL+1,3)*convFactor)</f>
        <v>10874.340250363171</v>
      </c>
      <c r="AK165" s="25">
        <f ca="1">ts2bElec*SUMPRODUCT(tpSurvCnU,INDEX(tEIdxElec,33)*INDEX(elecCnU,stdCSL+1,3)*convFactor)</f>
        <v>10874.340250363171</v>
      </c>
      <c r="AL165" s="3"/>
    </row>
    <row r="166" spans="2:38">
      <c r="B166" s="3"/>
      <c r="C166" s="30" t="str">
        <f>"EL 3: " &amp; INDEX(_doName,4,4)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(1+INDEX(vadCnU,stdCSL+1,4))*INDEX(mspCnU,stdCSL+1,4)*tPIdxAll + INDEX(instCnU,stdCSL+1,4) + SUMPRODUCT(dFactor,tpSurvCnU,INDEX(mrCnU,stdCSL+1,4)*allOnes)</f>
        <v>1585.3124339999999</v>
      </c>
      <c r="F167" s="28">
        <f ca="1"/>
        <v>1585.3124339999999</v>
      </c>
      <c r="G167" s="28">
        <f ca="1"/>
        <v>1585.3124339999999</v>
      </c>
      <c r="H167" s="28">
        <f ca="1"/>
        <v>1585.3124339999999</v>
      </c>
      <c r="I167" s="28">
        <f ca="1"/>
        <v>1585.3124339999999</v>
      </c>
      <c r="J167" s="28">
        <f ca="1"/>
        <v>1585.3124339999999</v>
      </c>
      <c r="K167" s="28">
        <f ca="1"/>
        <v>1585.3124339999999</v>
      </c>
      <c r="L167" s="28">
        <f ca="1"/>
        <v>1585.3124339999999</v>
      </c>
      <c r="M167" s="28">
        <f ca="1"/>
        <v>1585.3124339999999</v>
      </c>
      <c r="N167" s="28">
        <f ca="1"/>
        <v>1585.3124339999999</v>
      </c>
      <c r="O167" s="28">
        <f ca="1"/>
        <v>1585.3124339999999</v>
      </c>
      <c r="P167" s="28">
        <f ca="1"/>
        <v>1585.3124339999999</v>
      </c>
      <c r="Q167" s="28">
        <f ca="1"/>
        <v>1585.3124339999999</v>
      </c>
      <c r="R167" s="28">
        <f ca="1"/>
        <v>1585.3124339999999</v>
      </c>
      <c r="S167" s="28">
        <f ca="1"/>
        <v>1585.3124339999999</v>
      </c>
      <c r="T167" s="28">
        <f ca="1"/>
        <v>1585.3124339999999</v>
      </c>
      <c r="U167" s="28">
        <f ca="1"/>
        <v>1585.3124339999999</v>
      </c>
      <c r="V167" s="28">
        <f ca="1"/>
        <v>1585.3124339999999</v>
      </c>
      <c r="W167" s="28">
        <f ca="1"/>
        <v>1585.3124339999999</v>
      </c>
      <c r="X167" s="28">
        <f ca="1"/>
        <v>1585.3124339999999</v>
      </c>
      <c r="Y167" s="28">
        <f ca="1"/>
        <v>1585.3124339999999</v>
      </c>
      <c r="Z167" s="28">
        <f ca="1"/>
        <v>1585.3124339999999</v>
      </c>
      <c r="AA167" s="28">
        <f ca="1"/>
        <v>1585.3124339999999</v>
      </c>
      <c r="AB167" s="28">
        <f ca="1"/>
        <v>1585.3124339999999</v>
      </c>
      <c r="AC167" s="28">
        <f ca="1"/>
        <v>1585.3124339999999</v>
      </c>
      <c r="AD167" s="28">
        <f ca="1"/>
        <v>1585.3124339999999</v>
      </c>
      <c r="AE167" s="28">
        <f ca="1"/>
        <v>1585.3124339999999</v>
      </c>
      <c r="AF167" s="28">
        <f ca="1"/>
        <v>1585.3124339999999</v>
      </c>
      <c r="AG167" s="28">
        <f ca="1"/>
        <v>1585.3124339999999</v>
      </c>
      <c r="AH167" s="28">
        <f ca="1"/>
        <v>1585.3124339999999</v>
      </c>
      <c r="AI167" s="28">
        <f ca="1"/>
        <v>1585.3124339999999</v>
      </c>
      <c r="AJ167" s="28">
        <f ca="1"/>
        <v>1585.3124339999999</v>
      </c>
      <c r="AK167" s="29">
        <f ca="1"/>
        <v>1585.3124339999999</v>
      </c>
      <c r="AL167" s="3"/>
    </row>
    <row r="168" spans="2:38">
      <c r="B168" s="3"/>
      <c r="C168" s="23" t="s">
        <v>47</v>
      </c>
      <c r="D168" s="16" t="str">
        <f>_yearDol &amp; "$"</f>
        <v>2013$</v>
      </c>
      <c r="E168" s="141">
        <f t="array" aca="1" ref="E168:AK168" ca="1">(tlccEFupolElec3)</f>
        <v>47476.07586674246</v>
      </c>
      <c r="F168" s="28">
        <f ca="1"/>
        <v>47685.21568020658</v>
      </c>
      <c r="G168" s="28">
        <f ca="1"/>
        <v>47870.219876886033</v>
      </c>
      <c r="H168" s="28">
        <f ca="1"/>
        <v>48072.06938024507</v>
      </c>
      <c r="I168" s="28">
        <f ca="1"/>
        <v>48249.196235430158</v>
      </c>
      <c r="J168" s="28">
        <f ca="1"/>
        <v>48442.611157942534</v>
      </c>
      <c r="K168" s="28">
        <f ca="1"/>
        <v>48610.84907029022</v>
      </c>
      <c r="L168" s="28">
        <f ca="1"/>
        <v>48794.692462343468</v>
      </c>
      <c r="M168" s="28">
        <f ca="1"/>
        <v>48995.40498499971</v>
      </c>
      <c r="N168" s="28">
        <f ca="1"/>
        <v>49171.37498636722</v>
      </c>
      <c r="O168" s="28">
        <f ca="1"/>
        <v>49363.612528481033</v>
      </c>
      <c r="P168" s="28">
        <f ca="1"/>
        <v>49573.355144373265</v>
      </c>
      <c r="Q168" s="28">
        <f ca="1"/>
        <v>49759.048144425833</v>
      </c>
      <c r="R168" s="28">
        <f ca="1"/>
        <v>49961.837587855269</v>
      </c>
      <c r="S168" s="28">
        <f ca="1"/>
        <v>50140.109330401669</v>
      </c>
      <c r="T168" s="28">
        <f ca="1"/>
        <v>50334.946674678889</v>
      </c>
      <c r="U168" s="28">
        <f ca="1"/>
        <v>50547.493206711668</v>
      </c>
      <c r="V168" s="28">
        <f ca="1"/>
        <v>50736.300931240105</v>
      </c>
      <c r="W168" s="28">
        <f ca="1"/>
        <v>50942.535669169658</v>
      </c>
      <c r="X168" s="28">
        <f ca="1"/>
        <v>51124.527301660055</v>
      </c>
      <c r="Y168" s="28">
        <f ca="1"/>
        <v>51323.540167443978</v>
      </c>
      <c r="Z168" s="28">
        <f ca="1"/>
        <v>51540.573518232697</v>
      </c>
      <c r="AA168" s="28">
        <f ca="1"/>
        <v>51734.384946017883</v>
      </c>
      <c r="AB168" s="28">
        <f ca="1"/>
        <v>51945.866983472231</v>
      </c>
      <c r="AC168" s="28">
        <f ca="1"/>
        <v>52133.655195841267</v>
      </c>
      <c r="AD168" s="28">
        <f ca="1"/>
        <v>52338.854708382969</v>
      </c>
      <c r="AE168" s="28">
        <f ca="1"/>
        <v>52562.484652853105</v>
      </c>
      <c r="AF168" s="28">
        <f ca="1"/>
        <v>52763.591750767155</v>
      </c>
      <c r="AG168" s="28">
        <f ca="1"/>
        <v>52982.952058417788</v>
      </c>
      <c r="AH168" s="28">
        <f ca="1"/>
        <v>53179.37916626779</v>
      </c>
      <c r="AI168" s="28">
        <f ca="1"/>
        <v>53393.830803443496</v>
      </c>
      <c r="AJ168" s="28">
        <f ca="1"/>
        <v>53584.980171116906</v>
      </c>
      <c r="AK168" s="29">
        <f ca="1"/>
        <v>53793.847974562486</v>
      </c>
      <c r="AL168" s="3"/>
    </row>
    <row r="169" spans="2:38">
      <c r="B169" s="3"/>
      <c r="C169" s="27" t="str">
        <f>INDEX(_fuel,1)</f>
        <v>Electricity</v>
      </c>
      <c r="D169" s="16" t="str">
        <f>_yearDol &amp; "$"</f>
        <v>2013$</v>
      </c>
      <c r="E169" s="141">
        <f ca="1">SUMPRODUCT(dFactor,tpSurvCnU,INDEX(tEIdxElec,1)*INDEX(elecCnU,stdCSL+1,4)*allOnes,OFFSET(tPrcElec,0,0,1,_maxLT))</f>
        <v>47476.07586674246</v>
      </c>
      <c r="F169" s="28">
        <f ca="1">SUMPRODUCT(dFactor,tpSurvCnU,INDEX(tEIdxElec,2)*INDEX(elecCnU,stdCSL+1,4)*allOnes,OFFSET(tPrcElec,0,1,1,_maxLT))</f>
        <v>47685.21568020658</v>
      </c>
      <c r="G169" s="28">
        <f ca="1">SUMPRODUCT(dFactor,tpSurvCnU,INDEX(tEIdxElec,3)*INDEX(elecCnU,stdCSL+1,4)*allOnes,OFFSET(tPrcElec,0,2,1,_maxLT))</f>
        <v>47870.219876886033</v>
      </c>
      <c r="H169" s="28">
        <f ca="1">SUMPRODUCT(dFactor,tpSurvCnU,INDEX(tEIdxElec,4)*INDEX(elecCnU,stdCSL+1,4)*allOnes,OFFSET(tPrcElec,0,3,1,_maxLT))</f>
        <v>48072.06938024507</v>
      </c>
      <c r="I169" s="28">
        <f ca="1">SUMPRODUCT(dFactor,tpSurvCnU,INDEX(tEIdxElec,5)*INDEX(elecCnU,stdCSL+1,4)*allOnes,OFFSET(tPrcElec,0,4,1,_maxLT))</f>
        <v>48249.196235430158</v>
      </c>
      <c r="J169" s="28">
        <f ca="1">SUMPRODUCT(dFactor,tpSurvCnU,INDEX(tEIdxElec,6)*INDEX(elecCnU,stdCSL+1,4)*allOnes,OFFSET(tPrcElec,0,5,1,_maxLT))</f>
        <v>48442.611157942534</v>
      </c>
      <c r="K169" s="28">
        <f ca="1">SUMPRODUCT(dFactor,tpSurvCnU,INDEX(tEIdxElec,7)*INDEX(elecCnU,stdCSL+1,4)*allOnes,OFFSET(tPrcElec,0,6,1,_maxLT))</f>
        <v>48610.84907029022</v>
      </c>
      <c r="L169" s="28">
        <f ca="1">SUMPRODUCT(dFactor,tpSurvCnU,INDEX(tEIdxElec,8)*INDEX(elecCnU,stdCSL+1,4)*allOnes,OFFSET(tPrcElec,0,7,1,_maxLT))</f>
        <v>48794.692462343468</v>
      </c>
      <c r="M169" s="28">
        <f ca="1">SUMPRODUCT(dFactor,tpSurvCnU,INDEX(tEIdxElec,9)*INDEX(elecCnU,stdCSL+1,4)*allOnes,OFFSET(tPrcElec,0,8,1,_maxLT))</f>
        <v>48995.40498499971</v>
      </c>
      <c r="N169" s="28">
        <f ca="1">SUMPRODUCT(dFactor,tpSurvCnU,INDEX(tEIdxElec,10)*INDEX(elecCnU,stdCSL+1,4)*allOnes,OFFSET(tPrcElec,0,9,1,_maxLT))</f>
        <v>49171.37498636722</v>
      </c>
      <c r="O169" s="28">
        <f ca="1">SUMPRODUCT(dFactor,tpSurvCnU,INDEX(tEIdxElec,11)*INDEX(elecCnU,stdCSL+1,4)*allOnes,OFFSET(tPrcElec,0,10,1,_maxLT))</f>
        <v>49363.612528481033</v>
      </c>
      <c r="P169" s="28">
        <f ca="1">SUMPRODUCT(dFactor,tpSurvCnU,INDEX(tEIdxElec,12)*INDEX(elecCnU,stdCSL+1,4)*allOnes,OFFSET(tPrcElec,0,11,1,_maxLT))</f>
        <v>49573.355144373265</v>
      </c>
      <c r="Q169" s="28">
        <f ca="1">SUMPRODUCT(dFactor,tpSurvCnU,INDEX(tEIdxElec,13)*INDEX(elecCnU,stdCSL+1,4)*allOnes,OFFSET(tPrcElec,0,12,1,_maxLT))</f>
        <v>49759.048144425833</v>
      </c>
      <c r="R169" s="28">
        <f ca="1">SUMPRODUCT(dFactor,tpSurvCnU,INDEX(tEIdxElec,14)*INDEX(elecCnU,stdCSL+1,4)*allOnes,OFFSET(tPrcElec,0,13,1,_maxLT))</f>
        <v>49961.837587855269</v>
      </c>
      <c r="S169" s="28">
        <f ca="1">SUMPRODUCT(dFactor,tpSurvCnU,INDEX(tEIdxElec,15)*INDEX(elecCnU,stdCSL+1,4)*allOnes,OFFSET(tPrcElec,0,14,1,_maxLT))</f>
        <v>50140.109330401669</v>
      </c>
      <c r="T169" s="28">
        <f ca="1">SUMPRODUCT(dFactor,tpSurvCnU,INDEX(tEIdxElec,16)*INDEX(elecCnU,stdCSL+1,4)*allOnes,OFFSET(tPrcElec,0,15,1,_maxLT))</f>
        <v>50334.946674678889</v>
      </c>
      <c r="U169" s="28">
        <f ca="1">SUMPRODUCT(dFactor,tpSurvCnU,INDEX(tEIdxElec,17)*INDEX(elecCnU,stdCSL+1,4)*allOnes,OFFSET(tPrcElec,0,16,1,_maxLT))</f>
        <v>50547.493206711668</v>
      </c>
      <c r="V169" s="28">
        <f ca="1">SUMPRODUCT(dFactor,tpSurvCnU,INDEX(tEIdxElec,18)*INDEX(elecCnU,stdCSL+1,4)*allOnes,OFFSET(tPrcElec,0,17,1,_maxLT))</f>
        <v>50736.300931240105</v>
      </c>
      <c r="W169" s="28">
        <f ca="1">SUMPRODUCT(dFactor,tpSurvCnU,INDEX(tEIdxElec,19)*INDEX(elecCnU,stdCSL+1,4)*allOnes,OFFSET(tPrcElec,0,18,1,_maxLT))</f>
        <v>50942.535669169658</v>
      </c>
      <c r="X169" s="28">
        <f ca="1">SUMPRODUCT(dFactor,tpSurvCnU,INDEX(tEIdxElec,20)*INDEX(elecCnU,stdCSL+1,4)*allOnes,OFFSET(tPrcElec,0,19,1,_maxLT))</f>
        <v>51124.527301660055</v>
      </c>
      <c r="Y169" s="28">
        <f ca="1">SUMPRODUCT(dFactor,tpSurvCnU,INDEX(tEIdxElec,21)*INDEX(elecCnU,stdCSL+1,4)*allOnes,OFFSET(tPrcElec,0,20,1,_maxLT))</f>
        <v>51323.540167443978</v>
      </c>
      <c r="Z169" s="28">
        <f ca="1">SUMPRODUCT(dFactor,tpSurvCnU,INDEX(tEIdxElec,22)*INDEX(elecCnU,stdCSL+1,4)*allOnes,OFFSET(tPrcElec,0,21,1,_maxLT))</f>
        <v>51540.573518232697</v>
      </c>
      <c r="AA169" s="28">
        <f ca="1">SUMPRODUCT(dFactor,tpSurvCnU,INDEX(tEIdxElec,23)*INDEX(elecCnU,stdCSL+1,4)*allOnes,OFFSET(tPrcElec,0,22,1,_maxLT))</f>
        <v>51734.384946017883</v>
      </c>
      <c r="AB169" s="28">
        <f ca="1">SUMPRODUCT(dFactor,tpSurvCnU,INDEX(tEIdxElec,24)*INDEX(elecCnU,stdCSL+1,4)*allOnes,OFFSET(tPrcElec,0,23,1,_maxLT))</f>
        <v>51945.866983472231</v>
      </c>
      <c r="AC169" s="28">
        <f ca="1">SUMPRODUCT(dFactor,tpSurvCnU,INDEX(tEIdxElec,25)*INDEX(elecCnU,stdCSL+1,4)*allOnes,OFFSET(tPrcElec,0,24,1,_maxLT))</f>
        <v>52133.655195841267</v>
      </c>
      <c r="AD169" s="28">
        <f ca="1">SUMPRODUCT(dFactor,tpSurvCnU,INDEX(tEIdxElec,26)*INDEX(elecCnU,stdCSL+1,4)*allOnes,OFFSET(tPrcElec,0,25,1,_maxLT))</f>
        <v>52338.854708382969</v>
      </c>
      <c r="AE169" s="28">
        <f ca="1">SUMPRODUCT(dFactor,tpSurvCnU,INDEX(tEIdxElec,27)*INDEX(elecCnU,stdCSL+1,4)*allOnes,OFFSET(tPrcElec,0,26,1,_maxLT))</f>
        <v>52562.484652853105</v>
      </c>
      <c r="AF169" s="28">
        <f ca="1">SUMPRODUCT(dFactor,tpSurvCnU,INDEX(tEIdxElec,28)*INDEX(elecCnU,stdCSL+1,4)*allOnes,OFFSET(tPrcElec,0,27,1,_maxLT))</f>
        <v>52763.591750767155</v>
      </c>
      <c r="AG169" s="28">
        <f ca="1">SUMPRODUCT(dFactor,tpSurvCnU,INDEX(tEIdxElec,29)*INDEX(elecCnU,stdCSL+1,4)*allOnes,OFFSET(tPrcElec,0,28,1,_maxLT))</f>
        <v>52982.952058417788</v>
      </c>
      <c r="AH169" s="28">
        <f ca="1">SUMPRODUCT(dFactor,tpSurvCnU,INDEX(tEIdxElec,30)*INDEX(elecCnU,stdCSL+1,4)*allOnes,OFFSET(tPrcElec,0,29,1,_maxLT))</f>
        <v>53179.37916626779</v>
      </c>
      <c r="AI169" s="28">
        <f ca="1">SUMPRODUCT(dFactor,tpSurvCnU,INDEX(tEIdxElec,31)*INDEX(elecCnU,stdCSL+1,4)*allOnes,OFFSET(tPrcElec,0,30,1,_maxLT))</f>
        <v>53393.830803443496</v>
      </c>
      <c r="AJ169" s="28">
        <f ca="1">SUMPRODUCT(dFactor,tpSurvCnU,INDEX(tEIdxElec,32)*INDEX(elecCnU,stdCSL+1,4)*allOnes,OFFSET(tPrcElec,0,31,1,_maxLT))</f>
        <v>53584.980171116906</v>
      </c>
      <c r="AK169" s="29">
        <f ca="1">SUMPRODUCT(dFactor,tpSurvCnU,INDEX(tEIdxElec,33)*INDEX(elecCnU,stdCSL+1,4)*allOnes,OFFSET(tPrcElec,0,32,1,_maxLT))</f>
        <v>53793.847974562486</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ts2bElec*SUMPRODUCT(tpSurvCnU,INDEX(tEIdxElec,1)*INDEX(elecCnU,stdCSL+1,4)*convFactor)</f>
        <v>10082.619100578633</v>
      </c>
      <c r="F171" s="22">
        <f ca="1">ts2bElec*SUMPRODUCT(tpSurvCnU,INDEX(tEIdxElec,2)*INDEX(elecCnU,stdCSL+1,4)*convFactor)</f>
        <v>10006.942287980399</v>
      </c>
      <c r="G171" s="22">
        <f ca="1">ts2bElec*SUMPRODUCT(tpSurvCnU,INDEX(tEIdxElec,3)*INDEX(elecCnU,stdCSL+1,4)*convFactor)</f>
        <v>9930.7086230132627</v>
      </c>
      <c r="H171" s="22">
        <f ca="1">ts2bElec*SUMPRODUCT(tpSurvCnU,INDEX(tEIdxElec,4)*INDEX(elecCnU,stdCSL+1,4)*convFactor)</f>
        <v>9863.7863011132049</v>
      </c>
      <c r="I171" s="22">
        <f ca="1">ts2bElec*SUMPRODUCT(tpSurvCnU,INDEX(tEIdxElec,5)*INDEX(elecCnU,stdCSL+1,4)*convFactor)</f>
        <v>9800.3348409949467</v>
      </c>
      <c r="J171" s="22">
        <f ca="1">ts2bElec*SUMPRODUCT(tpSurvCnU,INDEX(tEIdxElec,6)*INDEX(elecCnU,stdCSL+1,4)*convFactor)</f>
        <v>9745.0992325619882</v>
      </c>
      <c r="K171" s="22">
        <f ca="1">ts2bElec*SUMPRODUCT(tpSurvCnU,INDEX(tEIdxElec,7)*INDEX(elecCnU,stdCSL+1,4)*convFactor)</f>
        <v>9702.2718287560638</v>
      </c>
      <c r="L171" s="22">
        <f ca="1">ts2bElec*SUMPRODUCT(tpSurvCnU,INDEX(tEIdxElec,8)*INDEX(elecCnU,stdCSL+1,4)*convFactor)</f>
        <v>9666.7819421377499</v>
      </c>
      <c r="M171" s="22">
        <f ca="1">ts2bElec*SUMPRODUCT(tpSurvCnU,INDEX(tEIdxElec,9)*INDEX(elecCnU,stdCSL+1,4)*convFactor)</f>
        <v>9631.1334741314204</v>
      </c>
      <c r="N171" s="22">
        <f ca="1">ts2bElec*SUMPRODUCT(tpSurvCnU,INDEX(tEIdxElec,10)*INDEX(elecCnU,stdCSL+1,4)*convFactor)</f>
        <v>9602.6227354865805</v>
      </c>
      <c r="O171" s="22">
        <f ca="1">ts2bElec*SUMPRODUCT(tpSurvCnU,INDEX(tEIdxElec,11)*INDEX(elecCnU,stdCSL+1,4)*convFactor)</f>
        <v>9582.9853700551048</v>
      </c>
      <c r="P171" s="22">
        <f ca="1">ts2bElec*SUMPRODUCT(tpSurvCnU,INDEX(tEIdxElec,12)*INDEX(elecCnU,stdCSL+1,4)*convFactor)</f>
        <v>9568.612527880241</v>
      </c>
      <c r="Q171" s="22">
        <f ca="1">ts2bElec*SUMPRODUCT(tpSurvCnU,INDEX(tEIdxElec,13)*INDEX(elecCnU,stdCSL+1,4)*convFactor)</f>
        <v>9556.5190558758222</v>
      </c>
      <c r="R171" s="22">
        <f ca="1">ts2bElec*SUMPRODUCT(tpSurvCnU,INDEX(tEIdxElec,14)*INDEX(elecCnU,stdCSL+1,4)*convFactor)</f>
        <v>9547.5963127934865</v>
      </c>
      <c r="S171" s="22">
        <f ca="1">ts2bElec*SUMPRODUCT(tpSurvCnU,INDEX(tEIdxElec,15)*INDEX(elecCnU,stdCSL+1,4)*convFactor)</f>
        <v>9540.7962144242138</v>
      </c>
      <c r="T171" s="22">
        <f ca="1">ts2bElec*SUMPRODUCT(tpSurvCnU,INDEX(tEIdxElec,16)*INDEX(elecCnU,stdCSL+1,4)*convFactor)</f>
        <v>9539.9433211701453</v>
      </c>
      <c r="U171" s="22">
        <f ca="1">ts2bElec*SUMPRODUCT(tpSurvCnU,INDEX(tEIdxElec,17)*INDEX(elecCnU,stdCSL+1,4)*convFactor)</f>
        <v>9541.6887171317721</v>
      </c>
      <c r="V171" s="22">
        <f ca="1">ts2bElec*SUMPRODUCT(tpSurvCnU,INDEX(tEIdxElec,18)*INDEX(elecCnU,stdCSL+1,4)*convFactor)</f>
        <v>9544.2535402896938</v>
      </c>
      <c r="W171" s="22">
        <f ca="1">ts2bElec*SUMPRODUCT(tpSurvCnU,INDEX(tEIdxElec,19)*INDEX(elecCnU,stdCSL+1,4)*convFactor)</f>
        <v>9547.921592757506</v>
      </c>
      <c r="X171" s="22">
        <f ca="1">ts2bElec*SUMPRODUCT(tpSurvCnU,INDEX(tEIdxElec,20)*INDEX(elecCnU,stdCSL+1,4)*convFactor)</f>
        <v>9551.3878629372848</v>
      </c>
      <c r="Y171" s="22">
        <f ca="1">ts2bElec*SUMPRODUCT(tpSurvCnU,INDEX(tEIdxElec,21)*INDEX(elecCnU,stdCSL+1,4)*convFactor)</f>
        <v>9554.2598531102904</v>
      </c>
      <c r="Z171" s="22">
        <f ca="1">ts2bElec*SUMPRODUCT(tpSurvCnU,INDEX(tEIdxElec,22)*INDEX(elecCnU,stdCSL+1,4)*convFactor)</f>
        <v>9556.1844925895366</v>
      </c>
      <c r="AA171" s="22">
        <f ca="1">ts2bElec*SUMPRODUCT(tpSurvCnU,INDEX(tEIdxElec,23)*INDEX(elecCnU,stdCSL+1,4)*convFactor)</f>
        <v>9557.4529581230818</v>
      </c>
      <c r="AB171" s="22">
        <f ca="1">ts2bElec*SUMPRODUCT(tpSurvCnU,INDEX(tEIdxElec,24)*INDEX(elecCnU,stdCSL+1,4)*convFactor)</f>
        <v>9557.4529581230818</v>
      </c>
      <c r="AC171" s="22">
        <f ca="1">ts2bElec*SUMPRODUCT(tpSurvCnU,INDEX(tEIdxElec,25)*INDEX(elecCnU,stdCSL+1,4)*convFactor)</f>
        <v>9557.4529581230818</v>
      </c>
      <c r="AD171" s="22">
        <f ca="1">ts2bElec*SUMPRODUCT(tpSurvCnU,INDEX(tEIdxElec,26)*INDEX(elecCnU,stdCSL+1,4)*convFactor)</f>
        <v>9557.4529581230818</v>
      </c>
      <c r="AE171" s="22">
        <f ca="1">ts2bElec*SUMPRODUCT(tpSurvCnU,INDEX(tEIdxElec,27)*INDEX(elecCnU,stdCSL+1,4)*convFactor)</f>
        <v>9557.4529581230818</v>
      </c>
      <c r="AF171" s="22">
        <f ca="1">ts2bElec*SUMPRODUCT(tpSurvCnU,INDEX(tEIdxElec,28)*INDEX(elecCnU,stdCSL+1,4)*convFactor)</f>
        <v>9557.4529581230818</v>
      </c>
      <c r="AG171" s="22">
        <f ca="1">ts2bElec*SUMPRODUCT(tpSurvCnU,INDEX(tEIdxElec,29)*INDEX(elecCnU,stdCSL+1,4)*convFactor)</f>
        <v>9557.4529581230818</v>
      </c>
      <c r="AH171" s="22">
        <f ca="1">ts2bElec*SUMPRODUCT(tpSurvCnU,INDEX(tEIdxElec,30)*INDEX(elecCnU,stdCSL+1,4)*convFactor)</f>
        <v>9557.4529581230818</v>
      </c>
      <c r="AI171" s="22">
        <f ca="1">ts2bElec*SUMPRODUCT(tpSurvCnU,INDEX(tEIdxElec,31)*INDEX(elecCnU,stdCSL+1,4)*convFactor)</f>
        <v>9557.4529581230818</v>
      </c>
      <c r="AJ171" s="22">
        <f ca="1">ts2bElec*SUMPRODUCT(tpSurvCnU,INDEX(tEIdxElec,32)*INDEX(elecCnU,stdCSL+1,4)*convFactor)</f>
        <v>9557.4529581230818</v>
      </c>
      <c r="AK171" s="25">
        <f ca="1">ts2bElec*SUMPRODUCT(tpSurvCnU,INDEX(tEIdxElec,33)*INDEX(elecCnU,stdCSL+1,4)*convFactor)</f>
        <v>9557.4529581230818</v>
      </c>
      <c r="AL171" s="3"/>
    </row>
    <row r="172" spans="2:38">
      <c r="B172" s="3"/>
      <c r="C172" s="30" t="str">
        <f>"EL 4: " &amp; INDEX(_doName,4,5)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(1+INDEX(vadCnU,stdCSL+1,5))*INDEX(mspCnU,stdCSL+1,5)*tPIdxAll + INDEX(instCnU,stdCSL+1,5) + SUMPRODUCT(dFactor,tpSurvCnU,INDEX(mrCnU,stdCSL+1,5)*allOnes)</f>
        <v>1495.8686339999999</v>
      </c>
      <c r="F173" s="28">
        <f ca="1"/>
        <v>1495.8686339999999</v>
      </c>
      <c r="G173" s="28">
        <f ca="1"/>
        <v>1495.8686339999999</v>
      </c>
      <c r="H173" s="28">
        <f ca="1"/>
        <v>1495.8686339999999</v>
      </c>
      <c r="I173" s="28">
        <f ca="1"/>
        <v>1495.8686339999999</v>
      </c>
      <c r="J173" s="28">
        <f ca="1"/>
        <v>1495.8686339999999</v>
      </c>
      <c r="K173" s="28">
        <f ca="1"/>
        <v>1495.8686339999999</v>
      </c>
      <c r="L173" s="28">
        <f ca="1"/>
        <v>1495.8686339999999</v>
      </c>
      <c r="M173" s="28">
        <f ca="1"/>
        <v>1495.8686339999999</v>
      </c>
      <c r="N173" s="28">
        <f ca="1"/>
        <v>1495.8686339999999</v>
      </c>
      <c r="O173" s="28">
        <f ca="1"/>
        <v>1495.8686339999999</v>
      </c>
      <c r="P173" s="28">
        <f ca="1"/>
        <v>1495.8686339999999</v>
      </c>
      <c r="Q173" s="28">
        <f ca="1"/>
        <v>1495.8686339999999</v>
      </c>
      <c r="R173" s="28">
        <f ca="1"/>
        <v>1495.8686339999999</v>
      </c>
      <c r="S173" s="28">
        <f ca="1"/>
        <v>1495.8686339999999</v>
      </c>
      <c r="T173" s="28">
        <f ca="1"/>
        <v>1495.8686339999999</v>
      </c>
      <c r="U173" s="28">
        <f ca="1"/>
        <v>1495.8686339999999</v>
      </c>
      <c r="V173" s="28">
        <f ca="1"/>
        <v>1495.8686339999999</v>
      </c>
      <c r="W173" s="28">
        <f ca="1"/>
        <v>1495.8686339999999</v>
      </c>
      <c r="X173" s="28">
        <f ca="1"/>
        <v>1495.8686339999999</v>
      </c>
      <c r="Y173" s="28">
        <f ca="1"/>
        <v>1495.8686339999999</v>
      </c>
      <c r="Z173" s="28">
        <f ca="1"/>
        <v>1495.8686339999999</v>
      </c>
      <c r="AA173" s="28">
        <f ca="1"/>
        <v>1495.8686339999999</v>
      </c>
      <c r="AB173" s="28">
        <f ca="1"/>
        <v>1495.8686339999999</v>
      </c>
      <c r="AC173" s="28">
        <f ca="1"/>
        <v>1495.8686339999999</v>
      </c>
      <c r="AD173" s="28">
        <f ca="1"/>
        <v>1495.8686339999999</v>
      </c>
      <c r="AE173" s="28">
        <f ca="1"/>
        <v>1495.8686339999999</v>
      </c>
      <c r="AF173" s="28">
        <f ca="1"/>
        <v>1495.8686339999999</v>
      </c>
      <c r="AG173" s="28">
        <f ca="1"/>
        <v>1495.8686339999999</v>
      </c>
      <c r="AH173" s="28">
        <f ca="1"/>
        <v>1495.8686339999999</v>
      </c>
      <c r="AI173" s="28">
        <f ca="1"/>
        <v>1495.8686339999999</v>
      </c>
      <c r="AJ173" s="28">
        <f ca="1"/>
        <v>1495.8686339999999</v>
      </c>
      <c r="AK173" s="29">
        <f ca="1"/>
        <v>1495.8686339999999</v>
      </c>
      <c r="AL173" s="3"/>
    </row>
    <row r="174" spans="2:38">
      <c r="B174" s="3"/>
      <c r="C174" s="23" t="s">
        <v>47</v>
      </c>
      <c r="D174" s="16" t="str">
        <f>_yearDol &amp; "$"</f>
        <v>2013$</v>
      </c>
      <c r="E174" s="141">
        <f t="array" aca="1" ref="E174:AK174" ca="1">(tlccEFupolElec4)</f>
        <v>46396.010712905525</v>
      </c>
      <c r="F174" s="28">
        <f ca="1"/>
        <v>46600.392664211067</v>
      </c>
      <c r="G174" s="28">
        <f ca="1"/>
        <v>46781.18807609738</v>
      </c>
      <c r="H174" s="28">
        <f ca="1"/>
        <v>46978.445569461546</v>
      </c>
      <c r="I174" s="28">
        <f ca="1"/>
        <v>47151.542846788674</v>
      </c>
      <c r="J174" s="28">
        <f ca="1"/>
        <v>47340.557643253887</v>
      </c>
      <c r="K174" s="28">
        <f ca="1"/>
        <v>47504.968198277646</v>
      </c>
      <c r="L174" s="28">
        <f ca="1"/>
        <v>47684.629213462242</v>
      </c>
      <c r="M174" s="28">
        <f ca="1"/>
        <v>47880.775592061676</v>
      </c>
      <c r="N174" s="28">
        <f ca="1"/>
        <v>48052.742333616152</v>
      </c>
      <c r="O174" s="28">
        <f ca="1"/>
        <v>48240.606534700724</v>
      </c>
      <c r="P174" s="28">
        <f ca="1"/>
        <v>48445.577574876887</v>
      </c>
      <c r="Q174" s="28">
        <f ca="1"/>
        <v>48627.04612008547</v>
      </c>
      <c r="R174" s="28">
        <f ca="1"/>
        <v>48825.222170191708</v>
      </c>
      <c r="S174" s="28">
        <f ca="1"/>
        <v>48999.438289068261</v>
      </c>
      <c r="T174" s="28">
        <f ca="1"/>
        <v>49189.843147669737</v>
      </c>
      <c r="U174" s="28">
        <f ca="1"/>
        <v>49397.554315813926</v>
      </c>
      <c r="V174" s="28">
        <f ca="1"/>
        <v>49582.066726538163</v>
      </c>
      <c r="W174" s="28">
        <f ca="1"/>
        <v>49783.609691824684</v>
      </c>
      <c r="X174" s="28">
        <f ca="1"/>
        <v>49961.461074369108</v>
      </c>
      <c r="Y174" s="28">
        <f ca="1"/>
        <v>50155.946462732587</v>
      </c>
      <c r="Z174" s="28">
        <f ca="1"/>
        <v>50368.042375977726</v>
      </c>
      <c r="AA174" s="28">
        <f ca="1"/>
        <v>50557.444657350861</v>
      </c>
      <c r="AB174" s="28">
        <f ca="1"/>
        <v>50764.115547819143</v>
      </c>
      <c r="AC174" s="28">
        <f ca="1"/>
        <v>50947.631639951236</v>
      </c>
      <c r="AD174" s="28">
        <f ca="1"/>
        <v>51148.162930887978</v>
      </c>
      <c r="AE174" s="28">
        <f ca="1"/>
        <v>51366.705367471914</v>
      </c>
      <c r="AF174" s="28">
        <f ca="1"/>
        <v>51563.237344871435</v>
      </c>
      <c r="AG174" s="28">
        <f ca="1"/>
        <v>51777.607277473107</v>
      </c>
      <c r="AH174" s="28">
        <f ca="1"/>
        <v>51969.565733047566</v>
      </c>
      <c r="AI174" s="28">
        <f ca="1"/>
        <v>52179.138665817562</v>
      </c>
      <c r="AJ174" s="28">
        <f ca="1"/>
        <v>52365.939448073288</v>
      </c>
      <c r="AK174" s="29">
        <f ca="1"/>
        <v>52570.055577499028</v>
      </c>
      <c r="AL174" s="3"/>
    </row>
    <row r="175" spans="2:38">
      <c r="B175" s="3"/>
      <c r="C175" s="27" t="str">
        <f>INDEX(_fuel,1)</f>
        <v>Electricity</v>
      </c>
      <c r="D175" s="16" t="str">
        <f>_yearDol &amp; "$"</f>
        <v>2013$</v>
      </c>
      <c r="E175" s="141">
        <f ca="1">SUMPRODUCT(dFactor,tpSurvCnU,INDEX(tEIdxElec,1)*INDEX(elecCnU,stdCSL+1,5)*allOnes,OFFSET(tPrcElec,0,0,1,_maxLT))</f>
        <v>46396.010712905525</v>
      </c>
      <c r="F175" s="28">
        <f ca="1">SUMPRODUCT(dFactor,tpSurvCnU,INDEX(tEIdxElec,2)*INDEX(elecCnU,stdCSL+1,5)*allOnes,OFFSET(tPrcElec,0,1,1,_maxLT))</f>
        <v>46600.392664211067</v>
      </c>
      <c r="G175" s="28">
        <f ca="1">SUMPRODUCT(dFactor,tpSurvCnU,INDEX(tEIdxElec,3)*INDEX(elecCnU,stdCSL+1,5)*allOnes,OFFSET(tPrcElec,0,2,1,_maxLT))</f>
        <v>46781.18807609738</v>
      </c>
      <c r="H175" s="28">
        <f ca="1">SUMPRODUCT(dFactor,tpSurvCnU,INDEX(tEIdxElec,4)*INDEX(elecCnU,stdCSL+1,5)*allOnes,OFFSET(tPrcElec,0,3,1,_maxLT))</f>
        <v>46978.445569461546</v>
      </c>
      <c r="I175" s="28">
        <f ca="1">SUMPRODUCT(dFactor,tpSurvCnU,INDEX(tEIdxElec,5)*INDEX(elecCnU,stdCSL+1,5)*allOnes,OFFSET(tPrcElec,0,4,1,_maxLT))</f>
        <v>47151.542846788674</v>
      </c>
      <c r="J175" s="28">
        <f ca="1">SUMPRODUCT(dFactor,tpSurvCnU,INDEX(tEIdxElec,6)*INDEX(elecCnU,stdCSL+1,5)*allOnes,OFFSET(tPrcElec,0,5,1,_maxLT))</f>
        <v>47340.557643253887</v>
      </c>
      <c r="K175" s="28">
        <f ca="1">SUMPRODUCT(dFactor,tpSurvCnU,INDEX(tEIdxElec,7)*INDEX(elecCnU,stdCSL+1,5)*allOnes,OFFSET(tPrcElec,0,6,1,_maxLT))</f>
        <v>47504.968198277646</v>
      </c>
      <c r="L175" s="28">
        <f ca="1">SUMPRODUCT(dFactor,tpSurvCnU,INDEX(tEIdxElec,8)*INDEX(elecCnU,stdCSL+1,5)*allOnes,OFFSET(tPrcElec,0,7,1,_maxLT))</f>
        <v>47684.629213462242</v>
      </c>
      <c r="M175" s="28">
        <f ca="1">SUMPRODUCT(dFactor,tpSurvCnU,INDEX(tEIdxElec,9)*INDEX(elecCnU,stdCSL+1,5)*allOnes,OFFSET(tPrcElec,0,8,1,_maxLT))</f>
        <v>47880.775592061676</v>
      </c>
      <c r="N175" s="28">
        <f ca="1">SUMPRODUCT(dFactor,tpSurvCnU,INDEX(tEIdxElec,10)*INDEX(elecCnU,stdCSL+1,5)*allOnes,OFFSET(tPrcElec,0,9,1,_maxLT))</f>
        <v>48052.742333616152</v>
      </c>
      <c r="O175" s="28">
        <f ca="1">SUMPRODUCT(dFactor,tpSurvCnU,INDEX(tEIdxElec,11)*INDEX(elecCnU,stdCSL+1,5)*allOnes,OFFSET(tPrcElec,0,10,1,_maxLT))</f>
        <v>48240.606534700724</v>
      </c>
      <c r="P175" s="28">
        <f ca="1">SUMPRODUCT(dFactor,tpSurvCnU,INDEX(tEIdxElec,12)*INDEX(elecCnU,stdCSL+1,5)*allOnes,OFFSET(tPrcElec,0,11,1,_maxLT))</f>
        <v>48445.577574876887</v>
      </c>
      <c r="Q175" s="28">
        <f ca="1">SUMPRODUCT(dFactor,tpSurvCnU,INDEX(tEIdxElec,13)*INDEX(elecCnU,stdCSL+1,5)*allOnes,OFFSET(tPrcElec,0,12,1,_maxLT))</f>
        <v>48627.04612008547</v>
      </c>
      <c r="R175" s="28">
        <f ca="1">SUMPRODUCT(dFactor,tpSurvCnU,INDEX(tEIdxElec,14)*INDEX(elecCnU,stdCSL+1,5)*allOnes,OFFSET(tPrcElec,0,13,1,_maxLT))</f>
        <v>48825.222170191708</v>
      </c>
      <c r="S175" s="28">
        <f ca="1">SUMPRODUCT(dFactor,tpSurvCnU,INDEX(tEIdxElec,15)*INDEX(elecCnU,stdCSL+1,5)*allOnes,OFFSET(tPrcElec,0,14,1,_maxLT))</f>
        <v>48999.438289068261</v>
      </c>
      <c r="T175" s="28">
        <f ca="1">SUMPRODUCT(dFactor,tpSurvCnU,INDEX(tEIdxElec,16)*INDEX(elecCnU,stdCSL+1,5)*allOnes,OFFSET(tPrcElec,0,15,1,_maxLT))</f>
        <v>49189.843147669737</v>
      </c>
      <c r="U175" s="28">
        <f ca="1">SUMPRODUCT(dFactor,tpSurvCnU,INDEX(tEIdxElec,17)*INDEX(elecCnU,stdCSL+1,5)*allOnes,OFFSET(tPrcElec,0,16,1,_maxLT))</f>
        <v>49397.554315813926</v>
      </c>
      <c r="V175" s="28">
        <f ca="1">SUMPRODUCT(dFactor,tpSurvCnU,INDEX(tEIdxElec,18)*INDEX(elecCnU,stdCSL+1,5)*allOnes,OFFSET(tPrcElec,0,17,1,_maxLT))</f>
        <v>49582.066726538163</v>
      </c>
      <c r="W175" s="28">
        <f ca="1">SUMPRODUCT(dFactor,tpSurvCnU,INDEX(tEIdxElec,19)*INDEX(elecCnU,stdCSL+1,5)*allOnes,OFFSET(tPrcElec,0,18,1,_maxLT))</f>
        <v>49783.609691824684</v>
      </c>
      <c r="X175" s="28">
        <f ca="1">SUMPRODUCT(dFactor,tpSurvCnU,INDEX(tEIdxElec,20)*INDEX(elecCnU,stdCSL+1,5)*allOnes,OFFSET(tPrcElec,0,19,1,_maxLT))</f>
        <v>49961.461074369108</v>
      </c>
      <c r="Y175" s="28">
        <f ca="1">SUMPRODUCT(dFactor,tpSurvCnU,INDEX(tEIdxElec,21)*INDEX(elecCnU,stdCSL+1,5)*allOnes,OFFSET(tPrcElec,0,20,1,_maxLT))</f>
        <v>50155.946462732587</v>
      </c>
      <c r="Z175" s="28">
        <f ca="1">SUMPRODUCT(dFactor,tpSurvCnU,INDEX(tEIdxElec,22)*INDEX(elecCnU,stdCSL+1,5)*allOnes,OFFSET(tPrcElec,0,21,1,_maxLT))</f>
        <v>50368.042375977726</v>
      </c>
      <c r="AA175" s="28">
        <f ca="1">SUMPRODUCT(dFactor,tpSurvCnU,INDEX(tEIdxElec,23)*INDEX(elecCnU,stdCSL+1,5)*allOnes,OFFSET(tPrcElec,0,22,1,_maxLT))</f>
        <v>50557.444657350861</v>
      </c>
      <c r="AB175" s="28">
        <f ca="1">SUMPRODUCT(dFactor,tpSurvCnU,INDEX(tEIdxElec,24)*INDEX(elecCnU,stdCSL+1,5)*allOnes,OFFSET(tPrcElec,0,23,1,_maxLT))</f>
        <v>50764.115547819143</v>
      </c>
      <c r="AC175" s="28">
        <f ca="1">SUMPRODUCT(dFactor,tpSurvCnU,INDEX(tEIdxElec,25)*INDEX(elecCnU,stdCSL+1,5)*allOnes,OFFSET(tPrcElec,0,24,1,_maxLT))</f>
        <v>50947.631639951236</v>
      </c>
      <c r="AD175" s="28">
        <f ca="1">SUMPRODUCT(dFactor,tpSurvCnU,INDEX(tEIdxElec,26)*INDEX(elecCnU,stdCSL+1,5)*allOnes,OFFSET(tPrcElec,0,25,1,_maxLT))</f>
        <v>51148.162930887978</v>
      </c>
      <c r="AE175" s="28">
        <f ca="1">SUMPRODUCT(dFactor,tpSurvCnU,INDEX(tEIdxElec,27)*INDEX(elecCnU,stdCSL+1,5)*allOnes,OFFSET(tPrcElec,0,26,1,_maxLT))</f>
        <v>51366.705367471914</v>
      </c>
      <c r="AF175" s="28">
        <f ca="1">SUMPRODUCT(dFactor,tpSurvCnU,INDEX(tEIdxElec,28)*INDEX(elecCnU,stdCSL+1,5)*allOnes,OFFSET(tPrcElec,0,27,1,_maxLT))</f>
        <v>51563.237344871435</v>
      </c>
      <c r="AG175" s="28">
        <f ca="1">SUMPRODUCT(dFactor,tpSurvCnU,INDEX(tEIdxElec,29)*INDEX(elecCnU,stdCSL+1,5)*allOnes,OFFSET(tPrcElec,0,28,1,_maxLT))</f>
        <v>51777.607277473107</v>
      </c>
      <c r="AH175" s="28">
        <f ca="1">SUMPRODUCT(dFactor,tpSurvCnU,INDEX(tEIdxElec,30)*INDEX(elecCnU,stdCSL+1,5)*allOnes,OFFSET(tPrcElec,0,29,1,_maxLT))</f>
        <v>51969.565733047566</v>
      </c>
      <c r="AI175" s="28">
        <f ca="1">SUMPRODUCT(dFactor,tpSurvCnU,INDEX(tEIdxElec,31)*INDEX(elecCnU,stdCSL+1,5)*allOnes,OFFSET(tPrcElec,0,30,1,_maxLT))</f>
        <v>52179.138665817562</v>
      </c>
      <c r="AJ175" s="28">
        <f ca="1">SUMPRODUCT(dFactor,tpSurvCnU,INDEX(tEIdxElec,32)*INDEX(elecCnU,stdCSL+1,5)*allOnes,OFFSET(tPrcElec,0,31,1,_maxLT))</f>
        <v>52365.939448073288</v>
      </c>
      <c r="AK175" s="29">
        <f ca="1">SUMPRODUCT(dFactor,tpSurvCnU,INDEX(tEIdxElec,33)*INDEX(elecCnU,stdCSL+1,5)*allOnes,OFFSET(tPrcElec,0,32,1,_maxLT))</f>
        <v>52570.055577499028</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ts2bElec*SUMPRODUCT(tpSurvCnU,INDEX(tEIdxElec,1)*INDEX(elecCnU,stdCSL+1,5)*convFactor)</f>
        <v>9853.2428231349822</v>
      </c>
      <c r="F177" s="22">
        <f ca="1">ts2bElec*SUMPRODUCT(tpSurvCnU,INDEX(tEIdxElec,2)*INDEX(elecCnU,stdCSL+1,5)*convFactor)</f>
        <v>9779.2876332013984</v>
      </c>
      <c r="G177" s="22">
        <f ca="1">ts2bElec*SUMPRODUCT(tpSurvCnU,INDEX(tEIdxElec,3)*INDEX(elecCnU,stdCSL+1,5)*convFactor)</f>
        <v>9704.7882591076541</v>
      </c>
      <c r="H177" s="22">
        <f ca="1">ts2bElec*SUMPRODUCT(tpSurvCnU,INDEX(tEIdxElec,4)*INDEX(elecCnU,stdCSL+1,5)*convFactor)</f>
        <v>9639.388398080333</v>
      </c>
      <c r="I177" s="22">
        <f ca="1">ts2bElec*SUMPRODUCT(tpSurvCnU,INDEX(tEIdxElec,5)*INDEX(elecCnU,stdCSL+1,5)*convFactor)</f>
        <v>9577.3804378677141</v>
      </c>
      <c r="J177" s="22">
        <f ca="1">ts2bElec*SUMPRODUCT(tpSurvCnU,INDEX(tEIdxElec,6)*INDEX(elecCnU,stdCSL+1,5)*convFactor)</f>
        <v>9523.4014214093513</v>
      </c>
      <c r="K177" s="22">
        <f ca="1">ts2bElec*SUMPRODUCT(tpSurvCnU,INDEX(tEIdxElec,7)*INDEX(elecCnU,stdCSL+1,5)*convFactor)</f>
        <v>9481.5483269926426</v>
      </c>
      <c r="L177" s="22">
        <f ca="1">ts2bElec*SUMPRODUCT(tpSurvCnU,INDEX(tEIdxElec,8)*INDEX(elecCnU,stdCSL+1,5)*convFactor)</f>
        <v>9446.8658236542287</v>
      </c>
      <c r="M177" s="22">
        <f ca="1">ts2bElec*SUMPRODUCT(tpSurvCnU,INDEX(tEIdxElec,9)*INDEX(elecCnU,stdCSL+1,5)*convFactor)</f>
        <v>9412.0283466023611</v>
      </c>
      <c r="N177" s="22">
        <f ca="1">ts2bElec*SUMPRODUCT(tpSurvCnU,INDEX(tEIdxElec,10)*INDEX(elecCnU,stdCSL+1,5)*convFactor)</f>
        <v>9384.1662179101822</v>
      </c>
      <c r="O177" s="22">
        <f ca="1">ts2bElec*SUMPRODUCT(tpSurvCnU,INDEX(tEIdxElec,11)*INDEX(elecCnU,stdCSL+1,5)*convFactor)</f>
        <v>9364.975596101227</v>
      </c>
      <c r="P177" s="22">
        <f ca="1">ts2bElec*SUMPRODUCT(tpSurvCnU,INDEX(tEIdxElec,12)*INDEX(elecCnU,stdCSL+1,5)*convFactor)</f>
        <v>9350.929731371556</v>
      </c>
      <c r="Q177" s="22">
        <f ca="1">ts2bElec*SUMPRODUCT(tpSurvCnU,INDEX(tEIdxElec,13)*INDEX(elecCnU,stdCSL+1,5)*convFactor)</f>
        <v>9339.1113818885842</v>
      </c>
      <c r="R177" s="22">
        <f ca="1">ts2bElec*SUMPRODUCT(tpSurvCnU,INDEX(tEIdxElec,14)*INDEX(elecCnU,stdCSL+1,5)*convFactor)</f>
        <v>9330.3916282847131</v>
      </c>
      <c r="S177" s="22">
        <f ca="1">ts2bElec*SUMPRODUCT(tpSurvCnU,INDEX(tEIdxElec,15)*INDEX(elecCnU,stdCSL+1,5)*convFactor)</f>
        <v>9323.7462299229137</v>
      </c>
      <c r="T177" s="22">
        <f ca="1">ts2bElec*SUMPRODUCT(tpSurvCnU,INDEX(tEIdxElec,16)*INDEX(elecCnU,stdCSL+1,5)*convFactor)</f>
        <v>9322.9127397106258</v>
      </c>
      <c r="U177" s="22">
        <f ca="1">ts2bElec*SUMPRODUCT(tpSurvCnU,INDEX(tEIdxElec,17)*INDEX(elecCnU,stdCSL+1,5)*convFactor)</f>
        <v>9324.6184284866158</v>
      </c>
      <c r="V177" s="22">
        <f ca="1">ts2bElec*SUMPRODUCT(tpSurvCnU,INDEX(tEIdxElec,18)*INDEX(elecCnU,stdCSL+1,5)*convFactor)</f>
        <v>9327.1249027589547</v>
      </c>
      <c r="W177" s="22">
        <f ca="1">ts2bElec*SUMPRODUCT(tpSurvCnU,INDEX(tEIdxElec,19)*INDEX(elecCnU,stdCSL+1,5)*convFactor)</f>
        <v>9330.7095082362448</v>
      </c>
      <c r="X177" s="22">
        <f ca="1">ts2bElec*SUMPRODUCT(tpSurvCnU,INDEX(tEIdxElec,20)*INDEX(elecCnU,stdCSL+1,5)*convFactor)</f>
        <v>9334.0969219063682</v>
      </c>
      <c r="Y177" s="22">
        <f ca="1">ts2bElec*SUMPRODUCT(tpSurvCnU,INDEX(tEIdxElec,21)*INDEX(elecCnU,stdCSL+1,5)*convFactor)</f>
        <v>9336.903575244949</v>
      </c>
      <c r="Z177" s="22">
        <f ca="1">ts2bElec*SUMPRODUCT(tpSurvCnU,INDEX(tEIdxElec,22)*INDEX(elecCnU,stdCSL+1,5)*convFactor)</f>
        <v>9338.7844298073232</v>
      </c>
      <c r="AA177" s="22">
        <f ca="1">ts2bElec*SUMPRODUCT(tpSurvCnU,INDEX(tEIdxElec,23)*INDEX(elecCnU,stdCSL+1,5)*convFactor)</f>
        <v>9340.0240381660351</v>
      </c>
      <c r="AB177" s="22">
        <f ca="1">ts2bElec*SUMPRODUCT(tpSurvCnU,INDEX(tEIdxElec,24)*INDEX(elecCnU,stdCSL+1,5)*convFactor)</f>
        <v>9340.0240381660351</v>
      </c>
      <c r="AC177" s="22">
        <f ca="1">ts2bElec*SUMPRODUCT(tpSurvCnU,INDEX(tEIdxElec,25)*INDEX(elecCnU,stdCSL+1,5)*convFactor)</f>
        <v>9340.0240381660351</v>
      </c>
      <c r="AD177" s="22">
        <f ca="1">ts2bElec*SUMPRODUCT(tpSurvCnU,INDEX(tEIdxElec,26)*INDEX(elecCnU,stdCSL+1,5)*convFactor)</f>
        <v>9340.0240381660351</v>
      </c>
      <c r="AE177" s="22">
        <f ca="1">ts2bElec*SUMPRODUCT(tpSurvCnU,INDEX(tEIdxElec,27)*INDEX(elecCnU,stdCSL+1,5)*convFactor)</f>
        <v>9340.0240381660351</v>
      </c>
      <c r="AF177" s="22">
        <f ca="1">ts2bElec*SUMPRODUCT(tpSurvCnU,INDEX(tEIdxElec,28)*INDEX(elecCnU,stdCSL+1,5)*convFactor)</f>
        <v>9340.0240381660351</v>
      </c>
      <c r="AG177" s="22">
        <f ca="1">ts2bElec*SUMPRODUCT(tpSurvCnU,INDEX(tEIdxElec,29)*INDEX(elecCnU,stdCSL+1,5)*convFactor)</f>
        <v>9340.0240381660351</v>
      </c>
      <c r="AH177" s="22">
        <f ca="1">ts2bElec*SUMPRODUCT(tpSurvCnU,INDEX(tEIdxElec,30)*INDEX(elecCnU,stdCSL+1,5)*convFactor)</f>
        <v>9340.0240381660351</v>
      </c>
      <c r="AI177" s="22">
        <f ca="1">ts2bElec*SUMPRODUCT(tpSurvCnU,INDEX(tEIdxElec,31)*INDEX(elecCnU,stdCSL+1,5)*convFactor)</f>
        <v>9340.0240381660351</v>
      </c>
      <c r="AJ177" s="22">
        <f ca="1">ts2bElec*SUMPRODUCT(tpSurvCnU,INDEX(tEIdxElec,32)*INDEX(elecCnU,stdCSL+1,5)*convFactor)</f>
        <v>9340.0240381660351</v>
      </c>
      <c r="AK177" s="25">
        <f ca="1">ts2bElec*SUMPRODUCT(tpSurvCnU,INDEX(tEIdxElec,33)*INDEX(elecCnU,stdCSL+1,5)*convFactor)</f>
        <v>9340.0240381660351</v>
      </c>
      <c r="AL177" s="3"/>
    </row>
    <row r="178" spans="2:38">
      <c r="B178" s="3"/>
      <c r="C178" s="30" t="str">
        <f>"EL 5: " &amp; INDEX(_doName,4,6)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(1+INDEX(vadCnU,stdCSL+1,6))*INDEX(mspCnU,stdCSL+1,6)*tPIdxAll + INDEX(instCnU,stdCSL+1,6) + SUMPRODUCT(dFactor,tpSurvCnU,INDEX(mrCnU,stdCSL+1,6)*allOnes)</f>
        <v>1745.2063800000001</v>
      </c>
      <c r="F179" s="28">
        <f ca="1"/>
        <v>1745.2063800000001</v>
      </c>
      <c r="G179" s="28">
        <f ca="1"/>
        <v>1745.2063800000001</v>
      </c>
      <c r="H179" s="28">
        <f ca="1"/>
        <v>1745.2063800000001</v>
      </c>
      <c r="I179" s="28">
        <f ca="1"/>
        <v>1745.2063800000001</v>
      </c>
      <c r="J179" s="28">
        <f ca="1"/>
        <v>1745.2063800000001</v>
      </c>
      <c r="K179" s="28">
        <f ca="1"/>
        <v>1745.2063800000001</v>
      </c>
      <c r="L179" s="28">
        <f ca="1"/>
        <v>1745.2063800000001</v>
      </c>
      <c r="M179" s="28">
        <f ca="1"/>
        <v>1745.2063800000001</v>
      </c>
      <c r="N179" s="28">
        <f ca="1"/>
        <v>1745.2063800000001</v>
      </c>
      <c r="O179" s="28">
        <f ca="1"/>
        <v>1745.2063800000001</v>
      </c>
      <c r="P179" s="28">
        <f ca="1"/>
        <v>1745.2063800000001</v>
      </c>
      <c r="Q179" s="28">
        <f ca="1"/>
        <v>1745.2063800000001</v>
      </c>
      <c r="R179" s="28">
        <f ca="1"/>
        <v>1745.2063800000001</v>
      </c>
      <c r="S179" s="28">
        <f ca="1"/>
        <v>1745.2063800000001</v>
      </c>
      <c r="T179" s="28">
        <f ca="1"/>
        <v>1745.2063800000001</v>
      </c>
      <c r="U179" s="28">
        <f ca="1"/>
        <v>1745.2063800000001</v>
      </c>
      <c r="V179" s="28">
        <f ca="1"/>
        <v>1745.2063800000001</v>
      </c>
      <c r="W179" s="28">
        <f ca="1"/>
        <v>1745.2063800000001</v>
      </c>
      <c r="X179" s="28">
        <f ca="1"/>
        <v>1745.2063800000001</v>
      </c>
      <c r="Y179" s="28">
        <f ca="1"/>
        <v>1745.2063800000001</v>
      </c>
      <c r="Z179" s="28">
        <f ca="1"/>
        <v>1745.2063800000001</v>
      </c>
      <c r="AA179" s="28">
        <f ca="1"/>
        <v>1745.2063800000001</v>
      </c>
      <c r="AB179" s="28">
        <f ca="1"/>
        <v>1745.2063800000001</v>
      </c>
      <c r="AC179" s="28">
        <f ca="1"/>
        <v>1745.2063800000001</v>
      </c>
      <c r="AD179" s="28">
        <f ca="1"/>
        <v>1745.2063800000001</v>
      </c>
      <c r="AE179" s="28">
        <f ca="1"/>
        <v>1745.2063800000001</v>
      </c>
      <c r="AF179" s="28">
        <f ca="1"/>
        <v>1745.2063800000001</v>
      </c>
      <c r="AG179" s="28">
        <f ca="1"/>
        <v>1745.2063800000001</v>
      </c>
      <c r="AH179" s="28">
        <f ca="1"/>
        <v>1745.2063800000001</v>
      </c>
      <c r="AI179" s="28">
        <f ca="1"/>
        <v>1745.2063800000001</v>
      </c>
      <c r="AJ179" s="28">
        <f ca="1"/>
        <v>1745.2063800000001</v>
      </c>
      <c r="AK179" s="29">
        <f ca="1"/>
        <v>1745.2063800000001</v>
      </c>
      <c r="AL179" s="3"/>
    </row>
    <row r="180" spans="2:38">
      <c r="B180" s="3"/>
      <c r="C180" s="23" t="s">
        <v>47</v>
      </c>
      <c r="D180" s="16" t="str">
        <f>_yearDol &amp; "$"</f>
        <v>2013$</v>
      </c>
      <c r="E180" s="141">
        <f t="array" aca="1" ref="E180:AK180" ca="1">(tlccEFupolElec5)</f>
        <v>33332.157748538812</v>
      </c>
      <c r="F180" s="28">
        <f ca="1"/>
        <v>33478.991308950419</v>
      </c>
      <c r="G180" s="28">
        <f ca="1"/>
        <v>33608.879657034835</v>
      </c>
      <c r="H180" s="28">
        <f ca="1"/>
        <v>33750.594812817988</v>
      </c>
      <c r="I180" s="28">
        <f ca="1"/>
        <v>33874.952611366942</v>
      </c>
      <c r="J180" s="28">
        <f ca="1"/>
        <v>34010.74598919788</v>
      </c>
      <c r="K180" s="28">
        <f ca="1"/>
        <v>34128.863009850524</v>
      </c>
      <c r="L180" s="28">
        <f ca="1"/>
        <v>34257.93637644776</v>
      </c>
      <c r="M180" s="28">
        <f ca="1"/>
        <v>34398.853277121343</v>
      </c>
      <c r="N180" s="28">
        <f ca="1"/>
        <v>34522.398867979689</v>
      </c>
      <c r="O180" s="28">
        <f ca="1"/>
        <v>34657.365626751292</v>
      </c>
      <c r="P180" s="28">
        <f ca="1"/>
        <v>34804.622404652087</v>
      </c>
      <c r="Q180" s="28">
        <f ca="1"/>
        <v>34934.994350048866</v>
      </c>
      <c r="R180" s="28">
        <f ca="1"/>
        <v>35077.369422013544</v>
      </c>
      <c r="S180" s="28">
        <f ca="1"/>
        <v>35202.531026804601</v>
      </c>
      <c r="T180" s="28">
        <f ca="1"/>
        <v>35339.323063134296</v>
      </c>
      <c r="U180" s="28">
        <f ca="1"/>
        <v>35488.548423598106</v>
      </c>
      <c r="V180" s="28">
        <f ca="1"/>
        <v>35621.107164884728</v>
      </c>
      <c r="W180" s="28">
        <f ca="1"/>
        <v>35765.901120416995</v>
      </c>
      <c r="X180" s="28">
        <f ca="1"/>
        <v>35893.674397637937</v>
      </c>
      <c r="Y180" s="28">
        <f ca="1"/>
        <v>36033.397997686916</v>
      </c>
      <c r="Z180" s="28">
        <f ca="1"/>
        <v>36185.773478455143</v>
      </c>
      <c r="AA180" s="28">
        <f ca="1"/>
        <v>36321.845235997564</v>
      </c>
      <c r="AB180" s="28">
        <f ca="1"/>
        <v>36470.323232645766</v>
      </c>
      <c r="AC180" s="28">
        <f ca="1"/>
        <v>36602.166191519827</v>
      </c>
      <c r="AD180" s="28">
        <f ca="1"/>
        <v>36746.233332644995</v>
      </c>
      <c r="AE180" s="28">
        <f ca="1"/>
        <v>36903.240171358811</v>
      </c>
      <c r="AF180" s="28">
        <f ca="1"/>
        <v>37044.434096712648</v>
      </c>
      <c r="AG180" s="28">
        <f ca="1"/>
        <v>37198.443294922348</v>
      </c>
      <c r="AH180" s="28">
        <f ca="1"/>
        <v>37336.35147763155</v>
      </c>
      <c r="AI180" s="28">
        <f ca="1"/>
        <v>37486.914380509959</v>
      </c>
      <c r="AJ180" s="28">
        <f ca="1"/>
        <v>37621.11715023141</v>
      </c>
      <c r="AK180" s="29">
        <f ca="1"/>
        <v>37767.759736964574</v>
      </c>
      <c r="AL180" s="3"/>
    </row>
    <row r="181" spans="2:38">
      <c r="B181" s="3"/>
      <c r="C181" s="27" t="str">
        <f>INDEX(_fuel,1)</f>
        <v>Electricity</v>
      </c>
      <c r="D181" s="16" t="str">
        <f>_yearDol &amp; "$"</f>
        <v>2013$</v>
      </c>
      <c r="E181" s="141">
        <f ca="1">SUMPRODUCT(dFactor,tpSurvCnU,INDEX(tEIdxElec,1)*INDEX(elecCnU,stdCSL+1,6)*allOnes,OFFSET(tPrcElec,0,0,1,_maxLT))</f>
        <v>33332.157748538812</v>
      </c>
      <c r="F181" s="28">
        <f ca="1">SUMPRODUCT(dFactor,tpSurvCnU,INDEX(tEIdxElec,2)*INDEX(elecCnU,stdCSL+1,6)*allOnes,OFFSET(tPrcElec,0,1,1,_maxLT))</f>
        <v>33478.991308950419</v>
      </c>
      <c r="G181" s="28">
        <f ca="1">SUMPRODUCT(dFactor,tpSurvCnU,INDEX(tEIdxElec,3)*INDEX(elecCnU,stdCSL+1,6)*allOnes,OFFSET(tPrcElec,0,2,1,_maxLT))</f>
        <v>33608.879657034835</v>
      </c>
      <c r="H181" s="28">
        <f ca="1">SUMPRODUCT(dFactor,tpSurvCnU,INDEX(tEIdxElec,4)*INDEX(elecCnU,stdCSL+1,6)*allOnes,OFFSET(tPrcElec,0,3,1,_maxLT))</f>
        <v>33750.594812817988</v>
      </c>
      <c r="I181" s="28">
        <f ca="1">SUMPRODUCT(dFactor,tpSurvCnU,INDEX(tEIdxElec,5)*INDEX(elecCnU,stdCSL+1,6)*allOnes,OFFSET(tPrcElec,0,4,1,_maxLT))</f>
        <v>33874.952611366942</v>
      </c>
      <c r="J181" s="28">
        <f ca="1">SUMPRODUCT(dFactor,tpSurvCnU,INDEX(tEIdxElec,6)*INDEX(elecCnU,stdCSL+1,6)*allOnes,OFFSET(tPrcElec,0,5,1,_maxLT))</f>
        <v>34010.74598919788</v>
      </c>
      <c r="K181" s="28">
        <f ca="1">SUMPRODUCT(dFactor,tpSurvCnU,INDEX(tEIdxElec,7)*INDEX(elecCnU,stdCSL+1,6)*allOnes,OFFSET(tPrcElec,0,6,1,_maxLT))</f>
        <v>34128.863009850524</v>
      </c>
      <c r="L181" s="28">
        <f ca="1">SUMPRODUCT(dFactor,tpSurvCnU,INDEX(tEIdxElec,8)*INDEX(elecCnU,stdCSL+1,6)*allOnes,OFFSET(tPrcElec,0,7,1,_maxLT))</f>
        <v>34257.93637644776</v>
      </c>
      <c r="M181" s="28">
        <f ca="1">SUMPRODUCT(dFactor,tpSurvCnU,INDEX(tEIdxElec,9)*INDEX(elecCnU,stdCSL+1,6)*allOnes,OFFSET(tPrcElec,0,8,1,_maxLT))</f>
        <v>34398.853277121343</v>
      </c>
      <c r="N181" s="28">
        <f ca="1">SUMPRODUCT(dFactor,tpSurvCnU,INDEX(tEIdxElec,10)*INDEX(elecCnU,stdCSL+1,6)*allOnes,OFFSET(tPrcElec,0,9,1,_maxLT))</f>
        <v>34522.398867979689</v>
      </c>
      <c r="O181" s="28">
        <f ca="1">SUMPRODUCT(dFactor,tpSurvCnU,INDEX(tEIdxElec,11)*INDEX(elecCnU,stdCSL+1,6)*allOnes,OFFSET(tPrcElec,0,10,1,_maxLT))</f>
        <v>34657.365626751292</v>
      </c>
      <c r="P181" s="28">
        <f ca="1">SUMPRODUCT(dFactor,tpSurvCnU,INDEX(tEIdxElec,12)*INDEX(elecCnU,stdCSL+1,6)*allOnes,OFFSET(tPrcElec,0,11,1,_maxLT))</f>
        <v>34804.622404652087</v>
      </c>
      <c r="Q181" s="28">
        <f ca="1">SUMPRODUCT(dFactor,tpSurvCnU,INDEX(tEIdxElec,13)*INDEX(elecCnU,stdCSL+1,6)*allOnes,OFFSET(tPrcElec,0,12,1,_maxLT))</f>
        <v>34934.994350048866</v>
      </c>
      <c r="R181" s="28">
        <f ca="1">SUMPRODUCT(dFactor,tpSurvCnU,INDEX(tEIdxElec,14)*INDEX(elecCnU,stdCSL+1,6)*allOnes,OFFSET(tPrcElec,0,13,1,_maxLT))</f>
        <v>35077.369422013544</v>
      </c>
      <c r="S181" s="28">
        <f ca="1">SUMPRODUCT(dFactor,tpSurvCnU,INDEX(tEIdxElec,15)*INDEX(elecCnU,stdCSL+1,6)*allOnes,OFFSET(tPrcElec,0,14,1,_maxLT))</f>
        <v>35202.531026804601</v>
      </c>
      <c r="T181" s="28">
        <f ca="1">SUMPRODUCT(dFactor,tpSurvCnU,INDEX(tEIdxElec,16)*INDEX(elecCnU,stdCSL+1,6)*allOnes,OFFSET(tPrcElec,0,15,1,_maxLT))</f>
        <v>35339.323063134296</v>
      </c>
      <c r="U181" s="28">
        <f ca="1">SUMPRODUCT(dFactor,tpSurvCnU,INDEX(tEIdxElec,17)*INDEX(elecCnU,stdCSL+1,6)*allOnes,OFFSET(tPrcElec,0,16,1,_maxLT))</f>
        <v>35488.548423598106</v>
      </c>
      <c r="V181" s="28">
        <f ca="1">SUMPRODUCT(dFactor,tpSurvCnU,INDEX(tEIdxElec,18)*INDEX(elecCnU,stdCSL+1,6)*allOnes,OFFSET(tPrcElec,0,17,1,_maxLT))</f>
        <v>35621.107164884728</v>
      </c>
      <c r="W181" s="28">
        <f ca="1">SUMPRODUCT(dFactor,tpSurvCnU,INDEX(tEIdxElec,19)*INDEX(elecCnU,stdCSL+1,6)*allOnes,OFFSET(tPrcElec,0,18,1,_maxLT))</f>
        <v>35765.901120416995</v>
      </c>
      <c r="X181" s="28">
        <f ca="1">SUMPRODUCT(dFactor,tpSurvCnU,INDEX(tEIdxElec,20)*INDEX(elecCnU,stdCSL+1,6)*allOnes,OFFSET(tPrcElec,0,19,1,_maxLT))</f>
        <v>35893.674397637937</v>
      </c>
      <c r="Y181" s="28">
        <f ca="1">SUMPRODUCT(dFactor,tpSurvCnU,INDEX(tEIdxElec,21)*INDEX(elecCnU,stdCSL+1,6)*allOnes,OFFSET(tPrcElec,0,20,1,_maxLT))</f>
        <v>36033.397997686916</v>
      </c>
      <c r="Z181" s="28">
        <f ca="1">SUMPRODUCT(dFactor,tpSurvCnU,INDEX(tEIdxElec,22)*INDEX(elecCnU,stdCSL+1,6)*allOnes,OFFSET(tPrcElec,0,21,1,_maxLT))</f>
        <v>36185.773478455143</v>
      </c>
      <c r="AA181" s="28">
        <f ca="1">SUMPRODUCT(dFactor,tpSurvCnU,INDEX(tEIdxElec,23)*INDEX(elecCnU,stdCSL+1,6)*allOnes,OFFSET(tPrcElec,0,22,1,_maxLT))</f>
        <v>36321.845235997564</v>
      </c>
      <c r="AB181" s="28">
        <f ca="1">SUMPRODUCT(dFactor,tpSurvCnU,INDEX(tEIdxElec,24)*INDEX(elecCnU,stdCSL+1,6)*allOnes,OFFSET(tPrcElec,0,23,1,_maxLT))</f>
        <v>36470.323232645766</v>
      </c>
      <c r="AC181" s="28">
        <f ca="1">SUMPRODUCT(dFactor,tpSurvCnU,INDEX(tEIdxElec,25)*INDEX(elecCnU,stdCSL+1,6)*allOnes,OFFSET(tPrcElec,0,24,1,_maxLT))</f>
        <v>36602.166191519827</v>
      </c>
      <c r="AD181" s="28">
        <f ca="1">SUMPRODUCT(dFactor,tpSurvCnU,INDEX(tEIdxElec,26)*INDEX(elecCnU,stdCSL+1,6)*allOnes,OFFSET(tPrcElec,0,25,1,_maxLT))</f>
        <v>36746.233332644995</v>
      </c>
      <c r="AE181" s="28">
        <f ca="1">SUMPRODUCT(dFactor,tpSurvCnU,INDEX(tEIdxElec,27)*INDEX(elecCnU,stdCSL+1,6)*allOnes,OFFSET(tPrcElec,0,26,1,_maxLT))</f>
        <v>36903.240171358811</v>
      </c>
      <c r="AF181" s="28">
        <f ca="1">SUMPRODUCT(dFactor,tpSurvCnU,INDEX(tEIdxElec,28)*INDEX(elecCnU,stdCSL+1,6)*allOnes,OFFSET(tPrcElec,0,27,1,_maxLT))</f>
        <v>37044.434096712648</v>
      </c>
      <c r="AG181" s="28">
        <f ca="1">SUMPRODUCT(dFactor,tpSurvCnU,INDEX(tEIdxElec,29)*INDEX(elecCnU,stdCSL+1,6)*allOnes,OFFSET(tPrcElec,0,28,1,_maxLT))</f>
        <v>37198.443294922348</v>
      </c>
      <c r="AH181" s="28">
        <f ca="1">SUMPRODUCT(dFactor,tpSurvCnU,INDEX(tEIdxElec,30)*INDEX(elecCnU,stdCSL+1,6)*allOnes,OFFSET(tPrcElec,0,29,1,_maxLT))</f>
        <v>37336.35147763155</v>
      </c>
      <c r="AI181" s="28">
        <f ca="1">SUMPRODUCT(dFactor,tpSurvCnU,INDEX(tEIdxElec,31)*INDEX(elecCnU,stdCSL+1,6)*allOnes,OFFSET(tPrcElec,0,30,1,_maxLT))</f>
        <v>37486.914380509959</v>
      </c>
      <c r="AJ181" s="28">
        <f ca="1">SUMPRODUCT(dFactor,tpSurvCnU,INDEX(tEIdxElec,32)*INDEX(elecCnU,stdCSL+1,6)*allOnes,OFFSET(tPrcElec,0,31,1,_maxLT))</f>
        <v>37621.11715023141</v>
      </c>
      <c r="AK181" s="29">
        <f ca="1">SUMPRODUCT(dFactor,tpSurvCnU,INDEX(tEIdxElec,33)*INDEX(elecCnU,stdCSL+1,6)*allOnes,OFFSET(tPrcElec,0,32,1,_maxLT))</f>
        <v>37767.759736964574</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ts2bElec*SUMPRODUCT(tpSurvCnU,INDEX(tEIdxElec,1)*INDEX(elecCnU,stdCSL+1,6)*convFactor)</f>
        <v>7078.8380093212836</v>
      </c>
      <c r="F183" s="22">
        <f ca="1">ts2bElec*SUMPRODUCT(tpSurvCnU,INDEX(tEIdxElec,2)*INDEX(elecCnU,stdCSL+1,6)*convFactor)</f>
        <v>7025.7065866124849</v>
      </c>
      <c r="G183" s="22">
        <f ca="1">ts2bElec*SUMPRODUCT(tpSurvCnU,INDEX(tEIdxElec,3)*INDEX(elecCnU,stdCSL+1,6)*convFactor)</f>
        <v>6972.1842071815026</v>
      </c>
      <c r="H183" s="22">
        <f ca="1">ts2bElec*SUMPRODUCT(tpSurvCnU,INDEX(tEIdxElec,4)*INDEX(elecCnU,stdCSL+1,6)*convFactor)</f>
        <v>6925.1991657738618</v>
      </c>
      <c r="I183" s="22">
        <f ca="1">ts2bElec*SUMPRODUCT(tpSurvCnU,INDEX(tEIdxElec,5)*INDEX(elecCnU,stdCSL+1,6)*convFactor)</f>
        <v>6880.6509582940926</v>
      </c>
      <c r="J183" s="22">
        <f ca="1">ts2bElec*SUMPRODUCT(tpSurvCnU,INDEX(tEIdxElec,6)*INDEX(elecCnU,stdCSL+1,6)*convFactor)</f>
        <v>6841.8709626855316</v>
      </c>
      <c r="K183" s="22">
        <f ca="1">ts2bElec*SUMPRODUCT(tpSurvCnU,INDEX(tEIdxElec,7)*INDEX(elecCnU,stdCSL+1,6)*convFactor)</f>
        <v>6811.8025597360911</v>
      </c>
      <c r="L183" s="22">
        <f ca="1">ts2bElec*SUMPRODUCT(tpSurvCnU,INDEX(tEIdxElec,8)*INDEX(elecCnU,stdCSL+1,6)*convFactor)</f>
        <v>6786.8857047171596</v>
      </c>
      <c r="M183" s="22">
        <f ca="1">ts2bElec*SUMPRODUCT(tpSurvCnU,INDEX(tEIdxElec,9)*INDEX(elecCnU,stdCSL+1,6)*convFactor)</f>
        <v>6761.8575123615847</v>
      </c>
      <c r="N183" s="22">
        <f ca="1">ts2bElec*SUMPRODUCT(tpSurvCnU,INDEX(tEIdxElec,10)*INDEX(elecCnU,stdCSL+1,6)*convFactor)</f>
        <v>6741.8406002497968</v>
      </c>
      <c r="O183" s="22">
        <f ca="1">ts2bElec*SUMPRODUCT(tpSurvCnU,INDEX(tEIdxElec,11)*INDEX(elecCnU,stdCSL+1,6)*convFactor)</f>
        <v>6728.053534862067</v>
      </c>
      <c r="P183" s="22">
        <f ca="1">ts2bElec*SUMPRODUCT(tpSurvCnU,INDEX(tEIdxElec,12)*INDEX(elecCnU,stdCSL+1,6)*convFactor)</f>
        <v>6717.962603083879</v>
      </c>
      <c r="Q183" s="22">
        <f ca="1">ts2bElec*SUMPRODUCT(tpSurvCnU,INDEX(tEIdxElec,13)*INDEX(elecCnU,stdCSL+1,6)*convFactor)</f>
        <v>6709.4719789280352</v>
      </c>
      <c r="R183" s="22">
        <f ca="1">ts2bElec*SUMPRODUCT(tpSurvCnU,INDEX(tEIdxElec,14)*INDEX(elecCnU,stdCSL+1,6)*convFactor)</f>
        <v>6703.2074704458064</v>
      </c>
      <c r="S183" s="22">
        <f ca="1">ts2bElec*SUMPRODUCT(tpSurvCnU,INDEX(tEIdxElec,15)*INDEX(elecCnU,stdCSL+1,6)*convFactor)</f>
        <v>6698.4332352670954</v>
      </c>
      <c r="T183" s="22">
        <f ca="1">ts2bElec*SUMPRODUCT(tpSurvCnU,INDEX(tEIdxElec,16)*INDEX(elecCnU,stdCSL+1,6)*convFactor)</f>
        <v>6697.8344331974577</v>
      </c>
      <c r="U183" s="22">
        <f ca="1">ts2bElec*SUMPRODUCT(tpSurvCnU,INDEX(tEIdxElec,17)*INDEX(elecCnU,stdCSL+1,6)*convFactor)</f>
        <v>6699.05984647066</v>
      </c>
      <c r="V183" s="22">
        <f ca="1">ts2bElec*SUMPRODUCT(tpSurvCnU,INDEX(tEIdxElec,18)*INDEX(elecCnU,stdCSL+1,6)*convFactor)</f>
        <v>6700.8605658548158</v>
      </c>
      <c r="W183" s="22">
        <f ca="1">ts2bElec*SUMPRODUCT(tpSurvCnU,INDEX(tEIdxElec,19)*INDEX(elecCnU,stdCSL+1,6)*convFactor)</f>
        <v>6703.4358440608376</v>
      </c>
      <c r="X183" s="22">
        <f ca="1">ts2bElec*SUMPRODUCT(tpSurvCnU,INDEX(tEIdxElec,20)*INDEX(elecCnU,stdCSL+1,6)*convFactor)</f>
        <v>6705.869454301831</v>
      </c>
      <c r="Y183" s="22">
        <f ca="1">ts2bElec*SUMPRODUCT(tpSurvCnU,INDEX(tEIdxElec,21)*INDEX(elecCnU,stdCSL+1,6)*convFactor)</f>
        <v>6707.8858305029207</v>
      </c>
      <c r="Z183" s="22">
        <f ca="1">ts2bElec*SUMPRODUCT(tpSurvCnU,INDEX(tEIdxElec,22)*INDEX(elecCnU,stdCSL+1,6)*convFactor)</f>
        <v>6709.2370876479163</v>
      </c>
      <c r="AA183" s="22">
        <f ca="1">ts2bElec*SUMPRODUCT(tpSurvCnU,INDEX(tEIdxElec,23)*INDEX(elecCnU,stdCSL+1,6)*convFactor)</f>
        <v>6710.1276560550732</v>
      </c>
      <c r="AB183" s="22">
        <f ca="1">ts2bElec*SUMPRODUCT(tpSurvCnU,INDEX(tEIdxElec,24)*INDEX(elecCnU,stdCSL+1,6)*convFactor)</f>
        <v>6710.1276560550732</v>
      </c>
      <c r="AC183" s="22">
        <f ca="1">ts2bElec*SUMPRODUCT(tpSurvCnU,INDEX(tEIdxElec,25)*INDEX(elecCnU,stdCSL+1,6)*convFactor)</f>
        <v>6710.1276560550732</v>
      </c>
      <c r="AD183" s="22">
        <f ca="1">ts2bElec*SUMPRODUCT(tpSurvCnU,INDEX(tEIdxElec,26)*INDEX(elecCnU,stdCSL+1,6)*convFactor)</f>
        <v>6710.1276560550732</v>
      </c>
      <c r="AE183" s="22">
        <f ca="1">ts2bElec*SUMPRODUCT(tpSurvCnU,INDEX(tEIdxElec,27)*INDEX(elecCnU,stdCSL+1,6)*convFactor)</f>
        <v>6710.1276560550732</v>
      </c>
      <c r="AF183" s="22">
        <f ca="1">ts2bElec*SUMPRODUCT(tpSurvCnU,INDEX(tEIdxElec,28)*INDEX(elecCnU,stdCSL+1,6)*convFactor)</f>
        <v>6710.1276560550732</v>
      </c>
      <c r="AG183" s="22">
        <f ca="1">ts2bElec*SUMPRODUCT(tpSurvCnU,INDEX(tEIdxElec,29)*INDEX(elecCnU,stdCSL+1,6)*convFactor)</f>
        <v>6710.1276560550732</v>
      </c>
      <c r="AH183" s="22">
        <f ca="1">ts2bElec*SUMPRODUCT(tpSurvCnU,INDEX(tEIdxElec,30)*INDEX(elecCnU,stdCSL+1,6)*convFactor)</f>
        <v>6710.1276560550732</v>
      </c>
      <c r="AI183" s="22">
        <f ca="1">ts2bElec*SUMPRODUCT(tpSurvCnU,INDEX(tEIdxElec,31)*INDEX(elecCnU,stdCSL+1,6)*convFactor)</f>
        <v>6710.1276560550732</v>
      </c>
      <c r="AJ183" s="22">
        <f ca="1">ts2bElec*SUMPRODUCT(tpSurvCnU,INDEX(tEIdxElec,32)*INDEX(elecCnU,stdCSL+1,6)*convFactor)</f>
        <v>6710.1276560550732</v>
      </c>
      <c r="AK183" s="25">
        <f ca="1">ts2bElec*SUMPRODUCT(tpSurvCnU,INDEX(tEIdxElec,33)*INDEX(elecCnU,stdCSL+1,6)*convFactor)</f>
        <v>6710.1276560550732</v>
      </c>
      <c r="AL183" s="3"/>
    </row>
    <row r="184" spans="2:38">
      <c r="B184" s="3"/>
      <c r="C184" s="30" t="str">
        <f>"EL 6: " &amp; INDEX(_doName,4,7)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(1+INDEX(vadCnU,stdCSL+1,7))*INDEX(mspCnU,stdCSL+1,7)*tPIdxAll + INDEX(instCnU,stdCSL+1,7) + SUMPRODUCT(dFactor,tpSurvCnU,INDEX(mrCnU,stdCSL+1,7)*allOnes)</f>
        <v>1768.2513120000001</v>
      </c>
      <c r="F185" s="28">
        <f ca="1"/>
        <v>1768.2513120000001</v>
      </c>
      <c r="G185" s="28">
        <f ca="1"/>
        <v>1768.2513120000001</v>
      </c>
      <c r="H185" s="28">
        <f ca="1"/>
        <v>1768.2513120000001</v>
      </c>
      <c r="I185" s="28">
        <f ca="1"/>
        <v>1768.2513120000001</v>
      </c>
      <c r="J185" s="28">
        <f ca="1"/>
        <v>1768.2513120000001</v>
      </c>
      <c r="K185" s="28">
        <f ca="1"/>
        <v>1768.2513120000001</v>
      </c>
      <c r="L185" s="28">
        <f ca="1"/>
        <v>1768.2513120000001</v>
      </c>
      <c r="M185" s="28">
        <f ca="1"/>
        <v>1768.2513120000001</v>
      </c>
      <c r="N185" s="28">
        <f ca="1"/>
        <v>1768.2513120000001</v>
      </c>
      <c r="O185" s="28">
        <f ca="1"/>
        <v>1768.2513120000001</v>
      </c>
      <c r="P185" s="28">
        <f ca="1"/>
        <v>1768.2513120000001</v>
      </c>
      <c r="Q185" s="28">
        <f ca="1"/>
        <v>1768.2513120000001</v>
      </c>
      <c r="R185" s="28">
        <f ca="1"/>
        <v>1768.2513120000001</v>
      </c>
      <c r="S185" s="28">
        <f ca="1"/>
        <v>1768.2513120000001</v>
      </c>
      <c r="T185" s="28">
        <f ca="1"/>
        <v>1768.2513120000001</v>
      </c>
      <c r="U185" s="28">
        <f ca="1"/>
        <v>1768.2513120000001</v>
      </c>
      <c r="V185" s="28">
        <f ca="1"/>
        <v>1768.2513120000001</v>
      </c>
      <c r="W185" s="28">
        <f ca="1"/>
        <v>1768.2513120000001</v>
      </c>
      <c r="X185" s="28">
        <f ca="1"/>
        <v>1768.2513120000001</v>
      </c>
      <c r="Y185" s="28">
        <f ca="1"/>
        <v>1768.2513120000001</v>
      </c>
      <c r="Z185" s="28">
        <f ca="1"/>
        <v>1768.2513120000001</v>
      </c>
      <c r="AA185" s="28">
        <f ca="1"/>
        <v>1768.2513120000001</v>
      </c>
      <c r="AB185" s="28">
        <f ca="1"/>
        <v>1768.2513120000001</v>
      </c>
      <c r="AC185" s="28">
        <f ca="1"/>
        <v>1768.2513120000001</v>
      </c>
      <c r="AD185" s="28">
        <f ca="1"/>
        <v>1768.2513120000001</v>
      </c>
      <c r="AE185" s="28">
        <f ca="1"/>
        <v>1768.2513120000001</v>
      </c>
      <c r="AF185" s="28">
        <f ca="1"/>
        <v>1768.2513120000001</v>
      </c>
      <c r="AG185" s="28">
        <f ca="1"/>
        <v>1768.2513120000001</v>
      </c>
      <c r="AH185" s="28">
        <f ca="1"/>
        <v>1768.2513120000001</v>
      </c>
      <c r="AI185" s="28">
        <f ca="1"/>
        <v>1768.2513120000001</v>
      </c>
      <c r="AJ185" s="28">
        <f ca="1"/>
        <v>1768.2513120000001</v>
      </c>
      <c r="AK185" s="29">
        <f ca="1"/>
        <v>1768.2513120000001</v>
      </c>
      <c r="AL185" s="3"/>
    </row>
    <row r="186" spans="2:38">
      <c r="B186" s="3"/>
      <c r="C186" s="23" t="s">
        <v>47</v>
      </c>
      <c r="D186" s="16" t="str">
        <f>_yearDol &amp; "$"</f>
        <v>2013$</v>
      </c>
      <c r="E186" s="141">
        <f t="array" aca="1" ref="E186:AK186" ca="1">(tlccEFupolElec6)</f>
        <v>41346.217347511236</v>
      </c>
      <c r="F186" s="28">
        <f ca="1"/>
        <v>41528.35414010915</v>
      </c>
      <c r="G186" s="28">
        <f ca="1"/>
        <v>41689.471578449688</v>
      </c>
      <c r="H186" s="28">
        <f ca="1"/>
        <v>41865.259347025923</v>
      </c>
      <c r="I186" s="28">
        <f ca="1"/>
        <v>42019.516524327577</v>
      </c>
      <c r="J186" s="28">
        <f ca="1"/>
        <v>42187.958740295369</v>
      </c>
      <c r="K186" s="28">
        <f ca="1"/>
        <v>42334.474667802606</v>
      </c>
      <c r="L186" s="28">
        <f ca="1"/>
        <v>42494.581178439083</v>
      </c>
      <c r="M186" s="28">
        <f ca="1"/>
        <v>42669.378767216316</v>
      </c>
      <c r="N186" s="28">
        <f ca="1"/>
        <v>42822.628457515129</v>
      </c>
      <c r="O186" s="28">
        <f ca="1"/>
        <v>42990.045310182155</v>
      </c>
      <c r="P186" s="28">
        <f ca="1"/>
        <v>43172.707074563383</v>
      </c>
      <c r="Q186" s="28">
        <f ca="1"/>
        <v>43334.424381647368</v>
      </c>
      <c r="R186" s="28">
        <f ca="1"/>
        <v>43511.030730229082</v>
      </c>
      <c r="S186" s="28">
        <f ca="1"/>
        <v>43666.284973122543</v>
      </c>
      <c r="T186" s="28">
        <f ca="1"/>
        <v>43835.965955318898</v>
      </c>
      <c r="U186" s="28">
        <f ca="1"/>
        <v>44021.069609095059</v>
      </c>
      <c r="V186" s="28">
        <f ca="1"/>
        <v>44185.499483989377</v>
      </c>
      <c r="W186" s="28">
        <f ca="1"/>
        <v>44365.106288961535</v>
      </c>
      <c r="X186" s="28">
        <f ca="1"/>
        <v>44523.600129385442</v>
      </c>
      <c r="Y186" s="28">
        <f ca="1"/>
        <v>44696.917511949847</v>
      </c>
      <c r="Z186" s="28">
        <f ca="1"/>
        <v>44885.928670297362</v>
      </c>
      <c r="AA186" s="28">
        <f ca="1"/>
        <v>45054.716196885071</v>
      </c>
      <c r="AB186" s="28">
        <f ca="1"/>
        <v>45238.892797963606</v>
      </c>
      <c r="AC186" s="28">
        <f ca="1"/>
        <v>45402.43479468851</v>
      </c>
      <c r="AD186" s="28">
        <f ca="1"/>
        <v>45581.140037071404</v>
      </c>
      <c r="AE186" s="28">
        <f ca="1"/>
        <v>45775.896071993629</v>
      </c>
      <c r="AF186" s="28">
        <f ca="1"/>
        <v>45951.037290569046</v>
      </c>
      <c r="AG186" s="28">
        <f ca="1"/>
        <v>46142.074961479273</v>
      </c>
      <c r="AH186" s="28">
        <f ca="1"/>
        <v>46313.140445427547</v>
      </c>
      <c r="AI186" s="28">
        <f ca="1"/>
        <v>46499.90322729863</v>
      </c>
      <c r="AJ186" s="28">
        <f ca="1"/>
        <v>46666.372404823895</v>
      </c>
      <c r="AK186" s="29">
        <f ca="1"/>
        <v>46848.272307890817</v>
      </c>
      <c r="AL186" s="3"/>
    </row>
    <row r="187" spans="2:38">
      <c r="B187" s="3"/>
      <c r="C187" s="27" t="str">
        <f>INDEX(_fuel,1)</f>
        <v>Electricity</v>
      </c>
      <c r="D187" s="16" t="str">
        <f>_yearDol &amp; "$"</f>
        <v>2013$</v>
      </c>
      <c r="E187" s="141">
        <f ca="1">SUMPRODUCT(dFactor,tpSurvCnU,INDEX(tEIdxElec,1)*INDEX(elecCnU,stdCSL+1,7)*allOnes,OFFSET(tPrcElec,0,0,1,_maxLT))</f>
        <v>41346.217347511236</v>
      </c>
      <c r="F187" s="28">
        <f ca="1">SUMPRODUCT(dFactor,tpSurvCnU,INDEX(tEIdxElec,2)*INDEX(elecCnU,stdCSL+1,7)*allOnes,OFFSET(tPrcElec,0,1,1,_maxLT))</f>
        <v>41528.35414010915</v>
      </c>
      <c r="G187" s="28">
        <f ca="1">SUMPRODUCT(dFactor,tpSurvCnU,INDEX(tEIdxElec,3)*INDEX(elecCnU,stdCSL+1,7)*allOnes,OFFSET(tPrcElec,0,2,1,_maxLT))</f>
        <v>41689.471578449688</v>
      </c>
      <c r="H187" s="28">
        <f ca="1">SUMPRODUCT(dFactor,tpSurvCnU,INDEX(tEIdxElec,4)*INDEX(elecCnU,stdCSL+1,7)*allOnes,OFFSET(tPrcElec,0,3,1,_maxLT))</f>
        <v>41865.259347025923</v>
      </c>
      <c r="I187" s="28">
        <f ca="1">SUMPRODUCT(dFactor,tpSurvCnU,INDEX(tEIdxElec,5)*INDEX(elecCnU,stdCSL+1,7)*allOnes,OFFSET(tPrcElec,0,4,1,_maxLT))</f>
        <v>42019.516524327577</v>
      </c>
      <c r="J187" s="28">
        <f ca="1">SUMPRODUCT(dFactor,tpSurvCnU,INDEX(tEIdxElec,6)*INDEX(elecCnU,stdCSL+1,7)*allOnes,OFFSET(tPrcElec,0,5,1,_maxLT))</f>
        <v>42187.958740295369</v>
      </c>
      <c r="K187" s="28">
        <f ca="1">SUMPRODUCT(dFactor,tpSurvCnU,INDEX(tEIdxElec,7)*INDEX(elecCnU,stdCSL+1,7)*allOnes,OFFSET(tPrcElec,0,6,1,_maxLT))</f>
        <v>42334.474667802606</v>
      </c>
      <c r="L187" s="28">
        <f ca="1">SUMPRODUCT(dFactor,tpSurvCnU,INDEX(tEIdxElec,8)*INDEX(elecCnU,stdCSL+1,7)*allOnes,OFFSET(tPrcElec,0,7,1,_maxLT))</f>
        <v>42494.581178439083</v>
      </c>
      <c r="M187" s="28">
        <f ca="1">SUMPRODUCT(dFactor,tpSurvCnU,INDEX(tEIdxElec,9)*INDEX(elecCnU,stdCSL+1,7)*allOnes,OFFSET(tPrcElec,0,8,1,_maxLT))</f>
        <v>42669.378767216316</v>
      </c>
      <c r="N187" s="28">
        <f ca="1">SUMPRODUCT(dFactor,tpSurvCnU,INDEX(tEIdxElec,10)*INDEX(elecCnU,stdCSL+1,7)*allOnes,OFFSET(tPrcElec,0,9,1,_maxLT))</f>
        <v>42822.628457515129</v>
      </c>
      <c r="O187" s="28">
        <f ca="1">SUMPRODUCT(dFactor,tpSurvCnU,INDEX(tEIdxElec,11)*INDEX(elecCnU,stdCSL+1,7)*allOnes,OFFSET(tPrcElec,0,10,1,_maxLT))</f>
        <v>42990.045310182155</v>
      </c>
      <c r="P187" s="28">
        <f ca="1">SUMPRODUCT(dFactor,tpSurvCnU,INDEX(tEIdxElec,12)*INDEX(elecCnU,stdCSL+1,7)*allOnes,OFFSET(tPrcElec,0,11,1,_maxLT))</f>
        <v>43172.707074563383</v>
      </c>
      <c r="Q187" s="28">
        <f ca="1">SUMPRODUCT(dFactor,tpSurvCnU,INDEX(tEIdxElec,13)*INDEX(elecCnU,stdCSL+1,7)*allOnes,OFFSET(tPrcElec,0,12,1,_maxLT))</f>
        <v>43334.424381647368</v>
      </c>
      <c r="R187" s="28">
        <f ca="1">SUMPRODUCT(dFactor,tpSurvCnU,INDEX(tEIdxElec,14)*INDEX(elecCnU,stdCSL+1,7)*allOnes,OFFSET(tPrcElec,0,13,1,_maxLT))</f>
        <v>43511.030730229082</v>
      </c>
      <c r="S187" s="28">
        <f ca="1">SUMPRODUCT(dFactor,tpSurvCnU,INDEX(tEIdxElec,15)*INDEX(elecCnU,stdCSL+1,7)*allOnes,OFFSET(tPrcElec,0,14,1,_maxLT))</f>
        <v>43666.284973122543</v>
      </c>
      <c r="T187" s="28">
        <f ca="1">SUMPRODUCT(dFactor,tpSurvCnU,INDEX(tEIdxElec,16)*INDEX(elecCnU,stdCSL+1,7)*allOnes,OFFSET(tPrcElec,0,15,1,_maxLT))</f>
        <v>43835.965955318898</v>
      </c>
      <c r="U187" s="28">
        <f ca="1">SUMPRODUCT(dFactor,tpSurvCnU,INDEX(tEIdxElec,17)*INDEX(elecCnU,stdCSL+1,7)*allOnes,OFFSET(tPrcElec,0,16,1,_maxLT))</f>
        <v>44021.069609095059</v>
      </c>
      <c r="V187" s="28">
        <f ca="1">SUMPRODUCT(dFactor,tpSurvCnU,INDEX(tEIdxElec,18)*INDEX(elecCnU,stdCSL+1,7)*allOnes,OFFSET(tPrcElec,0,17,1,_maxLT))</f>
        <v>44185.499483989377</v>
      </c>
      <c r="W187" s="28">
        <f ca="1">SUMPRODUCT(dFactor,tpSurvCnU,INDEX(tEIdxElec,19)*INDEX(elecCnU,stdCSL+1,7)*allOnes,OFFSET(tPrcElec,0,18,1,_maxLT))</f>
        <v>44365.106288961535</v>
      </c>
      <c r="X187" s="28">
        <f ca="1">SUMPRODUCT(dFactor,tpSurvCnU,INDEX(tEIdxElec,20)*INDEX(elecCnU,stdCSL+1,7)*allOnes,OFFSET(tPrcElec,0,19,1,_maxLT))</f>
        <v>44523.600129385442</v>
      </c>
      <c r="Y187" s="28">
        <f ca="1">SUMPRODUCT(dFactor,tpSurvCnU,INDEX(tEIdxElec,21)*INDEX(elecCnU,stdCSL+1,7)*allOnes,OFFSET(tPrcElec,0,20,1,_maxLT))</f>
        <v>44696.917511949847</v>
      </c>
      <c r="Z187" s="28">
        <f ca="1">SUMPRODUCT(dFactor,tpSurvCnU,INDEX(tEIdxElec,22)*INDEX(elecCnU,stdCSL+1,7)*allOnes,OFFSET(tPrcElec,0,21,1,_maxLT))</f>
        <v>44885.928670297362</v>
      </c>
      <c r="AA187" s="28">
        <f ca="1">SUMPRODUCT(dFactor,tpSurvCnU,INDEX(tEIdxElec,23)*INDEX(elecCnU,stdCSL+1,7)*allOnes,OFFSET(tPrcElec,0,22,1,_maxLT))</f>
        <v>45054.716196885071</v>
      </c>
      <c r="AB187" s="28">
        <f ca="1">SUMPRODUCT(dFactor,tpSurvCnU,INDEX(tEIdxElec,24)*INDEX(elecCnU,stdCSL+1,7)*allOnes,OFFSET(tPrcElec,0,23,1,_maxLT))</f>
        <v>45238.892797963606</v>
      </c>
      <c r="AC187" s="28">
        <f ca="1">SUMPRODUCT(dFactor,tpSurvCnU,INDEX(tEIdxElec,25)*INDEX(elecCnU,stdCSL+1,7)*allOnes,OFFSET(tPrcElec,0,24,1,_maxLT))</f>
        <v>45402.43479468851</v>
      </c>
      <c r="AD187" s="28">
        <f ca="1">SUMPRODUCT(dFactor,tpSurvCnU,INDEX(tEIdxElec,26)*INDEX(elecCnU,stdCSL+1,7)*allOnes,OFFSET(tPrcElec,0,25,1,_maxLT))</f>
        <v>45581.140037071404</v>
      </c>
      <c r="AE187" s="28">
        <f ca="1">SUMPRODUCT(dFactor,tpSurvCnU,INDEX(tEIdxElec,27)*INDEX(elecCnU,stdCSL+1,7)*allOnes,OFFSET(tPrcElec,0,26,1,_maxLT))</f>
        <v>45775.896071993629</v>
      </c>
      <c r="AF187" s="28">
        <f ca="1">SUMPRODUCT(dFactor,tpSurvCnU,INDEX(tEIdxElec,28)*INDEX(elecCnU,stdCSL+1,7)*allOnes,OFFSET(tPrcElec,0,27,1,_maxLT))</f>
        <v>45951.037290569046</v>
      </c>
      <c r="AG187" s="28">
        <f ca="1">SUMPRODUCT(dFactor,tpSurvCnU,INDEX(tEIdxElec,29)*INDEX(elecCnU,stdCSL+1,7)*allOnes,OFFSET(tPrcElec,0,28,1,_maxLT))</f>
        <v>46142.074961479273</v>
      </c>
      <c r="AH187" s="28">
        <f ca="1">SUMPRODUCT(dFactor,tpSurvCnU,INDEX(tEIdxElec,30)*INDEX(elecCnU,stdCSL+1,7)*allOnes,OFFSET(tPrcElec,0,29,1,_maxLT))</f>
        <v>46313.140445427547</v>
      </c>
      <c r="AI187" s="28">
        <f ca="1">SUMPRODUCT(dFactor,tpSurvCnU,INDEX(tEIdxElec,31)*INDEX(elecCnU,stdCSL+1,7)*allOnes,OFFSET(tPrcElec,0,30,1,_maxLT))</f>
        <v>46499.90322729863</v>
      </c>
      <c r="AJ187" s="28">
        <f ca="1">SUMPRODUCT(dFactor,tpSurvCnU,INDEX(tEIdxElec,32)*INDEX(elecCnU,stdCSL+1,7)*allOnes,OFFSET(tPrcElec,0,31,1,_maxLT))</f>
        <v>46666.372404823895</v>
      </c>
      <c r="AK187" s="29">
        <f ca="1">SUMPRODUCT(dFactor,tpSurvCnU,INDEX(tEIdxElec,33)*INDEX(elecCnU,stdCSL+1,7)*allOnes,OFFSET(tPrcElec,0,32,1,_maxLT))</f>
        <v>46848.272307890817</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ts2bElec*SUMPRODUCT(tpSurvCnU,INDEX(tEIdxElec,1)*INDEX(elecCnU,stdCSL+1,7)*convFactor)</f>
        <v>8780.8049244592257</v>
      </c>
      <c r="F189" s="24">
        <f ca="1">ts2bElec*SUMPRODUCT(tpSurvCnU,INDEX(tEIdxElec,2)*INDEX(elecCnU,stdCSL+1,7)*convFactor)</f>
        <v>8714.899099583643</v>
      </c>
      <c r="G189" s="24">
        <f ca="1">ts2bElec*SUMPRODUCT(tpSurvCnU,INDEX(tEIdxElec,3)*INDEX(elecCnU,stdCSL+1,7)*convFactor)</f>
        <v>8648.5083201566395</v>
      </c>
      <c r="H189" s="24">
        <f ca="1">ts2bElec*SUMPRODUCT(tpSurvCnU,INDEX(tEIdxElec,4)*INDEX(elecCnU,stdCSL+1,7)*convFactor)</f>
        <v>8590.2266526817129</v>
      </c>
      <c r="I189" s="24">
        <f ca="1">ts2bElec*SUMPRODUCT(tpSurvCnU,INDEX(tEIdxElec,5)*INDEX(elecCnU,stdCSL+1,7)*convFactor)</f>
        <v>8534.9677077674351</v>
      </c>
      <c r="J189" s="24">
        <f ca="1">ts2bElec*SUMPRODUCT(tpSurvCnU,INDEX(tEIdxElec,6)*INDEX(elecCnU,stdCSL+1,7)*convFactor)</f>
        <v>8486.8638274467157</v>
      </c>
      <c r="K189" s="24">
        <f ca="1">ts2bElec*SUMPRODUCT(tpSurvCnU,INDEX(tEIdxElec,7)*INDEX(elecCnU,stdCSL+1,7)*convFactor)</f>
        <v>8449.5660703372287</v>
      </c>
      <c r="L189" s="24">
        <f ca="1">ts2bElec*SUMPRODUCT(tpSurvCnU,INDEX(tEIdxElec,8)*INDEX(elecCnU,stdCSL+1,7)*convFactor)</f>
        <v>8418.6584492044713</v>
      </c>
      <c r="M189" s="24">
        <f ca="1">ts2bElec*SUMPRODUCT(tpSurvCnU,INDEX(tEIdxElec,9)*INDEX(elecCnU,stdCSL+1,7)*convFactor)</f>
        <v>8387.6127218694492</v>
      </c>
      <c r="N189" s="24">
        <f ca="1">ts2bElec*SUMPRODUCT(tpSurvCnU,INDEX(tEIdxElec,10)*INDEX(elecCnU,stdCSL+1,7)*convFactor)</f>
        <v>8362.7831382270215</v>
      </c>
      <c r="O189" s="24">
        <f ca="1">ts2bElec*SUMPRODUCT(tpSurvCnU,INDEX(tEIdxElec,11)*INDEX(elecCnU,stdCSL+1,7)*convFactor)</f>
        <v>8345.6812450220914</v>
      </c>
      <c r="P189" s="24">
        <f ca="1">ts2bElec*SUMPRODUCT(tpSurvCnU,INDEX(tEIdxElec,12)*INDEX(elecCnU,stdCSL+1,7)*convFactor)</f>
        <v>8333.1641478186211</v>
      </c>
      <c r="Q189" s="24">
        <f ca="1">ts2bElec*SUMPRODUCT(tpSurvCnU,INDEX(tEIdxElec,13)*INDEX(elecCnU,stdCSL+1,7)*convFactor)</f>
        <v>8322.632120626984</v>
      </c>
      <c r="R189" s="24">
        <f ca="1">ts2bElec*SUMPRODUCT(tpSurvCnU,INDEX(tEIdxElec,14)*INDEX(elecCnU,stdCSL+1,7)*convFactor)</f>
        <v>8314.861434695531</v>
      </c>
      <c r="S189" s="24">
        <f ca="1">ts2bElec*SUMPRODUCT(tpSurvCnU,INDEX(tEIdxElec,15)*INDEX(elecCnU,stdCSL+1,7)*convFactor)</f>
        <v>8308.9393288763913</v>
      </c>
      <c r="T189" s="24">
        <f ca="1">ts2bElec*SUMPRODUCT(tpSurvCnU,INDEX(tEIdxElec,16)*INDEX(elecCnU,stdCSL+1,7)*convFactor)</f>
        <v>8308.1965566650561</v>
      </c>
      <c r="U189" s="24">
        <f ca="1">ts2bElec*SUMPRODUCT(tpSurvCnU,INDEX(tEIdxElec,17)*INDEX(elecCnU,stdCSL+1,7)*convFactor)</f>
        <v>8309.716596379154</v>
      </c>
      <c r="V189" s="24">
        <f ca="1">ts2bElec*SUMPRODUCT(tpSurvCnU,INDEX(tEIdxElec,18)*INDEX(elecCnU,stdCSL+1,7)*convFactor)</f>
        <v>8311.950263206274</v>
      </c>
      <c r="W189" s="24">
        <f ca="1">ts2bElec*SUMPRODUCT(tpSurvCnU,INDEX(tEIdxElec,19)*INDEX(elecCnU,stdCSL+1,7)*convFactor)</f>
        <v>8315.1447162398799</v>
      </c>
      <c r="X189" s="24">
        <f ca="1">ts2bElec*SUMPRODUCT(tpSurvCnU,INDEX(tEIdxElec,20)*INDEX(elecCnU,stdCSL+1,7)*convFactor)</f>
        <v>8318.1634400417515</v>
      </c>
      <c r="Y189" s="24">
        <f ca="1">ts2bElec*SUMPRODUCT(tpSurvCnU,INDEX(tEIdxElec,21)*INDEX(elecCnU,stdCSL+1,7)*convFactor)</f>
        <v>8320.6646141119563</v>
      </c>
      <c r="Z189" s="24">
        <f ca="1">ts2bElec*SUMPRODUCT(tpSurvCnU,INDEX(tEIdxElec,22)*INDEX(elecCnU,stdCSL+1,7)*convFactor)</f>
        <v>8322.3407543735866</v>
      </c>
      <c r="AA189" s="24">
        <f ca="1">ts2bElec*SUMPRODUCT(tpSurvCnU,INDEX(tEIdxElec,23)*INDEX(elecCnU,stdCSL+1,7)*convFactor)</f>
        <v>8323.445442380973</v>
      </c>
      <c r="AB189" s="24">
        <f ca="1">ts2bElec*SUMPRODUCT(tpSurvCnU,INDEX(tEIdxElec,24)*INDEX(elecCnU,stdCSL+1,7)*convFactor)</f>
        <v>8323.445442380973</v>
      </c>
      <c r="AC189" s="24">
        <f ca="1">ts2bElec*SUMPRODUCT(tpSurvCnU,INDEX(tEIdxElec,25)*INDEX(elecCnU,stdCSL+1,7)*convFactor)</f>
        <v>8323.445442380973</v>
      </c>
      <c r="AD189" s="24">
        <f ca="1">ts2bElec*SUMPRODUCT(tpSurvCnU,INDEX(tEIdxElec,26)*INDEX(elecCnU,stdCSL+1,7)*convFactor)</f>
        <v>8323.445442380973</v>
      </c>
      <c r="AE189" s="24">
        <f ca="1">ts2bElec*SUMPRODUCT(tpSurvCnU,INDEX(tEIdxElec,27)*INDEX(elecCnU,stdCSL+1,7)*convFactor)</f>
        <v>8323.445442380973</v>
      </c>
      <c r="AF189" s="24">
        <f ca="1">ts2bElec*SUMPRODUCT(tpSurvCnU,INDEX(tEIdxElec,28)*INDEX(elecCnU,stdCSL+1,7)*convFactor)</f>
        <v>8323.445442380973</v>
      </c>
      <c r="AG189" s="24">
        <f ca="1">ts2bElec*SUMPRODUCT(tpSurvCnU,INDEX(tEIdxElec,29)*INDEX(elecCnU,stdCSL+1,7)*convFactor)</f>
        <v>8323.445442380973</v>
      </c>
      <c r="AH189" s="24">
        <f ca="1">ts2bElec*SUMPRODUCT(tpSurvCnU,INDEX(tEIdxElec,30)*INDEX(elecCnU,stdCSL+1,7)*convFactor)</f>
        <v>8323.445442380973</v>
      </c>
      <c r="AI189" s="24">
        <f ca="1">ts2bElec*SUMPRODUCT(tpSurvCnU,INDEX(tEIdxElec,31)*INDEX(elecCnU,stdCSL+1,7)*convFactor)</f>
        <v>8323.445442380973</v>
      </c>
      <c r="AJ189" s="24">
        <f ca="1">ts2bElec*SUMPRODUCT(tpSurvCnU,INDEX(tEIdxElec,32)*INDEX(elecCnU,stdCSL+1,7)*convFactor)</f>
        <v>8323.445442380973</v>
      </c>
      <c r="AK189" s="26">
        <f ca="1">ts2bElec*SUMPRODUCT(tpSurvCnU,INDEX(tEIdxElec,33)*INDEX(elecCnU,stdCSL+1,7)*convFactor)</f>
        <v>8323.445442380973</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2423" priority="1" stopIfTrue="1">
      <formula>LEN(TRIM(E106))=0</formula>
    </cfRule>
    <cfRule type="notContainsBlanks" dxfId="2422" priority="2" stopIfTrue="1">
      <formula>LEN(TRIM(E106))&gt;0</formula>
    </cfRule>
  </conditionalFormatting>
  <conditionalFormatting sqref="E107:AK107">
    <cfRule type="containsBlanks" dxfId="2421" priority="3" stopIfTrue="1">
      <formula>LEN(TRIM(E107))=0</formula>
    </cfRule>
    <cfRule type="notContainsBlanks" dxfId="2420" priority="4" stopIfTrue="1">
      <formula>LEN(TRIM(E107))&gt;0</formula>
    </cfRule>
  </conditionalFormatting>
  <conditionalFormatting sqref="E108:AK108">
    <cfRule type="containsBlanks" dxfId="2419" priority="5" stopIfTrue="1">
      <formula>LEN(TRIM(E108))=0</formula>
    </cfRule>
    <cfRule type="notContainsBlanks" dxfId="2418" priority="6" stopIfTrue="1">
      <formula>LEN(TRIM(E108))&gt;0</formula>
    </cfRule>
  </conditionalFormatting>
  <conditionalFormatting sqref="E110:AK110">
    <cfRule type="containsBlanks" dxfId="2417" priority="7" stopIfTrue="1">
      <formula>LEN(TRIM(E110))=0</formula>
    </cfRule>
    <cfRule type="notContainsBlanks" dxfId="2416" priority="8" stopIfTrue="1">
      <formula>LEN(TRIM(E110))&gt;0</formula>
    </cfRule>
  </conditionalFormatting>
  <conditionalFormatting sqref="E112:AK112">
    <cfRule type="containsBlanks" dxfId="2415" priority="9" stopIfTrue="1">
      <formula>LEN(TRIM(E112))=0</formula>
    </cfRule>
    <cfRule type="notContainsBlanks" dxfId="2414" priority="10" stopIfTrue="1">
      <formula>LEN(TRIM(E112))&gt;0</formula>
    </cfRule>
  </conditionalFormatting>
  <conditionalFormatting sqref="E113:AK113">
    <cfRule type="containsBlanks" dxfId="2413" priority="11" stopIfTrue="1">
      <formula>LEN(TRIM(E113))=0</formula>
    </cfRule>
    <cfRule type="notContainsBlanks" dxfId="2412" priority="12" stopIfTrue="1">
      <formula>LEN(TRIM(E113))&gt;0</formula>
    </cfRule>
  </conditionalFormatting>
  <conditionalFormatting sqref="E114:AK114">
    <cfRule type="containsBlanks" dxfId="2411" priority="13" stopIfTrue="1">
      <formula>LEN(TRIM(E114))=0</formula>
    </cfRule>
    <cfRule type="notContainsBlanks" dxfId="2410" priority="14" stopIfTrue="1">
      <formula>LEN(TRIM(E114))&gt;0</formula>
    </cfRule>
  </conditionalFormatting>
  <conditionalFormatting sqref="E116:AK116">
    <cfRule type="containsBlanks" dxfId="2409" priority="15" stopIfTrue="1">
      <formula>LEN(TRIM(E116))=0</formula>
    </cfRule>
    <cfRule type="notContainsBlanks" dxfId="2408" priority="16" stopIfTrue="1">
      <formula>LEN(TRIM(E116))&gt;0</formula>
    </cfRule>
  </conditionalFormatting>
  <conditionalFormatting sqref="E118:AK118">
    <cfRule type="containsBlanks" dxfId="2407" priority="17" stopIfTrue="1">
      <formula>LEN(TRIM(E118))=0</formula>
    </cfRule>
    <cfRule type="notContainsBlanks" dxfId="2406" priority="18" stopIfTrue="1">
      <formula>LEN(TRIM(E118))&gt;0</formula>
    </cfRule>
  </conditionalFormatting>
  <conditionalFormatting sqref="E119:AK119">
    <cfRule type="containsBlanks" dxfId="2405" priority="19" stopIfTrue="1">
      <formula>LEN(TRIM(E119))=0</formula>
    </cfRule>
    <cfRule type="notContainsBlanks" dxfId="2404" priority="20" stopIfTrue="1">
      <formula>LEN(TRIM(E119))&gt;0</formula>
    </cfRule>
  </conditionalFormatting>
  <conditionalFormatting sqref="E120:AK120">
    <cfRule type="containsBlanks" dxfId="2403" priority="21" stopIfTrue="1">
      <formula>LEN(TRIM(E120))=0</formula>
    </cfRule>
    <cfRule type="notContainsBlanks" dxfId="2402" priority="22" stopIfTrue="1">
      <formula>LEN(TRIM(E120))&gt;0</formula>
    </cfRule>
  </conditionalFormatting>
  <conditionalFormatting sqref="E122:AK122">
    <cfRule type="containsBlanks" dxfId="2401" priority="23" stopIfTrue="1">
      <formula>LEN(TRIM(E122))=0</formula>
    </cfRule>
    <cfRule type="notContainsBlanks" dxfId="2400" priority="24" stopIfTrue="1">
      <formula>LEN(TRIM(E122))&gt;0</formula>
    </cfRule>
  </conditionalFormatting>
  <conditionalFormatting sqref="E124:AK124">
    <cfRule type="containsBlanks" dxfId="2399" priority="25" stopIfTrue="1">
      <formula>LEN(TRIM(E124))=0</formula>
    </cfRule>
    <cfRule type="notContainsBlanks" dxfId="2398" priority="26" stopIfTrue="1">
      <formula>LEN(TRIM(E124))&gt;0</formula>
    </cfRule>
  </conditionalFormatting>
  <conditionalFormatting sqref="E125:AK125">
    <cfRule type="containsBlanks" dxfId="2397" priority="27" stopIfTrue="1">
      <formula>LEN(TRIM(E125))=0</formula>
    </cfRule>
    <cfRule type="notContainsBlanks" dxfId="2396" priority="28" stopIfTrue="1">
      <formula>LEN(TRIM(E125))&gt;0</formula>
    </cfRule>
  </conditionalFormatting>
  <conditionalFormatting sqref="E126:AK126">
    <cfRule type="containsBlanks" dxfId="2395" priority="29" stopIfTrue="1">
      <formula>LEN(TRIM(E126))=0</formula>
    </cfRule>
    <cfRule type="notContainsBlanks" dxfId="2394" priority="30" stopIfTrue="1">
      <formula>LEN(TRIM(E126))&gt;0</formula>
    </cfRule>
  </conditionalFormatting>
  <conditionalFormatting sqref="E128:AK128">
    <cfRule type="containsBlanks" dxfId="2393" priority="31" stopIfTrue="1">
      <formula>LEN(TRIM(E128))=0</formula>
    </cfRule>
    <cfRule type="notContainsBlanks" dxfId="2392" priority="32" stopIfTrue="1">
      <formula>LEN(TRIM(E128))&gt;0</formula>
    </cfRule>
  </conditionalFormatting>
  <conditionalFormatting sqref="E130:AK130">
    <cfRule type="containsBlanks" dxfId="2391" priority="33" stopIfTrue="1">
      <formula>LEN(TRIM(E130))=0</formula>
    </cfRule>
    <cfRule type="notContainsBlanks" dxfId="2390" priority="34" stopIfTrue="1">
      <formula>LEN(TRIM(E130))&gt;0</formula>
    </cfRule>
  </conditionalFormatting>
  <conditionalFormatting sqref="E131:AK131">
    <cfRule type="containsBlanks" dxfId="2389" priority="35" stopIfTrue="1">
      <formula>LEN(TRIM(E131))=0</formula>
    </cfRule>
    <cfRule type="notContainsBlanks" dxfId="2388" priority="36" stopIfTrue="1">
      <formula>LEN(TRIM(E131))&gt;0</formula>
    </cfRule>
  </conditionalFormatting>
  <conditionalFormatting sqref="E132:AK132">
    <cfRule type="containsBlanks" dxfId="2387" priority="37" stopIfTrue="1">
      <formula>LEN(TRIM(E132))=0</formula>
    </cfRule>
    <cfRule type="notContainsBlanks" dxfId="2386" priority="38" stopIfTrue="1">
      <formula>LEN(TRIM(E132))&gt;0</formula>
    </cfRule>
  </conditionalFormatting>
  <conditionalFormatting sqref="E134:AK134">
    <cfRule type="containsBlanks" dxfId="2385" priority="39" stopIfTrue="1">
      <formula>LEN(TRIM(E134))=0</formula>
    </cfRule>
    <cfRule type="notContainsBlanks" dxfId="2384" priority="40" stopIfTrue="1">
      <formula>LEN(TRIM(E134))&gt;0</formula>
    </cfRule>
  </conditionalFormatting>
  <conditionalFormatting sqref="E136:AK136">
    <cfRule type="containsBlanks" dxfId="2383" priority="41" stopIfTrue="1">
      <formula>LEN(TRIM(E136))=0</formula>
    </cfRule>
  </conditionalFormatting>
  <conditionalFormatting sqref="E136:AK136">
    <cfRule type="notContainsBlanks" dxfId="2382" priority="42" stopIfTrue="1">
      <formula>LEN(TRIM(E136))&gt;0</formula>
    </cfRule>
  </conditionalFormatting>
  <conditionalFormatting sqref="E137:AK137">
    <cfRule type="containsBlanks" dxfId="2381" priority="43" stopIfTrue="1">
      <formula>LEN(TRIM(E137))=0</formula>
    </cfRule>
  </conditionalFormatting>
  <conditionalFormatting sqref="E137:AK137">
    <cfRule type="notContainsBlanks" dxfId="2380" priority="44" stopIfTrue="1">
      <formula>LEN(TRIM(E137))&gt;0</formula>
    </cfRule>
  </conditionalFormatting>
  <conditionalFormatting sqref="E138:AK138">
    <cfRule type="containsBlanks" dxfId="2379" priority="45" stopIfTrue="1">
      <formula>LEN(TRIM(E138))=0</formula>
    </cfRule>
  </conditionalFormatting>
  <conditionalFormatting sqref="E138:AK138">
    <cfRule type="notContainsBlanks" dxfId="2378" priority="46" stopIfTrue="1">
      <formula>LEN(TRIM(E138))&gt;0</formula>
    </cfRule>
  </conditionalFormatting>
  <conditionalFormatting sqref="E140:AK140">
    <cfRule type="containsBlanks" dxfId="2377" priority="47" stopIfTrue="1">
      <formula>LEN(TRIM(E140))=0</formula>
    </cfRule>
  </conditionalFormatting>
  <conditionalFormatting sqref="E140:AK140">
    <cfRule type="notContainsBlanks" dxfId="2376" priority="48" stopIfTrue="1">
      <formula>LEN(TRIM(E140))&gt;0</formula>
    </cfRule>
  </conditionalFormatting>
  <conditionalFormatting sqref="E142:AK142">
    <cfRule type="containsBlanks" dxfId="2375" priority="49" stopIfTrue="1">
      <formula>LEN(TRIM(E142))=0</formula>
    </cfRule>
  </conditionalFormatting>
  <conditionalFormatting sqref="E142:AK142">
    <cfRule type="notContainsBlanks" dxfId="2374" priority="50" stopIfTrue="1">
      <formula>LEN(TRIM(E142))&gt;0</formula>
    </cfRule>
  </conditionalFormatting>
  <conditionalFormatting sqref="E143:AK143">
    <cfRule type="containsBlanks" dxfId="2373" priority="51" stopIfTrue="1">
      <formula>LEN(TRIM(E143))=0</formula>
    </cfRule>
  </conditionalFormatting>
  <conditionalFormatting sqref="E143:AK143">
    <cfRule type="notContainsBlanks" dxfId="2372" priority="52" stopIfTrue="1">
      <formula>LEN(TRIM(E143))&gt;0</formula>
    </cfRule>
  </conditionalFormatting>
  <conditionalFormatting sqref="E144:AK144">
    <cfRule type="containsBlanks" dxfId="2371" priority="53" stopIfTrue="1">
      <formula>LEN(TRIM(E144))=0</formula>
    </cfRule>
  </conditionalFormatting>
  <conditionalFormatting sqref="E144:AK144">
    <cfRule type="notContainsBlanks" dxfId="2370" priority="54" stopIfTrue="1">
      <formula>LEN(TRIM(E144))&gt;0</formula>
    </cfRule>
  </conditionalFormatting>
  <conditionalFormatting sqref="E146:AK146">
    <cfRule type="containsBlanks" dxfId="2369" priority="55" stopIfTrue="1">
      <formula>LEN(TRIM(E146))=0</formula>
    </cfRule>
  </conditionalFormatting>
  <conditionalFormatting sqref="E146:AK146">
    <cfRule type="notContainsBlanks" dxfId="2368" priority="56" stopIfTrue="1">
      <formula>LEN(TRIM(E146))&gt;0</formula>
    </cfRule>
  </conditionalFormatting>
  <conditionalFormatting sqref="E149:AK149">
    <cfRule type="containsBlanks" dxfId="2367" priority="57" stopIfTrue="1">
      <formula>LEN(TRIM(E149))=0</formula>
    </cfRule>
  </conditionalFormatting>
  <conditionalFormatting sqref="E149:AK149">
    <cfRule type="notContainsBlanks" dxfId="2366" priority="58" stopIfTrue="1">
      <formula>LEN(TRIM(E149))&gt;0</formula>
    </cfRule>
  </conditionalFormatting>
  <conditionalFormatting sqref="E150:AK150">
    <cfRule type="containsBlanks" dxfId="2365" priority="59" stopIfTrue="1">
      <formula>LEN(TRIM(E150))=0</formula>
    </cfRule>
  </conditionalFormatting>
  <conditionalFormatting sqref="E150:AK150">
    <cfRule type="notContainsBlanks" dxfId="2364" priority="60" stopIfTrue="1">
      <formula>LEN(TRIM(E150))&gt;0</formula>
    </cfRule>
  </conditionalFormatting>
  <conditionalFormatting sqref="E151:AK151">
    <cfRule type="containsBlanks" dxfId="2363" priority="61" stopIfTrue="1">
      <formula>LEN(TRIM(E151))=0</formula>
    </cfRule>
  </conditionalFormatting>
  <conditionalFormatting sqref="E151:AK151">
    <cfRule type="notContainsBlanks" dxfId="2362" priority="62" stopIfTrue="1">
      <formula>LEN(TRIM(E151))&gt;0</formula>
    </cfRule>
  </conditionalFormatting>
  <conditionalFormatting sqref="E153:AK153">
    <cfRule type="containsBlanks" dxfId="2361" priority="63" stopIfTrue="1">
      <formula>LEN(TRIM(E153))=0</formula>
    </cfRule>
  </conditionalFormatting>
  <conditionalFormatting sqref="E153:AK153">
    <cfRule type="notContainsBlanks" dxfId="2360" priority="64" stopIfTrue="1">
      <formula>LEN(TRIM(E153))&gt;0</formula>
    </cfRule>
  </conditionalFormatting>
  <conditionalFormatting sqref="E155:AK155">
    <cfRule type="containsBlanks" dxfId="2359" priority="65" stopIfTrue="1">
      <formula>LEN(TRIM(E155))=0</formula>
    </cfRule>
  </conditionalFormatting>
  <conditionalFormatting sqref="E155:AK155">
    <cfRule type="notContainsBlanks" dxfId="2358" priority="66" stopIfTrue="1">
      <formula>LEN(TRIM(E155))&gt;0</formula>
    </cfRule>
  </conditionalFormatting>
  <conditionalFormatting sqref="E156:AK156">
    <cfRule type="containsBlanks" dxfId="2357" priority="67" stopIfTrue="1">
      <formula>LEN(TRIM(E156))=0</formula>
    </cfRule>
  </conditionalFormatting>
  <conditionalFormatting sqref="E156:AK156">
    <cfRule type="notContainsBlanks" dxfId="2356" priority="68" stopIfTrue="1">
      <formula>LEN(TRIM(E156))&gt;0</formula>
    </cfRule>
  </conditionalFormatting>
  <conditionalFormatting sqref="E157:AK157">
    <cfRule type="containsBlanks" dxfId="2355" priority="69" stopIfTrue="1">
      <formula>LEN(TRIM(E157))=0</formula>
    </cfRule>
  </conditionalFormatting>
  <conditionalFormatting sqref="E157:AK157">
    <cfRule type="notContainsBlanks" dxfId="2354" priority="70" stopIfTrue="1">
      <formula>LEN(TRIM(E157))&gt;0</formula>
    </cfRule>
  </conditionalFormatting>
  <conditionalFormatting sqref="E159:AK159">
    <cfRule type="containsBlanks" dxfId="2353" priority="71" stopIfTrue="1">
      <formula>LEN(TRIM(E159))=0</formula>
    </cfRule>
  </conditionalFormatting>
  <conditionalFormatting sqref="E159:AK159">
    <cfRule type="notContainsBlanks" dxfId="2352" priority="72" stopIfTrue="1">
      <formula>LEN(TRIM(E159))&gt;0</formula>
    </cfRule>
  </conditionalFormatting>
  <conditionalFormatting sqref="E161:AK161">
    <cfRule type="containsBlanks" dxfId="2351" priority="73" stopIfTrue="1">
      <formula>LEN(TRIM(E161))=0</formula>
    </cfRule>
  </conditionalFormatting>
  <conditionalFormatting sqref="E161:AK161">
    <cfRule type="notContainsBlanks" dxfId="2350" priority="74" stopIfTrue="1">
      <formula>LEN(TRIM(E161))&gt;0</formula>
    </cfRule>
  </conditionalFormatting>
  <conditionalFormatting sqref="E162:AK162">
    <cfRule type="containsBlanks" dxfId="2349" priority="75" stopIfTrue="1">
      <formula>LEN(TRIM(E162))=0</formula>
    </cfRule>
  </conditionalFormatting>
  <conditionalFormatting sqref="E162:AK162">
    <cfRule type="notContainsBlanks" dxfId="2348" priority="76" stopIfTrue="1">
      <formula>LEN(TRIM(E162))&gt;0</formula>
    </cfRule>
  </conditionalFormatting>
  <conditionalFormatting sqref="E163:AK163">
    <cfRule type="containsBlanks" dxfId="2347" priority="77" stopIfTrue="1">
      <formula>LEN(TRIM(E163))=0</formula>
    </cfRule>
  </conditionalFormatting>
  <conditionalFormatting sqref="E163:AK163">
    <cfRule type="notContainsBlanks" dxfId="2346" priority="78" stopIfTrue="1">
      <formula>LEN(TRIM(E163))&gt;0</formula>
    </cfRule>
  </conditionalFormatting>
  <conditionalFormatting sqref="E165:AK165">
    <cfRule type="containsBlanks" dxfId="2345" priority="79" stopIfTrue="1">
      <formula>LEN(TRIM(E165))=0</formula>
    </cfRule>
  </conditionalFormatting>
  <conditionalFormatting sqref="E165:AK165">
    <cfRule type="notContainsBlanks" dxfId="2344" priority="80" stopIfTrue="1">
      <formula>LEN(TRIM(E165))&gt;0</formula>
    </cfRule>
  </conditionalFormatting>
  <conditionalFormatting sqref="E167:AK167">
    <cfRule type="containsBlanks" dxfId="2343" priority="81" stopIfTrue="1">
      <formula>LEN(TRIM(E167))=0</formula>
    </cfRule>
  </conditionalFormatting>
  <conditionalFormatting sqref="E167:AK167">
    <cfRule type="notContainsBlanks" dxfId="2342" priority="82" stopIfTrue="1">
      <formula>LEN(TRIM(E167))&gt;0</formula>
    </cfRule>
  </conditionalFormatting>
  <conditionalFormatting sqref="E168:AK168">
    <cfRule type="containsBlanks" dxfId="2341" priority="83" stopIfTrue="1">
      <formula>LEN(TRIM(E168))=0</formula>
    </cfRule>
  </conditionalFormatting>
  <conditionalFormatting sqref="E168:AK168">
    <cfRule type="notContainsBlanks" dxfId="2340" priority="84" stopIfTrue="1">
      <formula>LEN(TRIM(E168))&gt;0</formula>
    </cfRule>
  </conditionalFormatting>
  <conditionalFormatting sqref="E169:AK169">
    <cfRule type="containsBlanks" dxfId="2339" priority="85" stopIfTrue="1">
      <formula>LEN(TRIM(E169))=0</formula>
    </cfRule>
  </conditionalFormatting>
  <conditionalFormatting sqref="E169:AK169">
    <cfRule type="notContainsBlanks" dxfId="2338" priority="86" stopIfTrue="1">
      <formula>LEN(TRIM(E169))&gt;0</formula>
    </cfRule>
  </conditionalFormatting>
  <conditionalFormatting sqref="E171:AK171">
    <cfRule type="containsBlanks" dxfId="2337" priority="87" stopIfTrue="1">
      <formula>LEN(TRIM(E171))=0</formula>
    </cfRule>
  </conditionalFormatting>
  <conditionalFormatting sqref="E171:AK171">
    <cfRule type="notContainsBlanks" dxfId="2336" priority="88" stopIfTrue="1">
      <formula>LEN(TRIM(E171))&gt;0</formula>
    </cfRule>
  </conditionalFormatting>
  <conditionalFormatting sqref="E173:AK173">
    <cfRule type="containsBlanks" dxfId="2335" priority="89" stopIfTrue="1">
      <formula>LEN(TRIM(E173))=0</formula>
    </cfRule>
  </conditionalFormatting>
  <conditionalFormatting sqref="E173:AK173">
    <cfRule type="notContainsBlanks" dxfId="2334" priority="90" stopIfTrue="1">
      <formula>LEN(TRIM(E173))&gt;0</formula>
    </cfRule>
  </conditionalFormatting>
  <conditionalFormatting sqref="E174:AK174">
    <cfRule type="containsBlanks" dxfId="2333" priority="91" stopIfTrue="1">
      <formula>LEN(TRIM(E174))=0</formula>
    </cfRule>
  </conditionalFormatting>
  <conditionalFormatting sqref="E174:AK174">
    <cfRule type="notContainsBlanks" dxfId="2332" priority="92" stopIfTrue="1">
      <formula>LEN(TRIM(E174))&gt;0</formula>
    </cfRule>
  </conditionalFormatting>
  <conditionalFormatting sqref="E175:AK175">
    <cfRule type="containsBlanks" dxfId="2331" priority="93" stopIfTrue="1">
      <formula>LEN(TRIM(E175))=0</formula>
    </cfRule>
  </conditionalFormatting>
  <conditionalFormatting sqref="E175:AK175">
    <cfRule type="notContainsBlanks" dxfId="2330" priority="94" stopIfTrue="1">
      <formula>LEN(TRIM(E175))&gt;0</formula>
    </cfRule>
  </conditionalFormatting>
  <conditionalFormatting sqref="E177:AK177">
    <cfRule type="containsBlanks" dxfId="2329" priority="95" stopIfTrue="1">
      <formula>LEN(TRIM(E177))=0</formula>
    </cfRule>
  </conditionalFormatting>
  <conditionalFormatting sqref="E177:AK177">
    <cfRule type="notContainsBlanks" dxfId="2328" priority="96" stopIfTrue="1">
      <formula>LEN(TRIM(E177))&gt;0</formula>
    </cfRule>
  </conditionalFormatting>
  <conditionalFormatting sqref="E179:AK179">
    <cfRule type="containsBlanks" dxfId="2327" priority="97" stopIfTrue="1">
      <formula>LEN(TRIM(E179))=0</formula>
    </cfRule>
  </conditionalFormatting>
  <conditionalFormatting sqref="E179:AK179">
    <cfRule type="notContainsBlanks" dxfId="2326" priority="98" stopIfTrue="1">
      <formula>LEN(TRIM(E179))&gt;0</formula>
    </cfRule>
  </conditionalFormatting>
  <conditionalFormatting sqref="E180:AK180">
    <cfRule type="containsBlanks" dxfId="2325" priority="99" stopIfTrue="1">
      <formula>LEN(TRIM(E180))=0</formula>
    </cfRule>
  </conditionalFormatting>
  <conditionalFormatting sqref="E180:AK180">
    <cfRule type="notContainsBlanks" dxfId="2324" priority="100" stopIfTrue="1">
      <formula>LEN(TRIM(E180))&gt;0</formula>
    </cfRule>
  </conditionalFormatting>
  <conditionalFormatting sqref="E181:AK181">
    <cfRule type="containsBlanks" dxfId="2323" priority="101" stopIfTrue="1">
      <formula>LEN(TRIM(E181))=0</formula>
    </cfRule>
  </conditionalFormatting>
  <conditionalFormatting sqref="E181:AK181">
    <cfRule type="notContainsBlanks" dxfId="2322" priority="102" stopIfTrue="1">
      <formula>LEN(TRIM(E181))&gt;0</formula>
    </cfRule>
  </conditionalFormatting>
  <conditionalFormatting sqref="E183:AK183">
    <cfRule type="containsBlanks" dxfId="2321" priority="103" stopIfTrue="1">
      <formula>LEN(TRIM(E183))=0</formula>
    </cfRule>
  </conditionalFormatting>
  <conditionalFormatting sqref="E183:AK183">
    <cfRule type="notContainsBlanks" dxfId="2320" priority="104" stopIfTrue="1">
      <formula>LEN(TRIM(E183))&gt;0</formula>
    </cfRule>
  </conditionalFormatting>
  <conditionalFormatting sqref="E185:AK185">
    <cfRule type="containsBlanks" dxfId="2319" priority="105" stopIfTrue="1">
      <formula>LEN(TRIM(E185))=0</formula>
    </cfRule>
  </conditionalFormatting>
  <conditionalFormatting sqref="E185:AK185">
    <cfRule type="notContainsBlanks" dxfId="2318" priority="106" stopIfTrue="1">
      <formula>LEN(TRIM(E185))&gt;0</formula>
    </cfRule>
  </conditionalFormatting>
  <conditionalFormatting sqref="E186:AK186">
    <cfRule type="containsBlanks" dxfId="2317" priority="107" stopIfTrue="1">
      <formula>LEN(TRIM(E186))=0</formula>
    </cfRule>
  </conditionalFormatting>
  <conditionalFormatting sqref="E186:AK186">
    <cfRule type="notContainsBlanks" dxfId="2316" priority="108" stopIfTrue="1">
      <formula>LEN(TRIM(E186))&gt;0</formula>
    </cfRule>
  </conditionalFormatting>
  <conditionalFormatting sqref="E187:AK187">
    <cfRule type="containsBlanks" dxfId="2315" priority="109" stopIfTrue="1">
      <formula>LEN(TRIM(E187))=0</formula>
    </cfRule>
  </conditionalFormatting>
  <conditionalFormatting sqref="E187:AK187">
    <cfRule type="notContainsBlanks" dxfId="2314" priority="110" stopIfTrue="1">
      <formula>LEN(TRIM(E187))&gt;0</formula>
    </cfRule>
  </conditionalFormatting>
  <conditionalFormatting sqref="E189:AK189">
    <cfRule type="containsBlanks" dxfId="2313" priority="111" stopIfTrue="1">
      <formula>LEN(TRIM(E189))=0</formula>
    </cfRule>
  </conditionalFormatting>
  <conditionalFormatting sqref="E189:AK189">
    <cfRule type="notContainsBlanks" dxfId="2312" priority="112" stopIfTrue="1">
      <formula>LEN(TRIM(E189))&gt;0</formula>
    </cfRule>
  </conditionalFormatting>
  <conditionalFormatting sqref="E95:AK95">
    <cfRule type="containsBlanks" dxfId="2311" priority="113" stopIfTrue="1">
      <formula>LEN(TRIM(E95))=0</formula>
    </cfRule>
    <cfRule type="notContainsBlanks" dxfId="2310" priority="114" stopIfTrue="1">
      <formula>LEN(TRIM(E95))&gt;0</formula>
    </cfRule>
  </conditionalFormatting>
  <conditionalFormatting sqref="E96:AK96">
    <cfRule type="containsBlanks" dxfId="2309" priority="115" stopIfTrue="1">
      <formula>LEN(TRIM(E96))=0</formula>
    </cfRule>
    <cfRule type="notContainsBlanks" dxfId="2308" priority="116" stopIfTrue="1">
      <formula>LEN(TRIM(E96))&gt;0</formula>
    </cfRule>
  </conditionalFormatting>
  <conditionalFormatting sqref="E97:AK97">
    <cfRule type="containsBlanks" dxfId="2307" priority="117" stopIfTrue="1">
      <formula>LEN(TRIM(E97))=0</formula>
    </cfRule>
    <cfRule type="notContainsBlanks" dxfId="2306" priority="118" stopIfTrue="1">
      <formula>LEN(TRIM(E97))&gt;0</formula>
    </cfRule>
  </conditionalFormatting>
  <conditionalFormatting sqref="E98:AK98">
    <cfRule type="containsBlanks" dxfId="2305" priority="119" stopIfTrue="1">
      <formula>LEN(TRIM(E98))=0</formula>
    </cfRule>
    <cfRule type="notContainsBlanks" dxfId="2304" priority="120" stopIfTrue="1">
      <formula>LEN(TRIM(E98))&gt;0</formula>
    </cfRule>
  </conditionalFormatting>
  <conditionalFormatting sqref="E99:AK99">
    <cfRule type="containsBlanks" dxfId="2303" priority="121" stopIfTrue="1">
      <formula>LEN(TRIM(E99))=0</formula>
    </cfRule>
    <cfRule type="notContainsBlanks" dxfId="2302" priority="122" stopIfTrue="1">
      <formula>LEN(TRIM(E99))&gt;0</formula>
    </cfRule>
  </conditionalFormatting>
  <conditionalFormatting sqref="E100:AK100">
    <cfRule type="containsBlanks" dxfId="2301" priority="123" stopIfTrue="1">
      <formula>LEN(TRIM(E100))=0</formula>
    </cfRule>
    <cfRule type="notContainsBlanks" dxfId="2300" priority="124" stopIfTrue="1">
      <formula>LEN(TRIM(E100))&gt;0</formula>
    </cfRule>
  </conditionalFormatting>
  <conditionalFormatting sqref="E101:AK101">
    <cfRule type="containsBlanks" dxfId="2299" priority="125" stopIfTrue="1">
      <formula>LEN(TRIM(E101))=0</formula>
    </cfRule>
    <cfRule type="notContainsBlanks" dxfId="2298" priority="126" stopIfTrue="1">
      <formula>LEN(TRIM(E101))&gt;0</formula>
    </cfRule>
  </conditionalFormatting>
  <conditionalFormatting sqref="E86:AK86">
    <cfRule type="containsBlanks" dxfId="2297" priority="127" stopIfTrue="1">
      <formula>LEN(TRIM(E86))=0</formula>
    </cfRule>
    <cfRule type="notContainsBlanks" dxfId="2296" priority="128" stopIfTrue="1">
      <formula>LEN(TRIM(E86))&gt;0</formula>
    </cfRule>
  </conditionalFormatting>
  <conditionalFormatting sqref="E87:AK87">
    <cfRule type="containsBlanks" dxfId="2295" priority="129" stopIfTrue="1">
      <formula>LEN(TRIM(E87))=0</formula>
    </cfRule>
    <cfRule type="notContainsBlanks" dxfId="2294" priority="130" stopIfTrue="1">
      <formula>LEN(TRIM(E87))&gt;0</formula>
    </cfRule>
  </conditionalFormatting>
  <conditionalFormatting sqref="E88:AK88">
    <cfRule type="containsBlanks" dxfId="2293" priority="131" stopIfTrue="1">
      <formula>LEN(TRIM(E88))=0</formula>
    </cfRule>
    <cfRule type="notContainsBlanks" dxfId="2292" priority="132" stopIfTrue="1">
      <formula>LEN(TRIM(E88))&gt;0</formula>
    </cfRule>
  </conditionalFormatting>
  <conditionalFormatting sqref="E89:AK89">
    <cfRule type="containsBlanks" dxfId="2291" priority="133" stopIfTrue="1">
      <formula>LEN(TRIM(E89))=0</formula>
    </cfRule>
    <cfRule type="notContainsBlanks" dxfId="2290" priority="134" stopIfTrue="1">
      <formula>LEN(TRIM(E89))&gt;0</formula>
    </cfRule>
  </conditionalFormatting>
  <conditionalFormatting sqref="E90:AK90">
    <cfRule type="containsBlanks" dxfId="2289" priority="135" stopIfTrue="1">
      <formula>LEN(TRIM(E90))=0</formula>
    </cfRule>
    <cfRule type="notContainsBlanks" dxfId="2288" priority="136" stopIfTrue="1">
      <formula>LEN(TRIM(E90))&gt;0</formula>
    </cfRule>
  </conditionalFormatting>
  <conditionalFormatting sqref="E91:AK91">
    <cfRule type="containsBlanks" dxfId="2287" priority="137" stopIfTrue="1">
      <formula>LEN(TRIM(E91))=0</formula>
    </cfRule>
    <cfRule type="notContainsBlanks" dxfId="2286" priority="138" stopIfTrue="1">
      <formula>LEN(TRIM(E91))&gt;0</formula>
    </cfRule>
  </conditionalFormatting>
  <conditionalFormatting sqref="E92:AK92">
    <cfRule type="containsBlanks" dxfId="2285" priority="139" stopIfTrue="1">
      <formula>LEN(TRIM(E92))=0</formula>
    </cfRule>
    <cfRule type="notContainsBlanks" dxfId="2284" priority="140" stopIfTrue="1">
      <formula>LEN(TRIM(E92))&gt;0</formula>
    </cfRule>
  </conditionalFormatting>
  <conditionalFormatting sqref="E77:AK77">
    <cfRule type="containsBlanks" dxfId="2283" priority="141" stopIfTrue="1">
      <formula>LEN(TRIM(E77))=0</formula>
    </cfRule>
    <cfRule type="notContainsBlanks" dxfId="2282" priority="142" stopIfTrue="1">
      <formula>LEN(TRIM(E77))&gt;0</formula>
    </cfRule>
  </conditionalFormatting>
  <conditionalFormatting sqref="E78:AK78">
    <cfRule type="containsBlanks" dxfId="2281" priority="143" stopIfTrue="1">
      <formula>LEN(TRIM(E78))=0</formula>
    </cfRule>
    <cfRule type="notContainsBlanks" dxfId="2280" priority="144" stopIfTrue="1">
      <formula>LEN(TRIM(E78))&gt;0</formula>
    </cfRule>
  </conditionalFormatting>
  <conditionalFormatting sqref="E79:AK79">
    <cfRule type="containsBlanks" dxfId="2279" priority="145" stopIfTrue="1">
      <formula>LEN(TRIM(E79))=0</formula>
    </cfRule>
    <cfRule type="notContainsBlanks" dxfId="2278" priority="146" stopIfTrue="1">
      <formula>LEN(TRIM(E79))&gt;0</formula>
    </cfRule>
  </conditionalFormatting>
  <conditionalFormatting sqref="E80:AK80">
    <cfRule type="containsBlanks" dxfId="2277" priority="147" stopIfTrue="1">
      <formula>LEN(TRIM(E80))=0</formula>
    </cfRule>
    <cfRule type="notContainsBlanks" dxfId="2276" priority="148" stopIfTrue="1">
      <formula>LEN(TRIM(E80))&gt;0</formula>
    </cfRule>
  </conditionalFormatting>
  <conditionalFormatting sqref="E81:AK81">
    <cfRule type="containsBlanks" dxfId="2275" priority="149" stopIfTrue="1">
      <formula>LEN(TRIM(E81))=0</formula>
    </cfRule>
    <cfRule type="notContainsBlanks" dxfId="2274" priority="150" stopIfTrue="1">
      <formula>LEN(TRIM(E81))&gt;0</formula>
    </cfRule>
  </conditionalFormatting>
  <conditionalFormatting sqref="E82:AK82">
    <cfRule type="containsBlanks" dxfId="2273" priority="151" stopIfTrue="1">
      <formula>LEN(TRIM(E82))=0</formula>
    </cfRule>
    <cfRule type="notContainsBlanks" dxfId="2272" priority="152" stopIfTrue="1">
      <formula>LEN(TRIM(E82))&gt;0</formula>
    </cfRule>
  </conditionalFormatting>
  <conditionalFormatting sqref="E83:AK83">
    <cfRule type="containsBlanks" dxfId="2271" priority="153" stopIfTrue="1">
      <formula>LEN(TRIM(E83))=0</formula>
    </cfRule>
    <cfRule type="notContainsBlanks" dxfId="2270" priority="154" stopIfTrue="1">
      <formula>LEN(TRIM(E83))&gt;0</formula>
    </cfRule>
  </conditionalFormatting>
  <conditionalFormatting sqref="E68:AK68">
    <cfRule type="containsBlanks" dxfId="2269" priority="155" stopIfTrue="1">
      <formula>LEN(TRIM(E68))=0</formula>
    </cfRule>
    <cfRule type="notContainsBlanks" dxfId="2268" priority="156" stopIfTrue="1">
      <formula>LEN(TRIM(E68))&gt;0</formula>
    </cfRule>
  </conditionalFormatting>
  <conditionalFormatting sqref="E69:AK69">
    <cfRule type="containsBlanks" dxfId="2267" priority="157" stopIfTrue="1">
      <formula>LEN(TRIM(E69))=0</formula>
    </cfRule>
    <cfRule type="notContainsBlanks" dxfId="2266" priority="158" stopIfTrue="1">
      <formula>LEN(TRIM(E69))&gt;0</formula>
    </cfRule>
  </conditionalFormatting>
  <conditionalFormatting sqref="E70:AK70">
    <cfRule type="containsBlanks" dxfId="2265" priority="159" stopIfTrue="1">
      <formula>LEN(TRIM(E70))=0</formula>
    </cfRule>
    <cfRule type="notContainsBlanks" dxfId="2264" priority="160" stopIfTrue="1">
      <formula>LEN(TRIM(E70))&gt;0</formula>
    </cfRule>
  </conditionalFormatting>
  <conditionalFormatting sqref="E71:AK71">
    <cfRule type="containsBlanks" dxfId="2263" priority="161" stopIfTrue="1">
      <formula>LEN(TRIM(E71))=0</formula>
    </cfRule>
    <cfRule type="notContainsBlanks" dxfId="2262" priority="162" stopIfTrue="1">
      <formula>LEN(TRIM(E71))&gt;0</formula>
    </cfRule>
  </conditionalFormatting>
  <conditionalFormatting sqref="E72:AK72">
    <cfRule type="containsBlanks" dxfId="2261" priority="163" stopIfTrue="1">
      <formula>LEN(TRIM(E72))=0</formula>
    </cfRule>
    <cfRule type="notContainsBlanks" dxfId="2260" priority="164" stopIfTrue="1">
      <formula>LEN(TRIM(E72))&gt;0</formula>
    </cfRule>
  </conditionalFormatting>
  <conditionalFormatting sqref="E73:AK73">
    <cfRule type="containsBlanks" dxfId="2259" priority="165" stopIfTrue="1">
      <formula>LEN(TRIM(E73))=0</formula>
    </cfRule>
    <cfRule type="notContainsBlanks" dxfId="2258" priority="166" stopIfTrue="1">
      <formula>LEN(TRIM(E73))&gt;0</formula>
    </cfRule>
  </conditionalFormatting>
  <conditionalFormatting sqref="E74:AK74">
    <cfRule type="containsBlanks" dxfId="2257" priority="167" stopIfTrue="1">
      <formula>LEN(TRIM(E74))=0</formula>
    </cfRule>
    <cfRule type="notContainsBlanks" dxfId="2256" priority="168" stopIfTrue="1">
      <formula>LEN(TRIM(E74))&gt;0</formula>
    </cfRule>
  </conditionalFormatting>
  <conditionalFormatting sqref="E59:AK59">
    <cfRule type="containsBlanks" dxfId="2255" priority="169" stopIfTrue="1">
      <formula>LEN(TRIM(E59))=0</formula>
    </cfRule>
    <cfRule type="notContainsBlanks" dxfId="2254" priority="170" stopIfTrue="1">
      <formula>LEN(TRIM(E59))&gt;0</formula>
    </cfRule>
  </conditionalFormatting>
  <conditionalFormatting sqref="E60:AK60">
    <cfRule type="containsBlanks" dxfId="2253" priority="171" stopIfTrue="1">
      <formula>LEN(TRIM(E60))=0</formula>
    </cfRule>
    <cfRule type="notContainsBlanks" dxfId="2252" priority="172" stopIfTrue="1">
      <formula>LEN(TRIM(E60))&gt;0</formula>
    </cfRule>
  </conditionalFormatting>
  <conditionalFormatting sqref="E61:AK61">
    <cfRule type="containsBlanks" dxfId="2251" priority="173" stopIfTrue="1">
      <formula>LEN(TRIM(E61))=0</formula>
    </cfRule>
    <cfRule type="notContainsBlanks" dxfId="2250" priority="174" stopIfTrue="1">
      <formula>LEN(TRIM(E61))&gt;0</formula>
    </cfRule>
  </conditionalFormatting>
  <conditionalFormatting sqref="E62:AK62">
    <cfRule type="containsBlanks" dxfId="2249" priority="175" stopIfTrue="1">
      <formula>LEN(TRIM(E62))=0</formula>
    </cfRule>
    <cfRule type="notContainsBlanks" dxfId="2248" priority="176" stopIfTrue="1">
      <formula>LEN(TRIM(E62))&gt;0</formula>
    </cfRule>
  </conditionalFormatting>
  <conditionalFormatting sqref="E63:AK63">
    <cfRule type="containsBlanks" dxfId="2247" priority="177" stopIfTrue="1">
      <formula>LEN(TRIM(E63))=0</formula>
    </cfRule>
    <cfRule type="notContainsBlanks" dxfId="2246" priority="178" stopIfTrue="1">
      <formula>LEN(TRIM(E63))&gt;0</formula>
    </cfRule>
  </conditionalFormatting>
  <conditionalFormatting sqref="E64:AK64">
    <cfRule type="containsBlanks" dxfId="2245" priority="179" stopIfTrue="1">
      <formula>LEN(TRIM(E64))=0</formula>
    </cfRule>
    <cfRule type="notContainsBlanks" dxfId="2244" priority="180" stopIfTrue="1">
      <formula>LEN(TRIM(E64))&gt;0</formula>
    </cfRule>
  </conditionalFormatting>
  <conditionalFormatting sqref="E65:AK65">
    <cfRule type="containsBlanks" dxfId="2243" priority="181" stopIfTrue="1">
      <formula>LEN(TRIM(E65))=0</formula>
    </cfRule>
    <cfRule type="notContainsBlanks" dxfId="2242" priority="182" stopIfTrue="1">
      <formula>LEN(TRIM(E65))&gt;0</formula>
    </cfRule>
  </conditionalFormatting>
  <conditionalFormatting sqref="E50:AK50">
    <cfRule type="containsBlanks" dxfId="2241" priority="183" stopIfTrue="1">
      <formula>LEN(TRIM(E50))=0</formula>
    </cfRule>
    <cfRule type="notContainsBlanks" dxfId="2240" priority="184" stopIfTrue="1">
      <formula>LEN(TRIM(E50))&gt;0</formula>
    </cfRule>
  </conditionalFormatting>
  <conditionalFormatting sqref="E51:AK51">
    <cfRule type="containsBlanks" dxfId="2239" priority="185" stopIfTrue="1">
      <formula>LEN(TRIM(E51))=0</formula>
    </cfRule>
    <cfRule type="notContainsBlanks" dxfId="2238" priority="186" stopIfTrue="1">
      <formula>LEN(TRIM(E51))&gt;0</formula>
    </cfRule>
  </conditionalFormatting>
  <conditionalFormatting sqref="E52:AK52">
    <cfRule type="containsBlanks" dxfId="2237" priority="187" stopIfTrue="1">
      <formula>LEN(TRIM(E52))=0</formula>
    </cfRule>
    <cfRule type="notContainsBlanks" dxfId="2236" priority="188" stopIfTrue="1">
      <formula>LEN(TRIM(E52))&gt;0</formula>
    </cfRule>
  </conditionalFormatting>
  <conditionalFormatting sqref="E53:AK53">
    <cfRule type="containsBlanks" dxfId="2235" priority="189" stopIfTrue="1">
      <formula>LEN(TRIM(E53))=0</formula>
    </cfRule>
    <cfRule type="notContainsBlanks" dxfId="2234" priority="190" stopIfTrue="1">
      <formula>LEN(TRIM(E53))&gt;0</formula>
    </cfRule>
  </conditionalFormatting>
  <conditionalFormatting sqref="E54:AK54">
    <cfRule type="containsBlanks" dxfId="2233" priority="191" stopIfTrue="1">
      <formula>LEN(TRIM(E54))=0</formula>
    </cfRule>
    <cfRule type="notContainsBlanks" dxfId="2232" priority="192" stopIfTrue="1">
      <formula>LEN(TRIM(E54))&gt;0</formula>
    </cfRule>
  </conditionalFormatting>
  <conditionalFormatting sqref="E55:AK55">
    <cfRule type="containsBlanks" dxfId="2231" priority="193" stopIfTrue="1">
      <formula>LEN(TRIM(E55))=0</formula>
    </cfRule>
    <cfRule type="notContainsBlanks" dxfId="2230" priority="194" stopIfTrue="1">
      <formula>LEN(TRIM(E55))&gt;0</formula>
    </cfRule>
  </conditionalFormatting>
  <conditionalFormatting sqref="E56:AK56">
    <cfRule type="containsBlanks" dxfId="2229" priority="195" stopIfTrue="1">
      <formula>LEN(TRIM(E56))=0</formula>
    </cfRule>
    <cfRule type="notContainsBlanks" dxfId="2228" priority="196" stopIfTrue="1">
      <formula>LEN(TRIM(E56))&gt;0</formula>
    </cfRule>
  </conditionalFormatting>
  <conditionalFormatting sqref="E41:E47">
    <cfRule type="containsBlanks" dxfId="2227" priority="211" stopIfTrue="1">
      <formula>LEN(TRIM(E41))=0</formula>
    </cfRule>
    <cfRule type="expression" dxfId="2226" priority="212" stopIfTrue="1">
      <formula>SUM($E$41:$E$47)&lt;&gt;1</formula>
    </cfRule>
    <cfRule type="notContainsBlanks" dxfId="2225" priority="213" stopIfTrue="1">
      <formula>LEN(TRIM(E41))&gt;0</formula>
    </cfRule>
  </conditionalFormatting>
  <conditionalFormatting sqref="F41:F47">
    <cfRule type="containsBlanks" dxfId="2224" priority="214" stopIfTrue="1">
      <formula>LEN(TRIM(F41))=0</formula>
    </cfRule>
    <cfRule type="expression" dxfId="2223" priority="215" stopIfTrue="1">
      <formula>SUM($F$41:$F$47)&lt;&gt;1</formula>
    </cfRule>
    <cfRule type="notContainsBlanks" dxfId="2222" priority="216" stopIfTrue="1">
      <formula>LEN(TRIM(F41))&gt;0</formula>
    </cfRule>
  </conditionalFormatting>
  <conditionalFormatting sqref="G41:G47">
    <cfRule type="containsBlanks" dxfId="2221" priority="217" stopIfTrue="1">
      <formula>LEN(TRIM(G41))=0</formula>
    </cfRule>
    <cfRule type="expression" dxfId="2220" priority="218" stopIfTrue="1">
      <formula>SUM($G$41:$G$47)&lt;&gt;1</formula>
    </cfRule>
    <cfRule type="notContainsBlanks" dxfId="2219" priority="219" stopIfTrue="1">
      <formula>LEN(TRIM(G41))&gt;0</formula>
    </cfRule>
  </conditionalFormatting>
  <conditionalFormatting sqref="H41:H47">
    <cfRule type="containsBlanks" dxfId="2218" priority="220" stopIfTrue="1">
      <formula>LEN(TRIM(H41))=0</formula>
    </cfRule>
    <cfRule type="expression" dxfId="2217" priority="221" stopIfTrue="1">
      <formula>SUM($H$41:$H$47)&lt;&gt;1</formula>
    </cfRule>
    <cfRule type="notContainsBlanks" dxfId="2216" priority="222" stopIfTrue="1">
      <formula>LEN(TRIM(H41))&gt;0</formula>
    </cfRule>
  </conditionalFormatting>
  <conditionalFormatting sqref="I41:I47">
    <cfRule type="containsBlanks" dxfId="2215" priority="223" stopIfTrue="1">
      <formula>LEN(TRIM(I41))=0</formula>
    </cfRule>
    <cfRule type="expression" dxfId="2214" priority="224" stopIfTrue="1">
      <formula>SUM($I$41:$I$47)&lt;&gt;1</formula>
    </cfRule>
    <cfRule type="notContainsBlanks" dxfId="2213" priority="225" stopIfTrue="1">
      <formula>LEN(TRIM(I41))&gt;0</formula>
    </cfRule>
  </conditionalFormatting>
  <conditionalFormatting sqref="J41:J47">
    <cfRule type="containsBlanks" dxfId="2212" priority="226" stopIfTrue="1">
      <formula>LEN(TRIM(J41))=0</formula>
    </cfRule>
    <cfRule type="expression" dxfId="2211" priority="227" stopIfTrue="1">
      <formula>SUM($J$41:$J$47)&lt;&gt;1</formula>
    </cfRule>
    <cfRule type="notContainsBlanks" dxfId="2210" priority="228" stopIfTrue="1">
      <formula>LEN(TRIM(J41))&gt;0</formula>
    </cfRule>
  </conditionalFormatting>
  <conditionalFormatting sqref="K41:K47">
    <cfRule type="containsBlanks" dxfId="2209" priority="229" stopIfTrue="1">
      <formula>LEN(TRIM(K41))=0</formula>
    </cfRule>
    <cfRule type="expression" dxfId="2208" priority="230" stopIfTrue="1">
      <formula>SUM($K$41:$K$47)&lt;&gt;1</formula>
    </cfRule>
    <cfRule type="notContainsBlanks" dxfId="2207" priority="231" stopIfTrue="1">
      <formula>LEN(TRIM(K41))&gt;0</formula>
    </cfRule>
  </conditionalFormatting>
  <conditionalFormatting sqref="L41:L47">
    <cfRule type="containsBlanks" dxfId="2206" priority="232" stopIfTrue="1">
      <formula>LEN(TRIM(L41))=0</formula>
    </cfRule>
    <cfRule type="expression" dxfId="2205" priority="233" stopIfTrue="1">
      <formula>SUM($L$41:$L$47)&lt;&gt;1</formula>
    </cfRule>
    <cfRule type="notContainsBlanks" dxfId="2204" priority="234" stopIfTrue="1">
      <formula>LEN(TRIM(L41))&gt;0</formula>
    </cfRule>
  </conditionalFormatting>
  <conditionalFormatting sqref="M41:M47">
    <cfRule type="containsBlanks" dxfId="2203" priority="235" stopIfTrue="1">
      <formula>LEN(TRIM(M41))=0</formula>
    </cfRule>
    <cfRule type="expression" dxfId="2202" priority="236" stopIfTrue="1">
      <formula>SUM($M$41:$M$47)&lt;&gt;1</formula>
    </cfRule>
    <cfRule type="notContainsBlanks" dxfId="2201" priority="237" stopIfTrue="1">
      <formula>LEN(TRIM(M41))&gt;0</formula>
    </cfRule>
  </conditionalFormatting>
  <conditionalFormatting sqref="N41:N47">
    <cfRule type="containsBlanks" dxfId="2200" priority="238" stopIfTrue="1">
      <formula>LEN(TRIM(N41))=0</formula>
    </cfRule>
    <cfRule type="expression" dxfId="2199" priority="239" stopIfTrue="1">
      <formula>SUM($N$41:$N$47)&lt;&gt;1</formula>
    </cfRule>
    <cfRule type="notContainsBlanks" dxfId="2198" priority="240" stopIfTrue="1">
      <formula>LEN(TRIM(N41))&gt;0</formula>
    </cfRule>
  </conditionalFormatting>
  <conditionalFormatting sqref="O41:O47">
    <cfRule type="containsBlanks" dxfId="2197" priority="241" stopIfTrue="1">
      <formula>LEN(TRIM(O41))=0</formula>
    </cfRule>
    <cfRule type="expression" dxfId="2196" priority="242" stopIfTrue="1">
      <formula>SUM($O$41:$O$47)&lt;&gt;1</formula>
    </cfRule>
    <cfRule type="notContainsBlanks" dxfId="2195" priority="243" stopIfTrue="1">
      <formula>LEN(TRIM(O41))&gt;0</formula>
    </cfRule>
  </conditionalFormatting>
  <conditionalFormatting sqref="P41:P47">
    <cfRule type="containsBlanks" dxfId="2194" priority="244" stopIfTrue="1">
      <formula>LEN(TRIM(P41))=0</formula>
    </cfRule>
    <cfRule type="expression" dxfId="2193" priority="245" stopIfTrue="1">
      <formula>SUM($P$41:$P$47)&lt;&gt;1</formula>
    </cfRule>
    <cfRule type="notContainsBlanks" dxfId="2192" priority="246" stopIfTrue="1">
      <formula>LEN(TRIM(P41))&gt;0</formula>
    </cfRule>
  </conditionalFormatting>
  <conditionalFormatting sqref="Q41:Q47">
    <cfRule type="containsBlanks" dxfId="2191" priority="247" stopIfTrue="1">
      <formula>LEN(TRIM(Q41))=0</formula>
    </cfRule>
    <cfRule type="expression" dxfId="2190" priority="248" stopIfTrue="1">
      <formula>SUM($Q$41:$Q$47)&lt;&gt;1</formula>
    </cfRule>
    <cfRule type="notContainsBlanks" dxfId="2189" priority="249" stopIfTrue="1">
      <formula>LEN(TRIM(Q41))&gt;0</formula>
    </cfRule>
  </conditionalFormatting>
  <conditionalFormatting sqref="R41:R47">
    <cfRule type="containsBlanks" dxfId="2188" priority="250" stopIfTrue="1">
      <formula>LEN(TRIM(R41))=0</formula>
    </cfRule>
  </conditionalFormatting>
  <conditionalFormatting sqref="R41:R47">
    <cfRule type="expression" dxfId="2187" priority="251" stopIfTrue="1">
      <formula>SUM($R$41:$R$47)&lt;&gt;1</formula>
    </cfRule>
  </conditionalFormatting>
  <conditionalFormatting sqref="R41:R47">
    <cfRule type="notContainsBlanks" dxfId="2186" priority="252" stopIfTrue="1">
      <formula>LEN(TRIM(R41))&gt;0</formula>
    </cfRule>
  </conditionalFormatting>
  <conditionalFormatting sqref="S41:S47">
    <cfRule type="containsBlanks" dxfId="2185" priority="253" stopIfTrue="1">
      <formula>LEN(TRIM(S41))=0</formula>
    </cfRule>
  </conditionalFormatting>
  <conditionalFormatting sqref="S41:S47">
    <cfRule type="expression" dxfId="2184" priority="254" stopIfTrue="1">
      <formula>SUM($S$41:$S$47)&lt;&gt;1</formula>
    </cfRule>
  </conditionalFormatting>
  <conditionalFormatting sqref="S41:S47">
    <cfRule type="notContainsBlanks" dxfId="2183" priority="255" stopIfTrue="1">
      <formula>LEN(TRIM(S41))&gt;0</formula>
    </cfRule>
  </conditionalFormatting>
  <conditionalFormatting sqref="T41:T47">
    <cfRule type="containsBlanks" dxfId="2182" priority="256" stopIfTrue="1">
      <formula>LEN(TRIM(T41))=0</formula>
    </cfRule>
  </conditionalFormatting>
  <conditionalFormatting sqref="T41:T47">
    <cfRule type="expression" dxfId="2181" priority="257" stopIfTrue="1">
      <formula>SUM($T$41:$T$47)&lt;&gt;1</formula>
    </cfRule>
  </conditionalFormatting>
  <conditionalFormatting sqref="T41:T47">
    <cfRule type="notContainsBlanks" dxfId="2180" priority="258" stopIfTrue="1">
      <formula>LEN(TRIM(T41))&gt;0</formula>
    </cfRule>
  </conditionalFormatting>
  <conditionalFormatting sqref="U41:U47">
    <cfRule type="containsBlanks" dxfId="2179" priority="259" stopIfTrue="1">
      <formula>LEN(TRIM(U41))=0</formula>
    </cfRule>
  </conditionalFormatting>
  <conditionalFormatting sqref="U41:U47">
    <cfRule type="expression" dxfId="2178" priority="260" stopIfTrue="1">
      <formula>SUM($U$41:$U$47)&lt;&gt;1</formula>
    </cfRule>
  </conditionalFormatting>
  <conditionalFormatting sqref="U41:U47">
    <cfRule type="notContainsBlanks" dxfId="2177" priority="261" stopIfTrue="1">
      <formula>LEN(TRIM(U41))&gt;0</formula>
    </cfRule>
  </conditionalFormatting>
  <conditionalFormatting sqref="V41:V47">
    <cfRule type="containsBlanks" dxfId="2176" priority="262" stopIfTrue="1">
      <formula>LEN(TRIM(V41))=0</formula>
    </cfRule>
  </conditionalFormatting>
  <conditionalFormatting sqref="V41:V47">
    <cfRule type="expression" dxfId="2175" priority="263" stopIfTrue="1">
      <formula>SUM($V$41:$V$47)&lt;&gt;1</formula>
    </cfRule>
  </conditionalFormatting>
  <conditionalFormatting sqref="V41:V47">
    <cfRule type="notContainsBlanks" dxfId="2174" priority="264" stopIfTrue="1">
      <formula>LEN(TRIM(V41))&gt;0</formula>
    </cfRule>
  </conditionalFormatting>
  <conditionalFormatting sqref="W41:W47">
    <cfRule type="containsBlanks" dxfId="2173" priority="265" stopIfTrue="1">
      <formula>LEN(TRIM(W41))=0</formula>
    </cfRule>
  </conditionalFormatting>
  <conditionalFormatting sqref="W41:W47">
    <cfRule type="expression" dxfId="2172" priority="266" stopIfTrue="1">
      <formula>SUM($W$41:$W$47)&lt;&gt;1</formula>
    </cfRule>
  </conditionalFormatting>
  <conditionalFormatting sqref="W41:W47">
    <cfRule type="notContainsBlanks" dxfId="2171" priority="267" stopIfTrue="1">
      <formula>LEN(TRIM(W41))&gt;0</formula>
    </cfRule>
  </conditionalFormatting>
  <conditionalFormatting sqref="X41:X47">
    <cfRule type="containsBlanks" dxfId="2170" priority="268" stopIfTrue="1">
      <formula>LEN(TRIM(X41))=0</formula>
    </cfRule>
  </conditionalFormatting>
  <conditionalFormatting sqref="X41:X47">
    <cfRule type="expression" dxfId="2169" priority="269" stopIfTrue="1">
      <formula>SUM($X$41:$X$47)&lt;&gt;1</formula>
    </cfRule>
  </conditionalFormatting>
  <conditionalFormatting sqref="X41:X47">
    <cfRule type="notContainsBlanks" dxfId="2168" priority="270" stopIfTrue="1">
      <formula>LEN(TRIM(X41))&gt;0</formula>
    </cfRule>
  </conditionalFormatting>
  <conditionalFormatting sqref="Y41:Y47">
    <cfRule type="containsBlanks" dxfId="2167" priority="271" stopIfTrue="1">
      <formula>LEN(TRIM(Y41))=0</formula>
    </cfRule>
  </conditionalFormatting>
  <conditionalFormatting sqref="Y41:Y47">
    <cfRule type="expression" dxfId="2166" priority="272" stopIfTrue="1">
      <formula>SUM($Y$41:$Y$47)&lt;&gt;1</formula>
    </cfRule>
  </conditionalFormatting>
  <conditionalFormatting sqref="Y41:Y47">
    <cfRule type="notContainsBlanks" dxfId="2165" priority="273" stopIfTrue="1">
      <formula>LEN(TRIM(Y41))&gt;0</formula>
    </cfRule>
  </conditionalFormatting>
  <conditionalFormatting sqref="Z41:Z47">
    <cfRule type="containsBlanks" dxfId="2164" priority="274" stopIfTrue="1">
      <formula>LEN(TRIM(Z41))=0</formula>
    </cfRule>
  </conditionalFormatting>
  <conditionalFormatting sqref="Z41:Z47">
    <cfRule type="expression" dxfId="2163" priority="275" stopIfTrue="1">
      <formula>SUM($Z$41:$Z$47)&lt;&gt;1</formula>
    </cfRule>
  </conditionalFormatting>
  <conditionalFormatting sqref="Z41:Z47">
    <cfRule type="notContainsBlanks" dxfId="2162" priority="276" stopIfTrue="1">
      <formula>LEN(TRIM(Z41))&gt;0</formula>
    </cfRule>
  </conditionalFormatting>
  <conditionalFormatting sqref="AA41:AA47">
    <cfRule type="containsBlanks" dxfId="2161" priority="277" stopIfTrue="1">
      <formula>LEN(TRIM(AA41))=0</formula>
    </cfRule>
  </conditionalFormatting>
  <conditionalFormatting sqref="AA41:AA47">
    <cfRule type="expression" dxfId="2160" priority="278" stopIfTrue="1">
      <formula>SUM($AA$41:$AA$47)&lt;&gt;1</formula>
    </cfRule>
  </conditionalFormatting>
  <conditionalFormatting sqref="AA41:AA47">
    <cfRule type="notContainsBlanks" dxfId="2159" priority="279" stopIfTrue="1">
      <formula>LEN(TRIM(AA41))&gt;0</formula>
    </cfRule>
  </conditionalFormatting>
  <conditionalFormatting sqref="AB41:AB47">
    <cfRule type="containsBlanks" dxfId="2158" priority="280" stopIfTrue="1">
      <formula>LEN(TRIM(AB41))=0</formula>
    </cfRule>
  </conditionalFormatting>
  <conditionalFormatting sqref="AB41:AB47">
    <cfRule type="expression" dxfId="2157" priority="281" stopIfTrue="1">
      <formula>SUM($AB$41:$AB$47)&lt;&gt;1</formula>
    </cfRule>
  </conditionalFormatting>
  <conditionalFormatting sqref="AB41:AB47">
    <cfRule type="notContainsBlanks" dxfId="2156" priority="282" stopIfTrue="1">
      <formula>LEN(TRIM(AB41))&gt;0</formula>
    </cfRule>
  </conditionalFormatting>
  <conditionalFormatting sqref="AC41:AC47">
    <cfRule type="containsBlanks" dxfId="2155" priority="283" stopIfTrue="1">
      <formula>LEN(TRIM(AC41))=0</formula>
    </cfRule>
  </conditionalFormatting>
  <conditionalFormatting sqref="AC41:AC47">
    <cfRule type="expression" dxfId="2154" priority="284" stopIfTrue="1">
      <formula>SUM($AC$41:$AC$47)&lt;&gt;1</formula>
    </cfRule>
  </conditionalFormatting>
  <conditionalFormatting sqref="AC41:AC47">
    <cfRule type="notContainsBlanks" dxfId="2153" priority="285" stopIfTrue="1">
      <formula>LEN(TRIM(AC41))&gt;0</formula>
    </cfRule>
  </conditionalFormatting>
  <conditionalFormatting sqref="AD41:AD47">
    <cfRule type="containsBlanks" dxfId="2152" priority="286" stopIfTrue="1">
      <formula>LEN(TRIM(AD41))=0</formula>
    </cfRule>
  </conditionalFormatting>
  <conditionalFormatting sqref="AD41:AD47">
    <cfRule type="expression" dxfId="2151" priority="287" stopIfTrue="1">
      <formula>SUM($AD$41:$AD$47)&lt;&gt;1</formula>
    </cfRule>
  </conditionalFormatting>
  <conditionalFormatting sqref="AD41:AD47">
    <cfRule type="notContainsBlanks" dxfId="2150" priority="288" stopIfTrue="1">
      <formula>LEN(TRIM(AD41))&gt;0</formula>
    </cfRule>
  </conditionalFormatting>
  <conditionalFormatting sqref="AE41:AE47">
    <cfRule type="containsBlanks" dxfId="2149" priority="289" stopIfTrue="1">
      <formula>LEN(TRIM(AE41))=0</formula>
    </cfRule>
  </conditionalFormatting>
  <conditionalFormatting sqref="AE41:AE47">
    <cfRule type="expression" dxfId="2148" priority="290" stopIfTrue="1">
      <formula>SUM($AE$41:$AE$47)&lt;&gt;1</formula>
    </cfRule>
  </conditionalFormatting>
  <conditionalFormatting sqref="AE41:AE47">
    <cfRule type="notContainsBlanks" dxfId="2147" priority="291" stopIfTrue="1">
      <formula>LEN(TRIM(AE41))&gt;0</formula>
    </cfRule>
  </conditionalFormatting>
  <conditionalFormatting sqref="AF41:AF47">
    <cfRule type="containsBlanks" dxfId="2146" priority="292" stopIfTrue="1">
      <formula>LEN(TRIM(AF41))=0</formula>
    </cfRule>
  </conditionalFormatting>
  <conditionalFormatting sqref="AF41:AF47">
    <cfRule type="expression" dxfId="2145" priority="293" stopIfTrue="1">
      <formula>SUM($AF$41:$AF$47)&lt;&gt;1</formula>
    </cfRule>
  </conditionalFormatting>
  <conditionalFormatting sqref="AF41:AF47">
    <cfRule type="notContainsBlanks" dxfId="2144" priority="294" stopIfTrue="1">
      <formula>LEN(TRIM(AF41))&gt;0</formula>
    </cfRule>
  </conditionalFormatting>
  <conditionalFormatting sqref="AG41:AG47">
    <cfRule type="containsBlanks" dxfId="2143" priority="295" stopIfTrue="1">
      <formula>LEN(TRIM(AG41))=0</formula>
    </cfRule>
  </conditionalFormatting>
  <conditionalFormatting sqref="AG41:AG47">
    <cfRule type="expression" dxfId="2142" priority="296" stopIfTrue="1">
      <formula>SUM($AG$41:$AG$47)&lt;&gt;1</formula>
    </cfRule>
  </conditionalFormatting>
  <conditionalFormatting sqref="AG41:AG47">
    <cfRule type="notContainsBlanks" dxfId="2141" priority="297" stopIfTrue="1">
      <formula>LEN(TRIM(AG41))&gt;0</formula>
    </cfRule>
  </conditionalFormatting>
  <conditionalFormatting sqref="AH41:AH47">
    <cfRule type="containsBlanks" dxfId="2140" priority="298" stopIfTrue="1">
      <formula>LEN(TRIM(AH41))=0</formula>
    </cfRule>
  </conditionalFormatting>
  <conditionalFormatting sqref="AH41:AH47">
    <cfRule type="expression" dxfId="2139" priority="299" stopIfTrue="1">
      <formula>SUM($AH$41:$AH$47)&lt;&gt;1</formula>
    </cfRule>
  </conditionalFormatting>
  <conditionalFormatting sqref="AH41:AH47">
    <cfRule type="notContainsBlanks" dxfId="2138" priority="300" stopIfTrue="1">
      <formula>LEN(TRIM(AH41))&gt;0</formula>
    </cfRule>
  </conditionalFormatting>
  <conditionalFormatting sqref="AI41:AI47">
    <cfRule type="containsBlanks" dxfId="2137" priority="301" stopIfTrue="1">
      <formula>LEN(TRIM(AI41))=0</formula>
    </cfRule>
  </conditionalFormatting>
  <conditionalFormatting sqref="AI41:AI47">
    <cfRule type="expression" dxfId="2136" priority="302" stopIfTrue="1">
      <formula>SUM($AI$41:$AI$47)&lt;&gt;1</formula>
    </cfRule>
  </conditionalFormatting>
  <conditionalFormatting sqref="AI41:AI47">
    <cfRule type="notContainsBlanks" dxfId="2135" priority="303" stopIfTrue="1">
      <formula>LEN(TRIM(AI41))&gt;0</formula>
    </cfRule>
  </conditionalFormatting>
  <conditionalFormatting sqref="AJ41:AJ47">
    <cfRule type="containsBlanks" dxfId="2134" priority="304" stopIfTrue="1">
      <formula>LEN(TRIM(AJ41))=0</formula>
    </cfRule>
  </conditionalFormatting>
  <conditionalFormatting sqref="AJ41:AJ47">
    <cfRule type="expression" dxfId="2133" priority="305" stopIfTrue="1">
      <formula>SUM($AJ$41:$AJ$47)&lt;&gt;1</formula>
    </cfRule>
  </conditionalFormatting>
  <conditionalFormatting sqref="AJ41:AJ47">
    <cfRule type="notContainsBlanks" dxfId="2132" priority="306" stopIfTrue="1">
      <formula>LEN(TRIM(AJ41))&gt;0</formula>
    </cfRule>
  </conditionalFormatting>
  <conditionalFormatting sqref="AK41:AK47">
    <cfRule type="containsBlanks" dxfId="2131" priority="307" stopIfTrue="1">
      <formula>LEN(TRIM(AK41))=0</formula>
    </cfRule>
  </conditionalFormatting>
  <conditionalFormatting sqref="AK41:AK47">
    <cfRule type="expression" dxfId="2130" priority="308" stopIfTrue="1">
      <formula>SUM($AK$41:$AK$47)&lt;&gt;1</formula>
    </cfRule>
  </conditionalFormatting>
  <conditionalFormatting sqref="AK41:AK47">
    <cfRule type="notContainsBlanks" dxfId="2129" priority="309" stopIfTrue="1">
      <formula>LEN(TRIM(AK41))&gt;0</formula>
    </cfRule>
  </conditionalFormatting>
  <conditionalFormatting sqref="E32:E38">
    <cfRule type="containsBlanks" dxfId="2128" priority="324" stopIfTrue="1">
      <formula>LEN(TRIM(E32))=0</formula>
    </cfRule>
    <cfRule type="expression" dxfId="2127" priority="325" stopIfTrue="1">
      <formula>SUM($E$32:$E$38)&lt;&gt;1</formula>
    </cfRule>
    <cfRule type="notContainsBlanks" dxfId="2126" priority="326" stopIfTrue="1">
      <formula>LEN(TRIM(E32))&gt;0</formula>
    </cfRule>
  </conditionalFormatting>
  <conditionalFormatting sqref="F32:F38">
    <cfRule type="containsBlanks" dxfId="2125" priority="327" stopIfTrue="1">
      <formula>LEN(TRIM(F32))=0</formula>
    </cfRule>
    <cfRule type="expression" dxfId="2124" priority="328" stopIfTrue="1">
      <formula>SUM($F$32:$F$38)&lt;&gt;1</formula>
    </cfRule>
    <cfRule type="notContainsBlanks" dxfId="2123" priority="329" stopIfTrue="1">
      <formula>LEN(TRIM(F32))&gt;0</formula>
    </cfRule>
  </conditionalFormatting>
  <conditionalFormatting sqref="G32:G38">
    <cfRule type="containsBlanks" dxfId="2122" priority="330" stopIfTrue="1">
      <formula>LEN(TRIM(G32))=0</formula>
    </cfRule>
    <cfRule type="expression" dxfId="2121" priority="331" stopIfTrue="1">
      <formula>SUM($G$32:$G$38)&lt;&gt;1</formula>
    </cfRule>
    <cfRule type="notContainsBlanks" dxfId="2120" priority="332" stopIfTrue="1">
      <formula>LEN(TRIM(G32))&gt;0</formula>
    </cfRule>
  </conditionalFormatting>
  <conditionalFormatting sqref="H32:H38">
    <cfRule type="containsBlanks" dxfId="2119" priority="333" stopIfTrue="1">
      <formula>LEN(TRIM(H32))=0</formula>
    </cfRule>
    <cfRule type="expression" dxfId="2118" priority="334" stopIfTrue="1">
      <formula>SUM($H$32:$H$38)&lt;&gt;1</formula>
    </cfRule>
    <cfRule type="notContainsBlanks" dxfId="2117" priority="335" stopIfTrue="1">
      <formula>LEN(TRIM(H32))&gt;0</formula>
    </cfRule>
  </conditionalFormatting>
  <conditionalFormatting sqref="I32:I38">
    <cfRule type="containsBlanks" dxfId="2116" priority="336" stopIfTrue="1">
      <formula>LEN(TRIM(I32))=0</formula>
    </cfRule>
    <cfRule type="expression" dxfId="2115" priority="337" stopIfTrue="1">
      <formula>SUM($I$32:$I$38)&lt;&gt;1</formula>
    </cfRule>
    <cfRule type="notContainsBlanks" dxfId="2114" priority="338" stopIfTrue="1">
      <formula>LEN(TRIM(I32))&gt;0</formula>
    </cfRule>
  </conditionalFormatting>
  <conditionalFormatting sqref="J32:J38">
    <cfRule type="containsBlanks" dxfId="2113" priority="339" stopIfTrue="1">
      <formula>LEN(TRIM(J32))=0</formula>
    </cfRule>
    <cfRule type="expression" dxfId="2112" priority="340" stopIfTrue="1">
      <formula>SUM($J$32:$J$38)&lt;&gt;1</formula>
    </cfRule>
    <cfRule type="notContainsBlanks" dxfId="2111" priority="341" stopIfTrue="1">
      <formula>LEN(TRIM(J32))&gt;0</formula>
    </cfRule>
  </conditionalFormatting>
  <conditionalFormatting sqref="K32:K38">
    <cfRule type="containsBlanks" dxfId="2110" priority="342" stopIfTrue="1">
      <formula>LEN(TRIM(K32))=0</formula>
    </cfRule>
  </conditionalFormatting>
  <conditionalFormatting sqref="K32:K38">
    <cfRule type="expression" dxfId="2109" priority="343" stopIfTrue="1">
      <formula>SUM($K$32:$K$38)&lt;&gt;1</formula>
    </cfRule>
  </conditionalFormatting>
  <conditionalFormatting sqref="K32:K38">
    <cfRule type="notContainsBlanks" dxfId="2108" priority="344" stopIfTrue="1">
      <formula>LEN(TRIM(K32))&gt;0</formula>
    </cfRule>
  </conditionalFormatting>
  <conditionalFormatting sqref="L32:L38">
    <cfRule type="containsBlanks" dxfId="2107" priority="345" stopIfTrue="1">
      <formula>LEN(TRIM(L32))=0</formula>
    </cfRule>
  </conditionalFormatting>
  <conditionalFormatting sqref="L32:L38">
    <cfRule type="expression" dxfId="2106" priority="346" stopIfTrue="1">
      <formula>SUM($L$32:$L$38)&lt;&gt;1</formula>
    </cfRule>
  </conditionalFormatting>
  <conditionalFormatting sqref="L32:L38">
    <cfRule type="notContainsBlanks" dxfId="2105" priority="347" stopIfTrue="1">
      <formula>LEN(TRIM(L32))&gt;0</formula>
    </cfRule>
  </conditionalFormatting>
  <conditionalFormatting sqref="M32:M38">
    <cfRule type="containsBlanks" dxfId="2104" priority="348" stopIfTrue="1">
      <formula>LEN(TRIM(M32))=0</formula>
    </cfRule>
  </conditionalFormatting>
  <conditionalFormatting sqref="M32:M38">
    <cfRule type="expression" dxfId="2103" priority="349" stopIfTrue="1">
      <formula>SUM($M$32:$M$38)&lt;&gt;1</formula>
    </cfRule>
  </conditionalFormatting>
  <conditionalFormatting sqref="M32:M38">
    <cfRule type="notContainsBlanks" dxfId="2102" priority="350" stopIfTrue="1">
      <formula>LEN(TRIM(M32))&gt;0</formula>
    </cfRule>
  </conditionalFormatting>
  <conditionalFormatting sqref="N32:N38">
    <cfRule type="containsBlanks" dxfId="2101" priority="351" stopIfTrue="1">
      <formula>LEN(TRIM(N32))=0</formula>
    </cfRule>
  </conditionalFormatting>
  <conditionalFormatting sqref="N32:N38">
    <cfRule type="expression" dxfId="2100" priority="352" stopIfTrue="1">
      <formula>SUM($N$32:$N$38)&lt;&gt;1</formula>
    </cfRule>
  </conditionalFormatting>
  <conditionalFormatting sqref="N32:N38">
    <cfRule type="notContainsBlanks" dxfId="2099" priority="353" stopIfTrue="1">
      <formula>LEN(TRIM(N32))&gt;0</formula>
    </cfRule>
  </conditionalFormatting>
  <conditionalFormatting sqref="O32:O38">
    <cfRule type="containsBlanks" dxfId="2098" priority="354" stopIfTrue="1">
      <formula>LEN(TRIM(O32))=0</formula>
    </cfRule>
  </conditionalFormatting>
  <conditionalFormatting sqref="O32:O38">
    <cfRule type="expression" dxfId="2097" priority="355" stopIfTrue="1">
      <formula>SUM($O$32:$O$38)&lt;&gt;1</formula>
    </cfRule>
  </conditionalFormatting>
  <conditionalFormatting sqref="O32:O38">
    <cfRule type="notContainsBlanks" dxfId="2096" priority="356" stopIfTrue="1">
      <formula>LEN(TRIM(O32))&gt;0</formula>
    </cfRule>
  </conditionalFormatting>
  <conditionalFormatting sqref="P32:P38">
    <cfRule type="containsBlanks" dxfId="2095" priority="357" stopIfTrue="1">
      <formula>LEN(TRIM(P32))=0</formula>
    </cfRule>
  </conditionalFormatting>
  <conditionalFormatting sqref="P32:P38">
    <cfRule type="expression" dxfId="2094" priority="358" stopIfTrue="1">
      <formula>SUM($P$32:$P$38)&lt;&gt;1</formula>
    </cfRule>
  </conditionalFormatting>
  <conditionalFormatting sqref="P32:P38">
    <cfRule type="notContainsBlanks" dxfId="2093" priority="359" stopIfTrue="1">
      <formula>LEN(TRIM(P32))&gt;0</formula>
    </cfRule>
  </conditionalFormatting>
  <conditionalFormatting sqref="Q32:Q38">
    <cfRule type="containsBlanks" dxfId="2092" priority="360" stopIfTrue="1">
      <formula>LEN(TRIM(Q32))=0</formula>
    </cfRule>
  </conditionalFormatting>
  <conditionalFormatting sqref="Q32:Q38">
    <cfRule type="expression" dxfId="2091" priority="361" stopIfTrue="1">
      <formula>SUM($Q$32:$Q$38)&lt;&gt;1</formula>
    </cfRule>
  </conditionalFormatting>
  <conditionalFormatting sqref="Q32:Q38">
    <cfRule type="notContainsBlanks" dxfId="2090" priority="362" stopIfTrue="1">
      <formula>LEN(TRIM(Q32))&gt;0</formula>
    </cfRule>
  </conditionalFormatting>
  <conditionalFormatting sqref="R32:R38">
    <cfRule type="containsBlanks" dxfId="2089" priority="363" stopIfTrue="1">
      <formula>LEN(TRIM(R32))=0</formula>
    </cfRule>
  </conditionalFormatting>
  <conditionalFormatting sqref="R32:R38">
    <cfRule type="expression" dxfId="2088" priority="364" stopIfTrue="1">
      <formula>SUM($R$32:$R$38)&lt;&gt;1</formula>
    </cfRule>
  </conditionalFormatting>
  <conditionalFormatting sqref="R32:R38">
    <cfRule type="notContainsBlanks" dxfId="2087" priority="365" stopIfTrue="1">
      <formula>LEN(TRIM(R32))&gt;0</formula>
    </cfRule>
  </conditionalFormatting>
  <conditionalFormatting sqref="S32:S38">
    <cfRule type="containsBlanks" dxfId="2086" priority="366" stopIfTrue="1">
      <formula>LEN(TRIM(S32))=0</formula>
    </cfRule>
  </conditionalFormatting>
  <conditionalFormatting sqref="S32:S38">
    <cfRule type="expression" dxfId="2085" priority="367" stopIfTrue="1">
      <formula>SUM($S$32:$S$38)&lt;&gt;1</formula>
    </cfRule>
  </conditionalFormatting>
  <conditionalFormatting sqref="S32:S38">
    <cfRule type="notContainsBlanks" dxfId="2084" priority="368" stopIfTrue="1">
      <formula>LEN(TRIM(S32))&gt;0</formula>
    </cfRule>
  </conditionalFormatting>
  <conditionalFormatting sqref="T32:T38">
    <cfRule type="containsBlanks" dxfId="2083" priority="369" stopIfTrue="1">
      <formula>LEN(TRIM(T32))=0</formula>
    </cfRule>
  </conditionalFormatting>
  <conditionalFormatting sqref="T32:T38">
    <cfRule type="expression" dxfId="2082" priority="370" stopIfTrue="1">
      <formula>SUM($T$32:$T$38)&lt;&gt;1</formula>
    </cfRule>
  </conditionalFormatting>
  <conditionalFormatting sqref="T32:T38">
    <cfRule type="notContainsBlanks" dxfId="2081" priority="371" stopIfTrue="1">
      <formula>LEN(TRIM(T32))&gt;0</formula>
    </cfRule>
  </conditionalFormatting>
  <conditionalFormatting sqref="U32:U38">
    <cfRule type="containsBlanks" dxfId="2080" priority="372" stopIfTrue="1">
      <formula>LEN(TRIM(U32))=0</formula>
    </cfRule>
  </conditionalFormatting>
  <conditionalFormatting sqref="U32:U38">
    <cfRule type="expression" dxfId="2079" priority="373" stopIfTrue="1">
      <formula>SUM($U$32:$U$38)&lt;&gt;1</formula>
    </cfRule>
  </conditionalFormatting>
  <conditionalFormatting sqref="U32:U38">
    <cfRule type="notContainsBlanks" dxfId="2078" priority="374" stopIfTrue="1">
      <formula>LEN(TRIM(U32))&gt;0</formula>
    </cfRule>
  </conditionalFormatting>
  <conditionalFormatting sqref="V32:V38">
    <cfRule type="containsBlanks" dxfId="2077" priority="375" stopIfTrue="1">
      <formula>LEN(TRIM(V32))=0</formula>
    </cfRule>
  </conditionalFormatting>
  <conditionalFormatting sqref="V32:V38">
    <cfRule type="expression" dxfId="2076" priority="376" stopIfTrue="1">
      <formula>SUM($V$32:$V$38)&lt;&gt;1</formula>
    </cfRule>
  </conditionalFormatting>
  <conditionalFormatting sqref="V32:V38">
    <cfRule type="notContainsBlanks" dxfId="2075" priority="377" stopIfTrue="1">
      <formula>LEN(TRIM(V32))&gt;0</formula>
    </cfRule>
  </conditionalFormatting>
  <conditionalFormatting sqref="W32:W38">
    <cfRule type="containsBlanks" dxfId="2074" priority="378" stopIfTrue="1">
      <formula>LEN(TRIM(W32))=0</formula>
    </cfRule>
  </conditionalFormatting>
  <conditionalFormatting sqref="W32:W38">
    <cfRule type="expression" dxfId="2073" priority="379" stopIfTrue="1">
      <formula>SUM($W$32:$W$38)&lt;&gt;1</formula>
    </cfRule>
  </conditionalFormatting>
  <conditionalFormatting sqref="W32:W38">
    <cfRule type="notContainsBlanks" dxfId="2072" priority="380" stopIfTrue="1">
      <formula>LEN(TRIM(W32))&gt;0</formula>
    </cfRule>
  </conditionalFormatting>
  <conditionalFormatting sqref="X32:X38">
    <cfRule type="containsBlanks" dxfId="2071" priority="381" stopIfTrue="1">
      <formula>LEN(TRIM(X32))=0</formula>
    </cfRule>
  </conditionalFormatting>
  <conditionalFormatting sqref="X32:X38">
    <cfRule type="expression" dxfId="2070" priority="382" stopIfTrue="1">
      <formula>SUM($X$32:$X$38)&lt;&gt;1</formula>
    </cfRule>
  </conditionalFormatting>
  <conditionalFormatting sqref="X32:X38">
    <cfRule type="notContainsBlanks" dxfId="2069" priority="383" stopIfTrue="1">
      <formula>LEN(TRIM(X32))&gt;0</formula>
    </cfRule>
  </conditionalFormatting>
  <conditionalFormatting sqref="Y32:Y38">
    <cfRule type="containsBlanks" dxfId="2068" priority="384" stopIfTrue="1">
      <formula>LEN(TRIM(Y32))=0</formula>
    </cfRule>
  </conditionalFormatting>
  <conditionalFormatting sqref="Y32:Y38">
    <cfRule type="expression" dxfId="2067" priority="385" stopIfTrue="1">
      <formula>SUM($Y$32:$Y$38)&lt;&gt;1</formula>
    </cfRule>
  </conditionalFormatting>
  <conditionalFormatting sqref="Y32:Y38">
    <cfRule type="notContainsBlanks" dxfId="2066" priority="386" stopIfTrue="1">
      <formula>LEN(TRIM(Y32))&gt;0</formula>
    </cfRule>
  </conditionalFormatting>
  <conditionalFormatting sqref="Z32:Z38">
    <cfRule type="containsBlanks" dxfId="2065" priority="387" stopIfTrue="1">
      <formula>LEN(TRIM(Z32))=0</formula>
    </cfRule>
  </conditionalFormatting>
  <conditionalFormatting sqref="Z32:Z38">
    <cfRule type="expression" dxfId="2064" priority="388" stopIfTrue="1">
      <formula>SUM($Z$32:$Z$38)&lt;&gt;1</formula>
    </cfRule>
  </conditionalFormatting>
  <conditionalFormatting sqref="Z32:Z38">
    <cfRule type="notContainsBlanks" dxfId="2063" priority="389" stopIfTrue="1">
      <formula>LEN(TRIM(Z32))&gt;0</formula>
    </cfRule>
  </conditionalFormatting>
  <conditionalFormatting sqref="AA32:AA38">
    <cfRule type="containsBlanks" dxfId="2062" priority="390" stopIfTrue="1">
      <formula>LEN(TRIM(AA32))=0</formula>
    </cfRule>
  </conditionalFormatting>
  <conditionalFormatting sqref="AA32:AA38">
    <cfRule type="expression" dxfId="2061" priority="391" stopIfTrue="1">
      <formula>SUM($AA$32:$AA$38)&lt;&gt;1</formula>
    </cfRule>
  </conditionalFormatting>
  <conditionalFormatting sqref="AA32:AA38">
    <cfRule type="notContainsBlanks" dxfId="2060" priority="392" stopIfTrue="1">
      <formula>LEN(TRIM(AA32))&gt;0</formula>
    </cfRule>
  </conditionalFormatting>
  <conditionalFormatting sqref="AB32:AB38">
    <cfRule type="containsBlanks" dxfId="2059" priority="393" stopIfTrue="1">
      <formula>LEN(TRIM(AB32))=0</formula>
    </cfRule>
  </conditionalFormatting>
  <conditionalFormatting sqref="AB32:AB38">
    <cfRule type="expression" dxfId="2058" priority="394" stopIfTrue="1">
      <formula>SUM($AB$32:$AB$38)&lt;&gt;1</formula>
    </cfRule>
  </conditionalFormatting>
  <conditionalFormatting sqref="AB32:AB38">
    <cfRule type="notContainsBlanks" dxfId="2057" priority="395" stopIfTrue="1">
      <formula>LEN(TRIM(AB32))&gt;0</formula>
    </cfRule>
  </conditionalFormatting>
  <conditionalFormatting sqref="AC32:AC38">
    <cfRule type="containsBlanks" dxfId="2056" priority="396" stopIfTrue="1">
      <formula>LEN(TRIM(AC32))=0</formula>
    </cfRule>
  </conditionalFormatting>
  <conditionalFormatting sqref="AC32:AC38">
    <cfRule type="expression" dxfId="2055" priority="397" stopIfTrue="1">
      <formula>SUM($AC$32:$AC$38)&lt;&gt;1</formula>
    </cfRule>
  </conditionalFormatting>
  <conditionalFormatting sqref="AC32:AC38">
    <cfRule type="notContainsBlanks" dxfId="2054" priority="398" stopIfTrue="1">
      <formula>LEN(TRIM(AC32))&gt;0</formula>
    </cfRule>
  </conditionalFormatting>
  <conditionalFormatting sqref="AD32:AD38">
    <cfRule type="containsBlanks" dxfId="2053" priority="399" stopIfTrue="1">
      <formula>LEN(TRIM(AD32))=0</formula>
    </cfRule>
  </conditionalFormatting>
  <conditionalFormatting sqref="AD32:AD38">
    <cfRule type="expression" dxfId="2052" priority="400" stopIfTrue="1">
      <formula>SUM($AD$32:$AD$38)&lt;&gt;1</formula>
    </cfRule>
  </conditionalFormatting>
  <conditionalFormatting sqref="AD32:AD38">
    <cfRule type="notContainsBlanks" dxfId="2051" priority="401" stopIfTrue="1">
      <formula>LEN(TRIM(AD32))&gt;0</formula>
    </cfRule>
  </conditionalFormatting>
  <conditionalFormatting sqref="AE32:AE38">
    <cfRule type="containsBlanks" dxfId="2050" priority="402" stopIfTrue="1">
      <formula>LEN(TRIM(AE32))=0</formula>
    </cfRule>
  </conditionalFormatting>
  <conditionalFormatting sqref="AE32:AE38">
    <cfRule type="expression" dxfId="2049" priority="403" stopIfTrue="1">
      <formula>SUM($AE$32:$AE$38)&lt;&gt;1</formula>
    </cfRule>
  </conditionalFormatting>
  <conditionalFormatting sqref="AE32:AE38">
    <cfRule type="notContainsBlanks" dxfId="2048" priority="404" stopIfTrue="1">
      <formula>LEN(TRIM(AE32))&gt;0</formula>
    </cfRule>
  </conditionalFormatting>
  <conditionalFormatting sqref="AF32:AF38">
    <cfRule type="containsBlanks" dxfId="2047" priority="405" stopIfTrue="1">
      <formula>LEN(TRIM(AF32))=0</formula>
    </cfRule>
  </conditionalFormatting>
  <conditionalFormatting sqref="AF32:AF38">
    <cfRule type="expression" dxfId="2046" priority="406" stopIfTrue="1">
      <formula>SUM($AF$32:$AF$38)&lt;&gt;1</formula>
    </cfRule>
  </conditionalFormatting>
  <conditionalFormatting sqref="AF32:AF38">
    <cfRule type="notContainsBlanks" dxfId="2045" priority="407" stopIfTrue="1">
      <formula>LEN(TRIM(AF32))&gt;0</formula>
    </cfRule>
  </conditionalFormatting>
  <conditionalFormatting sqref="AG32:AG38">
    <cfRule type="containsBlanks" dxfId="2044" priority="408" stopIfTrue="1">
      <formula>LEN(TRIM(AG32))=0</formula>
    </cfRule>
  </conditionalFormatting>
  <conditionalFormatting sqref="AG32:AG38">
    <cfRule type="expression" dxfId="2043" priority="409" stopIfTrue="1">
      <formula>SUM($AG$32:$AG$38)&lt;&gt;1</formula>
    </cfRule>
  </conditionalFormatting>
  <conditionalFormatting sqref="AG32:AG38">
    <cfRule type="notContainsBlanks" dxfId="2042" priority="410" stopIfTrue="1">
      <formula>LEN(TRIM(AG32))&gt;0</formula>
    </cfRule>
  </conditionalFormatting>
  <conditionalFormatting sqref="AH32:AH38">
    <cfRule type="containsBlanks" dxfId="2041" priority="411" stopIfTrue="1">
      <formula>LEN(TRIM(AH32))=0</formula>
    </cfRule>
  </conditionalFormatting>
  <conditionalFormatting sqref="AH32:AH38">
    <cfRule type="expression" dxfId="2040" priority="412" stopIfTrue="1">
      <formula>SUM($AH$32:$AH$38)&lt;&gt;1</formula>
    </cfRule>
  </conditionalFormatting>
  <conditionalFormatting sqref="AH32:AH38">
    <cfRule type="notContainsBlanks" dxfId="2039" priority="413" stopIfTrue="1">
      <formula>LEN(TRIM(AH32))&gt;0</formula>
    </cfRule>
  </conditionalFormatting>
  <conditionalFormatting sqref="AI32:AI38">
    <cfRule type="containsBlanks" dxfId="2038" priority="414" stopIfTrue="1">
      <formula>LEN(TRIM(AI32))=0</formula>
    </cfRule>
  </conditionalFormatting>
  <conditionalFormatting sqref="AI32:AI38">
    <cfRule type="expression" dxfId="2037" priority="415" stopIfTrue="1">
      <formula>SUM($AI$32:$AI$38)&lt;&gt;1</formula>
    </cfRule>
  </conditionalFormatting>
  <conditionalFormatting sqref="AI32:AI38">
    <cfRule type="notContainsBlanks" dxfId="2036" priority="416" stopIfTrue="1">
      <formula>LEN(TRIM(AI32))&gt;0</formula>
    </cfRule>
  </conditionalFormatting>
  <conditionalFormatting sqref="AJ32:AJ38">
    <cfRule type="containsBlanks" dxfId="2035" priority="417" stopIfTrue="1">
      <formula>LEN(TRIM(AJ32))=0</formula>
    </cfRule>
  </conditionalFormatting>
  <conditionalFormatting sqref="AJ32:AJ38">
    <cfRule type="expression" dxfId="2034" priority="418" stopIfTrue="1">
      <formula>SUM($AJ$32:$AJ$38)&lt;&gt;1</formula>
    </cfRule>
  </conditionalFormatting>
  <conditionalFormatting sqref="AJ32:AJ38">
    <cfRule type="notContainsBlanks" dxfId="2033" priority="419" stopIfTrue="1">
      <formula>LEN(TRIM(AJ32))&gt;0</formula>
    </cfRule>
  </conditionalFormatting>
  <conditionalFormatting sqref="AK32:AK38">
    <cfRule type="containsBlanks" dxfId="2032" priority="420" stopIfTrue="1">
      <formula>LEN(TRIM(AK32))=0</formula>
    </cfRule>
  </conditionalFormatting>
  <conditionalFormatting sqref="AK32:AK38">
    <cfRule type="expression" dxfId="2031" priority="421" stopIfTrue="1">
      <formula>SUM($AK$32:$AK$38)&lt;&gt;1</formula>
    </cfRule>
  </conditionalFormatting>
  <conditionalFormatting sqref="AK32:AK38">
    <cfRule type="notContainsBlanks" dxfId="2030" priority="422" stopIfTrue="1">
      <formula>LEN(TRIM(AK32))&gt;0</formula>
    </cfRule>
  </conditionalFormatting>
  <conditionalFormatting sqref="E21:AK21">
    <cfRule type="containsBlanks" dxfId="2029" priority="423" stopIfTrue="1">
      <formula>LEN(TRIM(E21))=0</formula>
    </cfRule>
  </conditionalFormatting>
  <conditionalFormatting sqref="E21:AK21">
    <cfRule type="notContainsBlanks" dxfId="2028" priority="424" stopIfTrue="1">
      <formula>LEN(TRIM(E21))&gt;0</formula>
    </cfRule>
  </conditionalFormatting>
  <conditionalFormatting sqref="E22:AK22">
    <cfRule type="containsBlanks" dxfId="2027" priority="425" stopIfTrue="1">
      <formula>LEN(TRIM(E22))=0</formula>
    </cfRule>
  </conditionalFormatting>
  <conditionalFormatting sqref="E22:AK22">
    <cfRule type="notContainsBlanks" dxfId="2026" priority="426" stopIfTrue="1">
      <formula>LEN(TRIM(E22))&gt;0</formula>
    </cfRule>
  </conditionalFormatting>
  <conditionalFormatting sqref="E24:AK24">
    <cfRule type="containsBlanks" dxfId="2025" priority="427" stopIfTrue="1">
      <formula>LEN(TRIM(E24))=0</formula>
    </cfRule>
  </conditionalFormatting>
  <conditionalFormatting sqref="E24:AK24">
    <cfRule type="notContainsBlanks" dxfId="2024" priority="428" stopIfTrue="1">
      <formula>LEN(TRIM(E24))&gt;0</formula>
    </cfRule>
  </conditionalFormatting>
  <conditionalFormatting sqref="E26:AK26">
    <cfRule type="containsBlanks" dxfId="2023" priority="429" stopIfTrue="1">
      <formula>LEN(TRIM(E26))=0</formula>
    </cfRule>
  </conditionalFormatting>
  <conditionalFormatting sqref="E26:AK26">
    <cfRule type="notContainsBlanks" dxfId="2022" priority="430" stopIfTrue="1">
      <formula>LEN(TRIM(E26))&gt;0</formula>
    </cfRule>
  </conditionalFormatting>
  <conditionalFormatting sqref="E27:AK27">
    <cfRule type="containsBlanks" dxfId="2021" priority="431" stopIfTrue="1">
      <formula>LEN(TRIM(E27))=0</formula>
    </cfRule>
  </conditionalFormatting>
  <conditionalFormatting sqref="E27:AK27">
    <cfRule type="notContainsBlanks" dxfId="2020" priority="432" stopIfTrue="1">
      <formula>LEN(TRIM(E27))&gt;0</formula>
    </cfRule>
  </conditionalFormatting>
  <conditionalFormatting sqref="E29:AK29">
    <cfRule type="containsBlanks" dxfId="2019" priority="433" stopIfTrue="1">
      <formula>LEN(TRIM(E29))=0</formula>
    </cfRule>
  </conditionalFormatting>
  <conditionalFormatting sqref="E29:AK29">
    <cfRule type="notContainsBlanks" dxfId="2018" priority="434" stopIfTrue="1">
      <formula>LEN(TRIM(E29))&gt;0</formula>
    </cfRule>
  </conditionalFormatting>
  <conditionalFormatting sqref="E13:AK13">
    <cfRule type="containsBlanks" dxfId="2017" priority="435" stopIfTrue="1">
      <formula>LEN(TRIM(E13))=0</formula>
    </cfRule>
  </conditionalFormatting>
  <conditionalFormatting sqref="E13:AK13">
    <cfRule type="notContainsBlanks" dxfId="2016" priority="436" stopIfTrue="1">
      <formula>LEN(TRIM(E13))&gt;0</formula>
    </cfRule>
  </conditionalFormatting>
  <conditionalFormatting sqref="E14:AK14">
    <cfRule type="containsBlanks" dxfId="2015" priority="437" stopIfTrue="1">
      <formula>LEN(TRIM(E14))=0</formula>
    </cfRule>
  </conditionalFormatting>
  <conditionalFormatting sqref="E14:AK14">
    <cfRule type="notContainsBlanks" dxfId="2014" priority="438" stopIfTrue="1">
      <formula>LEN(TRIM(E14))&gt;0</formula>
    </cfRule>
  </conditionalFormatting>
  <conditionalFormatting sqref="E15:AK15">
    <cfRule type="containsBlanks" dxfId="2013" priority="439" stopIfTrue="1">
      <formula>LEN(TRIM(E15))=0</formula>
    </cfRule>
  </conditionalFormatting>
  <conditionalFormatting sqref="E15:AK15">
    <cfRule type="notContainsBlanks" dxfId="2012" priority="440" stopIfTrue="1">
      <formula>LEN(TRIM(E15))&gt;0</formula>
    </cfRule>
  </conditionalFormatting>
  <conditionalFormatting sqref="E17:AK17">
    <cfRule type="containsBlanks" dxfId="2011" priority="441" stopIfTrue="1">
      <formula>LEN(TRIM(E17))=0</formula>
    </cfRule>
  </conditionalFormatting>
  <conditionalFormatting sqref="E17:AK17">
    <cfRule type="notContainsBlanks" dxfId="2010" priority="442" stopIfTrue="1">
      <formula>LEN(TRIM(E17))&gt;0</formula>
    </cfRule>
  </conditionalFormatting>
  <conditionalFormatting sqref="E5:AK5">
    <cfRule type="containsBlanks" dxfId="2009" priority="443" stopIfTrue="1">
      <formula>LEN(TRIM(E5))=0</formula>
    </cfRule>
  </conditionalFormatting>
  <conditionalFormatting sqref="E5:AK5">
    <cfRule type="notContainsBlanks" dxfId="2008" priority="444" stopIfTrue="1">
      <formula>LEN(TRIM(E5))&gt;0</formula>
    </cfRule>
  </conditionalFormatting>
  <conditionalFormatting sqref="E6:AK6">
    <cfRule type="containsBlanks" dxfId="2007" priority="445" stopIfTrue="1">
      <formula>LEN(TRIM(E6))=0</formula>
    </cfRule>
  </conditionalFormatting>
  <conditionalFormatting sqref="E6:AK6">
    <cfRule type="notContainsBlanks" dxfId="2006" priority="446" stopIfTrue="1">
      <formula>LEN(TRIM(E6))&gt;0</formula>
    </cfRule>
  </conditionalFormatting>
  <conditionalFormatting sqref="E7:AK7">
    <cfRule type="containsBlanks" dxfId="2005" priority="447" stopIfTrue="1">
      <formula>LEN(TRIM(E7))=0</formula>
    </cfRule>
  </conditionalFormatting>
  <conditionalFormatting sqref="E7:AK7">
    <cfRule type="notContainsBlanks" dxfId="2004" priority="448" stopIfTrue="1">
      <formula>LEN(TRIM(E7))&gt;0</formula>
    </cfRule>
  </conditionalFormatting>
  <conditionalFormatting sqref="E9:AK9">
    <cfRule type="containsBlanks" dxfId="2003" priority="449" stopIfTrue="1">
      <formula>LEN(TRIM(E9))=0</formula>
    </cfRule>
  </conditionalFormatting>
  <conditionalFormatting sqref="E9:AK9">
    <cfRule type="notContainsBlanks" dxfId="2002" priority="450" stopIfTrue="1">
      <formula>LEN(TRIM(E9))&gt;0</formula>
    </cfRule>
  </conditionalFormatting>
  <pageMargins left="0.7" right="0.7" top="0.75" bottom="0.75" header="0.3" footer="0.3"/>
  <customProperties>
    <customPr name="IsPC"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AL190"/>
  <sheetViews>
    <sheetView zoomScale="85" zoomScaleNormal="85" workbookViewId="0"/>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8.6640625" style="148" bestFit="1" customWidth="1"/>
    <col min="6" max="37" width="8.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100</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INDEX(_doName,5,stdCSL+1)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-391.56302085377183</v>
      </c>
      <c r="F5" s="28">
        <f ca="1"/>
        <v>-397.82570455843813</v>
      </c>
      <c r="G5" s="28">
        <f ca="1"/>
        <v>-394.26688031975755</v>
      </c>
      <c r="H5" s="28">
        <f ca="1"/>
        <v>-392.09532805752673</v>
      </c>
      <c r="I5" s="28">
        <f ca="1"/>
        <v>-390.01502587473203</v>
      </c>
      <c r="J5" s="28">
        <f ca="1"/>
        <v>-387.11860751391077</v>
      </c>
      <c r="K5" s="28">
        <f ca="1"/>
        <v>-384.89872329479778</v>
      </c>
      <c r="L5" s="28">
        <f ca="1"/>
        <v>-384.98062260560874</v>
      </c>
      <c r="M5" s="28">
        <f ca="1"/>
        <v>-383.50196914969899</v>
      </c>
      <c r="N5" s="28">
        <f ca="1"/>
        <v>-382.33061995835402</v>
      </c>
      <c r="O5" s="28">
        <f ca="1"/>
        <v>-381.76337151340334</v>
      </c>
      <c r="P5" s="28">
        <f ca="1"/>
        <v>-382.30540350198919</v>
      </c>
      <c r="Q5" s="28">
        <f ca="1"/>
        <v>-384.2655872341067</v>
      </c>
      <c r="R5" s="28">
        <f ca="1"/>
        <v>-388.79810382709155</v>
      </c>
      <c r="S5" s="28">
        <f ca="1"/>
        <v>-397.99949673609586</v>
      </c>
      <c r="T5" s="28">
        <f ca="1"/>
        <v>-405.70803874393079</v>
      </c>
      <c r="U5" s="28">
        <f ca="1"/>
        <v>-412.45092568199601</v>
      </c>
      <c r="V5" s="28">
        <f ca="1"/>
        <v>-421.15315963745309</v>
      </c>
      <c r="W5" s="28">
        <f ca="1"/>
        <v>-431.02350759300134</v>
      </c>
      <c r="X5" s="28">
        <f ca="1"/>
        <v>-434.57659291284222</v>
      </c>
      <c r="Y5" s="28">
        <f ca="1"/>
        <v>-435.75219470303477</v>
      </c>
      <c r="Z5" s="28">
        <f ca="1"/>
        <v>-434.18890266048913</v>
      </c>
      <c r="AA5" s="28">
        <f ca="1"/>
        <v>-431.63705765191298</v>
      </c>
      <c r="AB5" s="28">
        <f ca="1"/>
        <v>-433.82473591107305</v>
      </c>
      <c r="AC5" s="28">
        <f ca="1"/>
        <v>-436.73730037190921</v>
      </c>
      <c r="AD5" s="28">
        <f ca="1"/>
        <v>-440.16488733633503</v>
      </c>
      <c r="AE5" s="28">
        <f ca="1"/>
        <v>-443.46062409380352</v>
      </c>
      <c r="AF5" s="28">
        <f ca="1"/>
        <v>-447.01029758356094</v>
      </c>
      <c r="AG5" s="28">
        <f ca="1"/>
        <v>-450.34584001735993</v>
      </c>
      <c r="AH5" s="28">
        <f ca="1"/>
        <v>-453.9469434935977</v>
      </c>
      <c r="AI5" s="28">
        <f ca="1"/>
        <v>-457.33681696384735</v>
      </c>
      <c r="AJ5" s="28">
        <f ca="1"/>
        <v>-461.0063853266588</v>
      </c>
      <c r="AK5" s="29">
        <f ca="1"/>
        <v>-464.46460946984223</v>
      </c>
      <c r="AL5" s="3"/>
    </row>
    <row r="6" spans="2:38">
      <c r="B6" s="3"/>
      <c r="C6" s="23" t="s">
        <v>58</v>
      </c>
      <c r="D6" s="16" t="str">
        <f>"th " &amp; _yearDol &amp; "$"</f>
        <v>th 2013$</v>
      </c>
      <c r="E6" s="141">
        <f t="array" aca="1" ref="E6:AK6" ca="1">tiecU*tShpInMx</f>
        <v>811.93634093162848</v>
      </c>
      <c r="F6" s="28">
        <f ca="1"/>
        <v>828.8429595154787</v>
      </c>
      <c r="G6" s="28">
        <f ca="1"/>
        <v>824.89591908403338</v>
      </c>
      <c r="H6" s="28">
        <f ca="1"/>
        <v>824.14667657552036</v>
      </c>
      <c r="I6" s="28">
        <f ca="1"/>
        <v>823.11627502257556</v>
      </c>
      <c r="J6" s="28">
        <f ca="1"/>
        <v>820.65690579875513</v>
      </c>
      <c r="K6" s="28">
        <f ca="1"/>
        <v>819.13679316292655</v>
      </c>
      <c r="L6" s="28">
        <f ca="1"/>
        <v>822.82275733882807</v>
      </c>
      <c r="M6" s="28">
        <f ca="1"/>
        <v>823.51484114050618</v>
      </c>
      <c r="N6" s="28">
        <f ca="1"/>
        <v>824.39693902166289</v>
      </c>
      <c r="O6" s="28">
        <f ca="1"/>
        <v>826.91346695231823</v>
      </c>
      <c r="P6" s="28">
        <f ca="1"/>
        <v>832.20914389908717</v>
      </c>
      <c r="Q6" s="28">
        <f ca="1"/>
        <v>840.18046625770069</v>
      </c>
      <c r="R6" s="28">
        <f ca="1"/>
        <v>854.21988052031304</v>
      </c>
      <c r="S6" s="28">
        <f ca="1"/>
        <v>878.18637181324539</v>
      </c>
      <c r="T6" s="28">
        <f ca="1"/>
        <v>899.41233483792587</v>
      </c>
      <c r="U6" s="28">
        <f ca="1"/>
        <v>919.08265413874506</v>
      </c>
      <c r="V6" s="28">
        <f ca="1"/>
        <v>942.80197264536378</v>
      </c>
      <c r="W6" s="28">
        <f ca="1"/>
        <v>969.77779261166415</v>
      </c>
      <c r="X6" s="28">
        <f ca="1"/>
        <v>982.15960437606122</v>
      </c>
      <c r="Y6" s="28">
        <f ca="1"/>
        <v>989.6690225902513</v>
      </c>
      <c r="Z6" s="28">
        <f ca="1"/>
        <v>991.44866665170889</v>
      </c>
      <c r="AA6" s="28">
        <f ca="1"/>
        <v>990.40127196970525</v>
      </c>
      <c r="AB6" s="28">
        <f ca="1"/>
        <v>1000.7161013085545</v>
      </c>
      <c r="AC6" s="28">
        <f ca="1"/>
        <v>1012.2189048516237</v>
      </c>
      <c r="AD6" s="28">
        <f ca="1"/>
        <v>1025.4797248373484</v>
      </c>
      <c r="AE6" s="28">
        <f ca="1"/>
        <v>1039.0649591051094</v>
      </c>
      <c r="AF6" s="28">
        <f ca="1"/>
        <v>1052.7892280651722</v>
      </c>
      <c r="AG6" s="28">
        <f ca="1"/>
        <v>1066.6556213773649</v>
      </c>
      <c r="AH6" s="28">
        <f ca="1"/>
        <v>1080.6672287015172</v>
      </c>
      <c r="AI6" s="28">
        <f ca="1"/>
        <v>1094.8317741872008</v>
      </c>
      <c r="AJ6" s="28">
        <f ca="1"/>
        <v>1109.1508026643305</v>
      </c>
      <c r="AK6" s="29">
        <f ca="1"/>
        <v>1123.6289486226497</v>
      </c>
      <c r="AL6" s="3"/>
    </row>
    <row r="7" spans="2:38">
      <c r="B7" s="3"/>
      <c r="C7" s="23" t="s">
        <v>59</v>
      </c>
      <c r="D7" s="16" t="str">
        <f>"th " &amp; _yearDol &amp; "$"</f>
        <v>th 2013$</v>
      </c>
      <c r="E7" s="141">
        <f t="array" aca="1" ref="E7:AK7" ca="1">tecsU*tShpInMx</f>
        <v>420.37332007785665</v>
      </c>
      <c r="F7" s="28">
        <f ca="1"/>
        <v>431.01725495704056</v>
      </c>
      <c r="G7" s="28">
        <f ca="1"/>
        <v>430.62903876427583</v>
      </c>
      <c r="H7" s="28">
        <f ca="1"/>
        <v>432.05134851799363</v>
      </c>
      <c r="I7" s="28">
        <f ca="1"/>
        <v>433.10124914784353</v>
      </c>
      <c r="J7" s="28">
        <f ca="1"/>
        <v>433.53829828484436</v>
      </c>
      <c r="K7" s="28">
        <f ca="1"/>
        <v>434.23806986812878</v>
      </c>
      <c r="L7" s="28">
        <f ca="1"/>
        <v>437.84213473321932</v>
      </c>
      <c r="M7" s="28">
        <f ca="1"/>
        <v>440.01287199080718</v>
      </c>
      <c r="N7" s="28">
        <f ca="1"/>
        <v>442.06631906330887</v>
      </c>
      <c r="O7" s="28">
        <f ca="1"/>
        <v>445.15009543891489</v>
      </c>
      <c r="P7" s="28">
        <f ca="1"/>
        <v>449.90374039709798</v>
      </c>
      <c r="Q7" s="28">
        <f ca="1"/>
        <v>455.91487902359398</v>
      </c>
      <c r="R7" s="28">
        <f ca="1"/>
        <v>465.42177669322149</v>
      </c>
      <c r="S7" s="28">
        <f ca="1"/>
        <v>480.18687507714952</v>
      </c>
      <c r="T7" s="28">
        <f ca="1"/>
        <v>493.70429609399508</v>
      </c>
      <c r="U7" s="28">
        <f ca="1"/>
        <v>506.63172845674904</v>
      </c>
      <c r="V7" s="28">
        <f ca="1"/>
        <v>521.64881300791069</v>
      </c>
      <c r="W7" s="28">
        <f ca="1"/>
        <v>538.75428501866281</v>
      </c>
      <c r="X7" s="28">
        <f ca="1"/>
        <v>547.58301146321901</v>
      </c>
      <c r="Y7" s="28">
        <f ca="1"/>
        <v>553.91682788721653</v>
      </c>
      <c r="Z7" s="28">
        <f ca="1"/>
        <v>557.25976399121976</v>
      </c>
      <c r="AA7" s="28">
        <f ca="1"/>
        <v>558.76421431779227</v>
      </c>
      <c r="AB7" s="28">
        <f ca="1"/>
        <v>566.89136539748142</v>
      </c>
      <c r="AC7" s="28">
        <f ca="1"/>
        <v>575.48160447971452</v>
      </c>
      <c r="AD7" s="28">
        <f ca="1"/>
        <v>585.31483750101336</v>
      </c>
      <c r="AE7" s="28">
        <f ca="1"/>
        <v>595.60433501130592</v>
      </c>
      <c r="AF7" s="28">
        <f ca="1"/>
        <v>605.77893048161127</v>
      </c>
      <c r="AG7" s="28">
        <f ca="1"/>
        <v>616.30978136000499</v>
      </c>
      <c r="AH7" s="28">
        <f ca="1"/>
        <v>626.72028520791946</v>
      </c>
      <c r="AI7" s="28">
        <f ca="1"/>
        <v>637.49495722335348</v>
      </c>
      <c r="AJ7" s="28">
        <f ca="1"/>
        <v>648.14441733767171</v>
      </c>
      <c r="AK7" s="29">
        <f ca="1"/>
        <v>659.16433915280743</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tsavUElec*tShpInMx</f>
        <v>89.406147423370015</v>
      </c>
      <c r="F9" s="24">
        <f ca="1"/>
        <v>90.585157609196159</v>
      </c>
      <c r="G9" s="24">
        <f ca="1"/>
        <v>89.469000790102669</v>
      </c>
      <c r="H9" s="24">
        <f ca="1"/>
        <v>88.786746147643967</v>
      </c>
      <c r="I9" s="24">
        <f ca="1"/>
        <v>88.106422256275906</v>
      </c>
      <c r="J9" s="24">
        <f ca="1"/>
        <v>87.348729632236783</v>
      </c>
      <c r="K9" s="24">
        <f ca="1"/>
        <v>86.804036523836274</v>
      </c>
      <c r="L9" s="24">
        <f ca="1"/>
        <v>86.87573996482881</v>
      </c>
      <c r="M9" s="24">
        <f ca="1"/>
        <v>86.628209813007004</v>
      </c>
      <c r="N9" s="24">
        <f ca="1"/>
        <v>86.464294424462722</v>
      </c>
      <c r="O9" s="24">
        <f ca="1"/>
        <v>86.550871138540927</v>
      </c>
      <c r="P9" s="24">
        <f ca="1"/>
        <v>86.974541631114448</v>
      </c>
      <c r="Q9" s="24">
        <f ca="1"/>
        <v>87.696689006417131</v>
      </c>
      <c r="R9" s="24">
        <f ca="1"/>
        <v>89.078922454746944</v>
      </c>
      <c r="S9" s="24">
        <f ca="1"/>
        <v>91.513013861116576</v>
      </c>
      <c r="T9" s="24">
        <f ca="1"/>
        <v>93.716540790248018</v>
      </c>
      <c r="U9" s="24">
        <f ca="1"/>
        <v>95.783646989338564</v>
      </c>
      <c r="V9" s="24">
        <f ca="1"/>
        <v>98.281976447867834</v>
      </c>
      <c r="W9" s="24">
        <f ca="1"/>
        <v>101.13287030037367</v>
      </c>
      <c r="X9" s="24">
        <f ca="1"/>
        <v>102.4612469548898</v>
      </c>
      <c r="Y9" s="24">
        <f ca="1"/>
        <v>103.27565908867346</v>
      </c>
      <c r="Z9" s="24">
        <f ca="1"/>
        <v>103.48219112420794</v>
      </c>
      <c r="AA9" s="24">
        <f ca="1"/>
        <v>103.38657654330527</v>
      </c>
      <c r="AB9" s="24">
        <f ca="1"/>
        <v>104.46332686981808</v>
      </c>
      <c r="AC9" s="24">
        <f ca="1"/>
        <v>105.66408812954766</v>
      </c>
      <c r="AD9" s="24">
        <f ca="1"/>
        <v>107.04836621892701</v>
      </c>
      <c r="AE9" s="24">
        <f ca="1"/>
        <v>108.46650945261784</v>
      </c>
      <c r="AF9" s="24">
        <f ca="1"/>
        <v>109.89916631958502</v>
      </c>
      <c r="AG9" s="24">
        <f ca="1"/>
        <v>111.34665934501244</v>
      </c>
      <c r="AH9" s="24">
        <f ca="1"/>
        <v>112.80931105408408</v>
      </c>
      <c r="AI9" s="24">
        <f ca="1"/>
        <v>114.28792775975967</v>
      </c>
      <c r="AJ9" s="24">
        <f ca="1"/>
        <v>115.7826707246312</v>
      </c>
      <c r="AK9" s="26">
        <f ca="1"/>
        <v>117.29402373647456</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INDEX(_doName,5,stdCSL+1)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-12.416783548103467</v>
      </c>
      <c r="F13" s="28">
        <f ca="1"/>
        <v>-12.358051709060874</v>
      </c>
      <c r="G13" s="28">
        <f ca="1"/>
        <v>-12.30610345110972</v>
      </c>
      <c r="H13" s="28">
        <f ca="1"/>
        <v>-12.249449629123319</v>
      </c>
      <c r="I13" s="28">
        <f ca="1"/>
        <v>-12.199711781174756</v>
      </c>
      <c r="J13" s="28">
        <f ca="1"/>
        <v>-12.145400453098318</v>
      </c>
      <c r="K13" s="28">
        <f ca="1"/>
        <v>-12.098163716289037</v>
      </c>
      <c r="L13" s="28">
        <f ca="1"/>
        <v>-12.046530818942756</v>
      </c>
      <c r="M13" s="28">
        <f ca="1"/>
        <v>-11.990176833086934</v>
      </c>
      <c r="N13" s="28">
        <f ca="1"/>
        <v>-11.940764433749337</v>
      </c>
      <c r="O13" s="28">
        <f ca="1"/>
        <v>-11.886763249296109</v>
      </c>
      <c r="P13" s="28">
        <f ca="1"/>
        <v>-11.827892626095036</v>
      </c>
      <c r="Q13" s="28">
        <f ca="1"/>
        <v>-11.775743388815954</v>
      </c>
      <c r="R13" s="28">
        <f ca="1"/>
        <v>-11.718820005132784</v>
      </c>
      <c r="S13" s="28">
        <f ca="1"/>
        <v>-11.668774575880434</v>
      </c>
      <c r="T13" s="28">
        <f ca="1"/>
        <v>-11.614063437349159</v>
      </c>
      <c r="U13" s="28">
        <f ca="1"/>
        <v>-11.554392947703946</v>
      </c>
      <c r="V13" s="28">
        <f ca="1"/>
        <v>-11.501354799385354</v>
      </c>
      <c r="W13" s="28">
        <f ca="1"/>
        <v>-11.443480720326534</v>
      </c>
      <c r="X13" s="28">
        <f ca="1"/>
        <v>-11.392359549042794</v>
      </c>
      <c r="Y13" s="28">
        <f ca="1"/>
        <v>-11.336500895807603</v>
      </c>
      <c r="Z13" s="28">
        <f ca="1"/>
        <v>-11.275554447374361</v>
      </c>
      <c r="AA13" s="28">
        <f ca="1"/>
        <v>-11.221139311948264</v>
      </c>
      <c r="AB13" s="28">
        <f ca="1"/>
        <v>-11.161764207181022</v>
      </c>
      <c r="AC13" s="28">
        <f ca="1"/>
        <v>-11.109007533535532</v>
      </c>
      <c r="AD13" s="28">
        <f ca="1"/>
        <v>-11.05141117181256</v>
      </c>
      <c r="AE13" s="28">
        <f ca="1"/>
        <v>-10.988585329885154</v>
      </c>
      <c r="AF13" s="28">
        <f ca="1"/>
        <v>-10.932148325134676</v>
      </c>
      <c r="AG13" s="28">
        <f ca="1"/>
        <v>-10.870545775168921</v>
      </c>
      <c r="AH13" s="28">
        <f ca="1"/>
        <v>-10.815398722528244</v>
      </c>
      <c r="AI13" s="28">
        <f ca="1"/>
        <v>-10.755192601076033</v>
      </c>
      <c r="AJ13" s="28">
        <f ca="1"/>
        <v>-10.701527287046247</v>
      </c>
      <c r="AK13" s="29">
        <f ca="1"/>
        <v>-10.642879095697481</v>
      </c>
      <c r="AL13" s="3"/>
    </row>
    <row r="14" spans="2:38">
      <c r="B14" s="3"/>
      <c r="C14" s="23" t="s">
        <v>58</v>
      </c>
      <c r="D14" s="16" t="str">
        <f>_yearDol &amp; "$"</f>
        <v>2013$</v>
      </c>
      <c r="E14" s="141">
        <f t="array" aca="1" ref="E14:AK14" ca="1">tlccQmpol-tlccQmbc</f>
        <v>25.747165240999948</v>
      </c>
      <c r="F14" s="28">
        <f ca="1"/>
        <v>25.747165240999948</v>
      </c>
      <c r="G14" s="28">
        <f ca="1"/>
        <v>25.747165240999948</v>
      </c>
      <c r="H14" s="28">
        <f ca="1"/>
        <v>25.747165240999948</v>
      </c>
      <c r="I14" s="28">
        <f ca="1"/>
        <v>25.747165240999948</v>
      </c>
      <c r="J14" s="28">
        <f ca="1"/>
        <v>25.747165240999948</v>
      </c>
      <c r="K14" s="28">
        <f ca="1"/>
        <v>25.747165240999948</v>
      </c>
      <c r="L14" s="28">
        <f ca="1"/>
        <v>25.747165240999948</v>
      </c>
      <c r="M14" s="28">
        <f ca="1"/>
        <v>25.747165240999948</v>
      </c>
      <c r="N14" s="28">
        <f ca="1"/>
        <v>25.747165240999948</v>
      </c>
      <c r="O14" s="28">
        <f ca="1"/>
        <v>25.747165240999948</v>
      </c>
      <c r="P14" s="28">
        <f ca="1"/>
        <v>25.747165240999948</v>
      </c>
      <c r="Q14" s="28">
        <f ca="1"/>
        <v>25.747165240999948</v>
      </c>
      <c r="R14" s="28">
        <f ca="1"/>
        <v>25.747165240999948</v>
      </c>
      <c r="S14" s="28">
        <f ca="1"/>
        <v>25.747165240999948</v>
      </c>
      <c r="T14" s="28">
        <f ca="1"/>
        <v>25.747165240999948</v>
      </c>
      <c r="U14" s="28">
        <f ca="1"/>
        <v>25.747165240999948</v>
      </c>
      <c r="V14" s="28">
        <f ca="1"/>
        <v>25.747165240999948</v>
      </c>
      <c r="W14" s="28">
        <f ca="1"/>
        <v>25.747165240999948</v>
      </c>
      <c r="X14" s="28">
        <f ca="1"/>
        <v>25.747165240999948</v>
      </c>
      <c r="Y14" s="28">
        <f ca="1"/>
        <v>25.747165240999948</v>
      </c>
      <c r="Z14" s="28">
        <f ca="1"/>
        <v>25.747165240999948</v>
      </c>
      <c r="AA14" s="28">
        <f ca="1"/>
        <v>25.747165240999948</v>
      </c>
      <c r="AB14" s="28">
        <f ca="1"/>
        <v>25.747165240999948</v>
      </c>
      <c r="AC14" s="28">
        <f ca="1"/>
        <v>25.747165240999948</v>
      </c>
      <c r="AD14" s="28">
        <f ca="1"/>
        <v>25.747165240999948</v>
      </c>
      <c r="AE14" s="28">
        <f ca="1"/>
        <v>25.747165240999948</v>
      </c>
      <c r="AF14" s="28">
        <f ca="1"/>
        <v>25.747165240999948</v>
      </c>
      <c r="AG14" s="28">
        <f ca="1"/>
        <v>25.747165240999948</v>
      </c>
      <c r="AH14" s="28">
        <f ca="1"/>
        <v>25.747165240999948</v>
      </c>
      <c r="AI14" s="28">
        <f ca="1"/>
        <v>25.747165240999948</v>
      </c>
      <c r="AJ14" s="28">
        <f ca="1"/>
        <v>25.747165240999948</v>
      </c>
      <c r="AK14" s="29">
        <f ca="1"/>
        <v>25.747165240999948</v>
      </c>
      <c r="AL14" s="3"/>
    </row>
    <row r="15" spans="2:38">
      <c r="B15" s="3"/>
      <c r="C15" s="23" t="s">
        <v>59</v>
      </c>
      <c r="D15" s="16" t="str">
        <f>_yearDol &amp; "$"</f>
        <v>2013$</v>
      </c>
      <c r="E15" s="141">
        <f t="array" aca="1" ref="E15:AK15" ca="1">tlccEmbc-tlccEmpol</f>
        <v>13.330381692896481</v>
      </c>
      <c r="F15" s="28">
        <f ca="1"/>
        <v>13.389113531939074</v>
      </c>
      <c r="G15" s="28">
        <f ca="1"/>
        <v>13.441061789890227</v>
      </c>
      <c r="H15" s="28">
        <f ca="1"/>
        <v>13.497715611876629</v>
      </c>
      <c r="I15" s="28">
        <f ca="1"/>
        <v>13.547453459825192</v>
      </c>
      <c r="J15" s="28">
        <f ca="1"/>
        <v>13.601764787901629</v>
      </c>
      <c r="K15" s="28">
        <f ca="1"/>
        <v>13.649001524710911</v>
      </c>
      <c r="L15" s="28">
        <f ca="1"/>
        <v>13.700634422057192</v>
      </c>
      <c r="M15" s="28">
        <f ca="1"/>
        <v>13.756988407913013</v>
      </c>
      <c r="N15" s="28">
        <f ca="1"/>
        <v>13.806400807250611</v>
      </c>
      <c r="O15" s="28">
        <f ca="1"/>
        <v>13.860401991703839</v>
      </c>
      <c r="P15" s="28">
        <f ca="1"/>
        <v>13.919272614904912</v>
      </c>
      <c r="Q15" s="28">
        <f ca="1"/>
        <v>13.971421852183994</v>
      </c>
      <c r="R15" s="28">
        <f ca="1"/>
        <v>14.028345235867164</v>
      </c>
      <c r="S15" s="28">
        <f ca="1"/>
        <v>14.078390665119514</v>
      </c>
      <c r="T15" s="28">
        <f ca="1"/>
        <v>14.133101803650788</v>
      </c>
      <c r="U15" s="28">
        <f ca="1"/>
        <v>14.192772293296002</v>
      </c>
      <c r="V15" s="28">
        <f ca="1"/>
        <v>14.245810441614594</v>
      </c>
      <c r="W15" s="28">
        <f ca="1"/>
        <v>14.303684520673414</v>
      </c>
      <c r="X15" s="28">
        <f ca="1"/>
        <v>14.354805691957154</v>
      </c>
      <c r="Y15" s="28">
        <f ca="1"/>
        <v>14.410664345192345</v>
      </c>
      <c r="Z15" s="28">
        <f ca="1"/>
        <v>14.471610793625587</v>
      </c>
      <c r="AA15" s="28">
        <f ca="1"/>
        <v>14.526025929051684</v>
      </c>
      <c r="AB15" s="28">
        <f ca="1"/>
        <v>14.585401033818925</v>
      </c>
      <c r="AC15" s="28">
        <f ca="1"/>
        <v>14.638157707464416</v>
      </c>
      <c r="AD15" s="28">
        <f ca="1"/>
        <v>14.695754069187387</v>
      </c>
      <c r="AE15" s="28">
        <f ca="1"/>
        <v>14.758579911114794</v>
      </c>
      <c r="AF15" s="28">
        <f ca="1"/>
        <v>14.815016915865272</v>
      </c>
      <c r="AG15" s="28">
        <f ca="1"/>
        <v>14.876619465831027</v>
      </c>
      <c r="AH15" s="28">
        <f ca="1"/>
        <v>14.931766518471704</v>
      </c>
      <c r="AI15" s="28">
        <f ca="1"/>
        <v>14.991972639923915</v>
      </c>
      <c r="AJ15" s="28">
        <f ca="1"/>
        <v>15.045637953953701</v>
      </c>
      <c r="AK15" s="29">
        <f ca="1"/>
        <v>15.104286145302467</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2.8351420366643652</v>
      </c>
      <c r="F17" s="24">
        <f ca="1"/>
        <v>2.8139359749275172</v>
      </c>
      <c r="G17" s="24">
        <f ca="1"/>
        <v>2.7925621814783881</v>
      </c>
      <c r="H17" s="24">
        <f ca="1"/>
        <v>2.7737866198440315</v>
      </c>
      <c r="I17" s="24">
        <f ca="1"/>
        <v>2.7559783246460938</v>
      </c>
      <c r="J17" s="24">
        <f ca="1"/>
        <v>2.7404657897122888</v>
      </c>
      <c r="K17" s="24">
        <f ca="1"/>
        <v>2.7284305754783418</v>
      </c>
      <c r="L17" s="24">
        <f ca="1"/>
        <v>2.7184518322546865</v>
      </c>
      <c r="M17" s="24">
        <f ca="1"/>
        <v>2.7084282166651974</v>
      </c>
      <c r="N17" s="24">
        <f ca="1"/>
        <v>2.7004108950659429</v>
      </c>
      <c r="O17" s="24">
        <f ca="1"/>
        <v>2.6948884859375539</v>
      </c>
      <c r="P17" s="24">
        <f ca="1"/>
        <v>2.690847500959535</v>
      </c>
      <c r="Q17" s="24">
        <f ca="1"/>
        <v>2.6874477967739949</v>
      </c>
      <c r="R17" s="24">
        <f ca="1"/>
        <v>2.6849407140180119</v>
      </c>
      <c r="S17" s="24">
        <f ca="1"/>
        <v>2.683030351198795</v>
      </c>
      <c r="T17" s="24">
        <f ca="1"/>
        <v>2.6827909381254358</v>
      </c>
      <c r="U17" s="24">
        <f ca="1"/>
        <v>2.6832813951114076</v>
      </c>
      <c r="V17" s="24">
        <f ca="1"/>
        <v>2.6840019020273758</v>
      </c>
      <c r="W17" s="24">
        <f ca="1"/>
        <v>2.685032326743567</v>
      </c>
      <c r="X17" s="24">
        <f ca="1"/>
        <v>2.6860060670305757</v>
      </c>
      <c r="Y17" s="24">
        <f ca="1"/>
        <v>2.6868128629203056</v>
      </c>
      <c r="Z17" s="24">
        <f ca="1"/>
        <v>2.6873535302374876</v>
      </c>
      <c r="AA17" s="24">
        <f ca="1"/>
        <v>2.6877098659897456</v>
      </c>
      <c r="AB17" s="24">
        <f ca="1"/>
        <v>2.6877098659897456</v>
      </c>
      <c r="AC17" s="24">
        <f ca="1"/>
        <v>2.6877098659897456</v>
      </c>
      <c r="AD17" s="24">
        <f ca="1"/>
        <v>2.6877098659897456</v>
      </c>
      <c r="AE17" s="24">
        <f ca="1"/>
        <v>2.6877098659897456</v>
      </c>
      <c r="AF17" s="24">
        <f ca="1"/>
        <v>2.6877098659897456</v>
      </c>
      <c r="AG17" s="24">
        <f ca="1"/>
        <v>2.6877098659897456</v>
      </c>
      <c r="AH17" s="24">
        <f ca="1"/>
        <v>2.6877098659897456</v>
      </c>
      <c r="AI17" s="24">
        <f ca="1"/>
        <v>2.6877098659897456</v>
      </c>
      <c r="AJ17" s="24">
        <f ca="1"/>
        <v>2.6877098659897456</v>
      </c>
      <c r="AK17" s="26">
        <f ca="1"/>
        <v>2.6877098659897456</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INDEX(_doName,5,1)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2205.6505121170003</v>
      </c>
      <c r="F21" s="28">
        <f ca="1">SUMPRODUCT(INDEX(bcEff,,2),INDEX(tlccQubc,,2))</f>
        <v>2205.6505121170003</v>
      </c>
      <c r="G21" s="28">
        <f ca="1">SUMPRODUCT(INDEX(bcEff,,3),INDEX(tlccQubc,,3))</f>
        <v>2205.6505121170003</v>
      </c>
      <c r="H21" s="28">
        <f ca="1">SUMPRODUCT(INDEX(bcEff,,4),INDEX(tlccQubc,,4))</f>
        <v>2205.6505121170003</v>
      </c>
      <c r="I21" s="28">
        <f ca="1">SUMPRODUCT(INDEX(bcEff,,5),INDEX(tlccQubc,,5))</f>
        <v>2205.6505121170003</v>
      </c>
      <c r="J21" s="28">
        <f ca="1">SUMPRODUCT(INDEX(bcEff,,6),INDEX(tlccQubc,,6))</f>
        <v>2205.6505121170003</v>
      </c>
      <c r="K21" s="28">
        <f ca="1">SUMPRODUCT(INDEX(bcEff,,7),INDEX(tlccQubc,,7))</f>
        <v>2205.6505121170003</v>
      </c>
      <c r="L21" s="28">
        <f ca="1">SUMPRODUCT(INDEX(bcEff,,8),INDEX(tlccQubc,,8))</f>
        <v>2205.6505121170003</v>
      </c>
      <c r="M21" s="28">
        <f ca="1">SUMPRODUCT(INDEX(bcEff,,9),INDEX(tlccQubc,,9))</f>
        <v>2205.6505121170003</v>
      </c>
      <c r="N21" s="28">
        <f ca="1">SUMPRODUCT(INDEX(bcEff,,10),INDEX(tlccQubc,,10))</f>
        <v>2205.6505121170003</v>
      </c>
      <c r="O21" s="28">
        <f ca="1">SUMPRODUCT(INDEX(bcEff,,11),INDEX(tlccQubc,,11))</f>
        <v>2205.6505121170003</v>
      </c>
      <c r="P21" s="28">
        <f ca="1">SUMPRODUCT(INDEX(bcEff,,12),INDEX(tlccQubc,,12))</f>
        <v>2205.6505121170003</v>
      </c>
      <c r="Q21" s="28">
        <f ca="1">SUMPRODUCT(INDEX(bcEff,,13),INDEX(tlccQubc,,13))</f>
        <v>2205.6505121170003</v>
      </c>
      <c r="R21" s="28">
        <f ca="1">SUMPRODUCT(INDEX(bcEff,,14),INDEX(tlccQubc,,14))</f>
        <v>2205.6505121170003</v>
      </c>
      <c r="S21" s="28">
        <f ca="1">SUMPRODUCT(INDEX(bcEff,,15),INDEX(tlccQubc,,15))</f>
        <v>2205.6505121170003</v>
      </c>
      <c r="T21" s="28">
        <f ca="1">SUMPRODUCT(INDEX(bcEff,,16),INDEX(tlccQubc,,16))</f>
        <v>2205.6505121170003</v>
      </c>
      <c r="U21" s="28">
        <f ca="1">SUMPRODUCT(INDEX(bcEff,,17),INDEX(tlccQubc,,17))</f>
        <v>2205.6505121170003</v>
      </c>
      <c r="V21" s="28">
        <f ca="1">SUMPRODUCT(INDEX(bcEff,,18),INDEX(tlccQubc,,18))</f>
        <v>2205.6505121170003</v>
      </c>
      <c r="W21" s="28">
        <f ca="1">SUMPRODUCT(INDEX(bcEff,,19),INDEX(tlccQubc,,19))</f>
        <v>2205.6505121170003</v>
      </c>
      <c r="X21" s="28">
        <f ca="1">SUMPRODUCT(INDEX(bcEff,,20),INDEX(tlccQubc,,20))</f>
        <v>2205.6505121170003</v>
      </c>
      <c r="Y21" s="28">
        <f ca="1">SUMPRODUCT(INDEX(bcEff,,21),INDEX(tlccQubc,,21))</f>
        <v>2205.6505121170003</v>
      </c>
      <c r="Z21" s="28">
        <f ca="1">SUMPRODUCT(INDEX(bcEff,,22),INDEX(tlccQubc,,22))</f>
        <v>2205.6505121170003</v>
      </c>
      <c r="AA21" s="28">
        <f ca="1">SUMPRODUCT(INDEX(bcEff,,23),INDEX(tlccQubc,,23))</f>
        <v>2205.6505121170003</v>
      </c>
      <c r="AB21" s="28">
        <f ca="1">SUMPRODUCT(INDEX(bcEff,,24),INDEX(tlccQubc,,24))</f>
        <v>2205.6505121170003</v>
      </c>
      <c r="AC21" s="28">
        <f ca="1">SUMPRODUCT(INDEX(bcEff,,25),INDEX(tlccQubc,,25))</f>
        <v>2205.6505121170003</v>
      </c>
      <c r="AD21" s="28">
        <f ca="1">SUMPRODUCT(INDEX(bcEff,,26),INDEX(tlccQubc,,26))</f>
        <v>2205.6505121170003</v>
      </c>
      <c r="AE21" s="28">
        <f ca="1">SUMPRODUCT(INDEX(bcEff,,27),INDEX(tlccQubc,,27))</f>
        <v>2205.6505121170003</v>
      </c>
      <c r="AF21" s="28">
        <f ca="1">SUMPRODUCT(INDEX(bcEff,,28),INDEX(tlccQubc,,28))</f>
        <v>2205.6505121170003</v>
      </c>
      <c r="AG21" s="28">
        <f ca="1">SUMPRODUCT(INDEX(bcEff,,29),INDEX(tlccQubc,,29))</f>
        <v>2205.6505121170003</v>
      </c>
      <c r="AH21" s="28">
        <f ca="1">SUMPRODUCT(INDEX(bcEff,,30),INDEX(tlccQubc,,30))</f>
        <v>2205.6505121170003</v>
      </c>
      <c r="AI21" s="28">
        <f ca="1">SUMPRODUCT(INDEX(bcEff,,31),INDEX(tlccQubc,,31))</f>
        <v>2205.6505121170003</v>
      </c>
      <c r="AJ21" s="28">
        <f ca="1">SUMPRODUCT(INDEX(bcEff,,32),INDEX(tlccQubc,,32))</f>
        <v>2205.6505121170003</v>
      </c>
      <c r="AK21" s="29">
        <f ca="1">SUMPRODUCT(INDEX(bcEff,,33),INDEX(tlccQubc,,33))</f>
        <v>2205.6505121170003</v>
      </c>
      <c r="AL21" s="3"/>
    </row>
    <row r="22" spans="2:38">
      <c r="B22" s="3"/>
      <c r="C22" s="23" t="s">
        <v>47</v>
      </c>
      <c r="D22" s="16" t="str">
        <f>_yearDol &amp; "$"</f>
        <v>2013$</v>
      </c>
      <c r="E22" s="141">
        <f ca="1">SUMPRODUCT(INDEX(bcEff,,1),INDEX(tlccEubc,,1))</f>
        <v>27863.884346402894</v>
      </c>
      <c r="F22" s="28">
        <f ca="1">SUMPRODUCT(INDEX(bcEff,,2),INDEX(tlccEubc,,2))</f>
        <v>27986.64881093815</v>
      </c>
      <c r="G22" s="28">
        <f ca="1">SUMPRODUCT(INDEX(bcEff,,3),INDEX(tlccEubc,,3))</f>
        <v>28095.233867597839</v>
      </c>
      <c r="H22" s="28">
        <f ca="1">SUMPRODUCT(INDEX(bcEff,,4),INDEX(tlccEubc,,4))</f>
        <v>28213.654748573557</v>
      </c>
      <c r="I22" s="28">
        <f ca="1">SUMPRODUCT(INDEX(bcEff,,5),INDEX(tlccEubc,,5))</f>
        <v>28317.619486781121</v>
      </c>
      <c r="J22" s="28">
        <f ca="1">SUMPRODUCT(INDEX(bcEff,,6),INDEX(tlccEubc,,6))</f>
        <v>28431.143960347257</v>
      </c>
      <c r="K22" s="28">
        <f ca="1">SUMPRODUCT(INDEX(bcEff,,7),INDEX(tlccEubc,,7))</f>
        <v>28529.880740851928</v>
      </c>
      <c r="L22" s="28">
        <f ca="1">SUMPRODUCT(INDEX(bcEff,,8),INDEX(tlccEubc,,8))</f>
        <v>28637.806613741835</v>
      </c>
      <c r="M22" s="28">
        <f ca="1">SUMPRODUCT(INDEX(bcEff,,9),INDEX(tlccEubc,,9))</f>
        <v>28755.600761014997</v>
      </c>
      <c r="N22" s="28">
        <f ca="1">SUMPRODUCT(INDEX(bcEff,,10),INDEX(tlccEubc,,10))</f>
        <v>28858.885228947202</v>
      </c>
      <c r="O22" s="28">
        <f ca="1">SUMPRODUCT(INDEX(bcEff,,11),INDEX(tlccEubc,,11))</f>
        <v>28971.761423561402</v>
      </c>
      <c r="P22" s="28">
        <f ca="1">SUMPRODUCT(INDEX(bcEff,,12),INDEX(tlccEubc,,12))</f>
        <v>29094.815982238586</v>
      </c>
      <c r="Q22" s="28">
        <f ca="1">SUMPRODUCT(INDEX(bcEff,,13),INDEX(tlccEubc,,13))</f>
        <v>29203.821136757244</v>
      </c>
      <c r="R22" s="28">
        <f ca="1">SUMPRODUCT(INDEX(bcEff,,14),INDEX(tlccEubc,,14))</f>
        <v>29322.805470148069</v>
      </c>
      <c r="S22" s="28">
        <f ca="1">SUMPRODUCT(INDEX(bcEff,,15),INDEX(tlccEubc,,15))</f>
        <v>29427.413131420704</v>
      </c>
      <c r="T22" s="28">
        <f ca="1">SUMPRODUCT(INDEX(bcEff,,16),INDEX(tlccEubc,,16))</f>
        <v>29541.773310419245</v>
      </c>
      <c r="U22" s="28">
        <f ca="1">SUMPRODUCT(INDEX(bcEff,,17),INDEX(tlccEubc,,17))</f>
        <v>29666.499793172756</v>
      </c>
      <c r="V22" s="28">
        <f ca="1">SUMPRODUCT(INDEX(bcEff,,18),INDEX(tlccEubc,,18))</f>
        <v>29777.362997600096</v>
      </c>
      <c r="W22" s="28">
        <f ca="1">SUMPRODUCT(INDEX(bcEff,,19),INDEX(tlccEubc,,19))</f>
        <v>29898.334525855949</v>
      </c>
      <c r="X22" s="28">
        <f ca="1">SUMPRODUCT(INDEX(bcEff,,20),INDEX(tlccEubc,,20))</f>
        <v>30005.190761262638</v>
      </c>
      <c r="Y22" s="28">
        <f ca="1">SUMPRODUCT(INDEX(bcEff,,21),INDEX(tlccEubc,,21))</f>
        <v>30121.949537518944</v>
      </c>
      <c r="Z22" s="28">
        <f ca="1">SUMPRODUCT(INDEX(bcEff,,22),INDEX(tlccEubc,,22))</f>
        <v>30249.343098304176</v>
      </c>
      <c r="AA22" s="28">
        <f ca="1">SUMPRODUCT(INDEX(bcEff,,23),INDEX(tlccEubc,,23))</f>
        <v>30363.08455560272</v>
      </c>
      <c r="AB22" s="28">
        <f ca="1">SUMPRODUCT(INDEX(bcEff,,24),INDEX(tlccEubc,,24))</f>
        <v>30487.193608931335</v>
      </c>
      <c r="AC22" s="28">
        <f ca="1">SUMPRODUCT(INDEX(bcEff,,25),INDEX(tlccEubc,,25))</f>
        <v>30597.468459779979</v>
      </c>
      <c r="AD22" s="28">
        <f ca="1">SUMPRODUCT(INDEX(bcEff,,26),INDEX(tlccEubc,,26))</f>
        <v>30717.85948824355</v>
      </c>
      <c r="AE22" s="28">
        <f ca="1">SUMPRODUCT(INDEX(bcEff,,27),INDEX(tlccEubc,,27))</f>
        <v>30849.181458888688</v>
      </c>
      <c r="AF22" s="28">
        <f ca="1">SUMPRODUCT(INDEX(bcEff,,28),INDEX(tlccEubc,,28))</f>
        <v>30967.14913674508</v>
      </c>
      <c r="AG22" s="28">
        <f ca="1">SUMPRODUCT(INDEX(bcEff,,29),INDEX(tlccEubc,,29))</f>
        <v>31095.914116422366</v>
      </c>
      <c r="AH22" s="28">
        <f ca="1">SUMPRODUCT(INDEX(bcEff,,30),INDEX(tlccEubc,,30))</f>
        <v>31211.185466654497</v>
      </c>
      <c r="AI22" s="28">
        <f ca="1">SUMPRODUCT(INDEX(bcEff,,31),INDEX(tlccEubc,,31))</f>
        <v>31337.03155595799</v>
      </c>
      <c r="AJ22" s="28">
        <f ca="1">SUMPRODUCT(INDEX(bcEff,,32),INDEX(tlccEubc,,32))</f>
        <v>31449.2056960556</v>
      </c>
      <c r="AK22" s="29">
        <f ca="1">SUMPRODUCT(INDEX(bcEff,,33),INDEX(tlccEubc,,33))</f>
        <v>31571.795315657906</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5926.1671297318899</v>
      </c>
      <c r="F24" s="22">
        <f ca="1">SUMPRODUCT(INDEX(bcEff,,2),INDEX(tlccFubcElec,,2))</f>
        <v>5881.8410732645743</v>
      </c>
      <c r="G24" s="22">
        <f ca="1">SUMPRODUCT(INDEX(bcEff,,3),INDEX(tlccFubcElec,,3))</f>
        <v>5837.1644149035465</v>
      </c>
      <c r="H24" s="22">
        <f ca="1">SUMPRODUCT(INDEX(bcEff,,4),INDEX(tlccFubcElec,,4))</f>
        <v>5797.9187211204335</v>
      </c>
      <c r="I24" s="22">
        <f ca="1">SUMPRODUCT(INDEX(bcEff,,5),INDEX(tlccFubcElec,,5))</f>
        <v>5760.6948599265597</v>
      </c>
      <c r="J24" s="22">
        <f ca="1">SUMPRODUCT(INDEX(bcEff,,6),INDEX(tlccFubcElec,,6))</f>
        <v>5728.2697209277085</v>
      </c>
      <c r="K24" s="22">
        <f ca="1">SUMPRODUCT(INDEX(bcEff,,7),INDEX(tlccFubcElec,,7))</f>
        <v>5703.1130656078076</v>
      </c>
      <c r="L24" s="22">
        <f ca="1">SUMPRODUCT(INDEX(bcEff,,8),INDEX(tlccFubcElec,,8))</f>
        <v>5682.2549571541622</v>
      </c>
      <c r="M24" s="22">
        <f ca="1">SUMPRODUCT(INDEX(bcEff,,9),INDEX(tlccFubcElec,,9))</f>
        <v>5661.3030540536711</v>
      </c>
      <c r="N24" s="22">
        <f ca="1">SUMPRODUCT(INDEX(bcEff,,10),INDEX(tlccFubcElec,,10))</f>
        <v>5644.544815094323</v>
      </c>
      <c r="O24" s="22">
        <f ca="1">SUMPRODUCT(INDEX(bcEff,,11),INDEX(tlccFubcElec,,11))</f>
        <v>5633.0015770415121</v>
      </c>
      <c r="P24" s="22">
        <f ca="1">SUMPRODUCT(INDEX(bcEff,,12),INDEX(tlccFubcElec,,12))</f>
        <v>5624.5548918158302</v>
      </c>
      <c r="Q24" s="22">
        <f ca="1">SUMPRODUCT(INDEX(bcEff,,13),INDEX(tlccFubcElec,,13))</f>
        <v>5617.4486463659014</v>
      </c>
      <c r="R24" s="22">
        <f ca="1">SUMPRODUCT(INDEX(bcEff,,14),INDEX(tlccFubcElec,,14))</f>
        <v>5612.2082064786964</v>
      </c>
      <c r="S24" s="22">
        <f ca="1">SUMPRODUCT(INDEX(bcEff,,15),INDEX(tlccFubcElec,,15))</f>
        <v>5608.2150628541549</v>
      </c>
      <c r="T24" s="22">
        <f ca="1">SUMPRODUCT(INDEX(bcEff,,16),INDEX(tlccFubcElec,,16))</f>
        <v>5607.7146287067872</v>
      </c>
      <c r="U24" s="22">
        <f ca="1">SUMPRODUCT(INDEX(bcEff,,17),INDEX(tlccFubcElec,,17))</f>
        <v>5608.7398084102406</v>
      </c>
      <c r="V24" s="22">
        <f ca="1">SUMPRODUCT(INDEX(bcEff,,18),INDEX(tlccFubcElec,,18))</f>
        <v>5610.2458509112166</v>
      </c>
      <c r="W24" s="22">
        <f ca="1">SUMPRODUCT(INDEX(bcEff,,19),INDEX(tlccFubcElec,,19))</f>
        <v>5612.3997003472996</v>
      </c>
      <c r="X24" s="22">
        <f ca="1">SUMPRODUCT(INDEX(bcEff,,20),INDEX(tlccFubcElec,,20))</f>
        <v>5614.4350649276967</v>
      </c>
      <c r="Y24" s="22">
        <f ca="1">SUMPRODUCT(INDEX(bcEff,,21),INDEX(tlccFubcElec,,21))</f>
        <v>5616.1214733062134</v>
      </c>
      <c r="Z24" s="22">
        <f ca="1">SUMPRODUCT(INDEX(bcEff,,22),INDEX(tlccFubcElec,,22))</f>
        <v>5617.2516053567806</v>
      </c>
      <c r="AA24" s="22">
        <f ca="1">SUMPRODUCT(INDEX(bcEff,,23),INDEX(tlccFubcElec,,23))</f>
        <v>5617.9964376071603</v>
      </c>
      <c r="AB24" s="22">
        <f ca="1">SUMPRODUCT(INDEX(bcEff,,24),INDEX(tlccFubcElec,,24))</f>
        <v>5617.9964376071603</v>
      </c>
      <c r="AC24" s="22">
        <f ca="1">SUMPRODUCT(INDEX(bcEff,,25),INDEX(tlccFubcElec,,25))</f>
        <v>5617.9964376071603</v>
      </c>
      <c r="AD24" s="22">
        <f ca="1">SUMPRODUCT(INDEX(bcEff,,26),INDEX(tlccFubcElec,,26))</f>
        <v>5617.9964376071603</v>
      </c>
      <c r="AE24" s="22">
        <f ca="1">SUMPRODUCT(INDEX(bcEff,,27),INDEX(tlccFubcElec,,27))</f>
        <v>5617.9964376071603</v>
      </c>
      <c r="AF24" s="22">
        <f ca="1">SUMPRODUCT(INDEX(bcEff,,28),INDEX(tlccFubcElec,,28))</f>
        <v>5617.9964376071603</v>
      </c>
      <c r="AG24" s="22">
        <f ca="1">SUMPRODUCT(INDEX(bcEff,,29),INDEX(tlccFubcElec,,29))</f>
        <v>5617.9964376071603</v>
      </c>
      <c r="AH24" s="22">
        <f ca="1">SUMPRODUCT(INDEX(bcEff,,30),INDEX(tlccFubcElec,,30))</f>
        <v>5617.9964376071603</v>
      </c>
      <c r="AI24" s="22">
        <f ca="1">SUMPRODUCT(INDEX(bcEff,,31),INDEX(tlccFubcElec,,31))</f>
        <v>5617.9964376071603</v>
      </c>
      <c r="AJ24" s="22">
        <f ca="1">SUMPRODUCT(INDEX(bcEff,,32),INDEX(tlccFubcElec,,32))</f>
        <v>5617.9964376071603</v>
      </c>
      <c r="AK24" s="25">
        <f ca="1">SUMPRODUCT(INDEX(bcEff,,33),INDEX(tlccFubcElec,,33))</f>
        <v>5617.9964376071603</v>
      </c>
      <c r="AL24" s="3"/>
    </row>
    <row r="25" spans="2:38">
      <c r="B25" s="3"/>
      <c r="C25" s="30" t="str">
        <f>"Std (CSL " &amp; stdCSL &amp; "): " &amp; INDEX(_doName,5,stdCSL+1)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2231.3976773580002</v>
      </c>
      <c r="F26" s="28">
        <f ca="1">SUMPRODUCT(INDEX(polEff,,2),INDEX(tlccQupol,,2))</f>
        <v>2231.3976773580002</v>
      </c>
      <c r="G26" s="28">
        <f ca="1">SUMPRODUCT(INDEX(polEff,,3),INDEX(tlccQupol,,3))</f>
        <v>2231.3976773580002</v>
      </c>
      <c r="H26" s="28">
        <f ca="1">SUMPRODUCT(INDEX(polEff,,4),INDEX(tlccQupol,,4))</f>
        <v>2231.3976773580002</v>
      </c>
      <c r="I26" s="28">
        <f ca="1">SUMPRODUCT(INDEX(polEff,,5),INDEX(tlccQupol,,5))</f>
        <v>2231.3976773580002</v>
      </c>
      <c r="J26" s="28">
        <f ca="1">SUMPRODUCT(INDEX(polEff,,6),INDEX(tlccQupol,,6))</f>
        <v>2231.3976773580002</v>
      </c>
      <c r="K26" s="28">
        <f ca="1">SUMPRODUCT(INDEX(polEff,,7),INDEX(tlccQupol,,7))</f>
        <v>2231.3976773580002</v>
      </c>
      <c r="L26" s="28">
        <f ca="1">SUMPRODUCT(INDEX(polEff,,8),INDEX(tlccQupol,,8))</f>
        <v>2231.3976773580002</v>
      </c>
      <c r="M26" s="28">
        <f ca="1">SUMPRODUCT(INDEX(polEff,,9),INDEX(tlccQupol,,9))</f>
        <v>2231.3976773580002</v>
      </c>
      <c r="N26" s="28">
        <f ca="1">SUMPRODUCT(INDEX(polEff,,10),INDEX(tlccQupol,,10))</f>
        <v>2231.3976773580002</v>
      </c>
      <c r="O26" s="28">
        <f ca="1">SUMPRODUCT(INDEX(polEff,,11),INDEX(tlccQupol,,11))</f>
        <v>2231.3976773580002</v>
      </c>
      <c r="P26" s="28">
        <f ca="1">SUMPRODUCT(INDEX(polEff,,12),INDEX(tlccQupol,,12))</f>
        <v>2231.3976773580002</v>
      </c>
      <c r="Q26" s="28">
        <f ca="1">SUMPRODUCT(INDEX(polEff,,13),INDEX(tlccQupol,,13))</f>
        <v>2231.3976773580002</v>
      </c>
      <c r="R26" s="28">
        <f ca="1">SUMPRODUCT(INDEX(polEff,,14),INDEX(tlccQupol,,14))</f>
        <v>2231.3976773580002</v>
      </c>
      <c r="S26" s="28">
        <f ca="1">SUMPRODUCT(INDEX(polEff,,15),INDEX(tlccQupol,,15))</f>
        <v>2231.3976773580002</v>
      </c>
      <c r="T26" s="28">
        <f ca="1">SUMPRODUCT(INDEX(polEff,,16),INDEX(tlccQupol,,16))</f>
        <v>2231.3976773580002</v>
      </c>
      <c r="U26" s="28">
        <f ca="1">SUMPRODUCT(INDEX(polEff,,17),INDEX(tlccQupol,,17))</f>
        <v>2231.3976773580002</v>
      </c>
      <c r="V26" s="28">
        <f ca="1">SUMPRODUCT(INDEX(polEff,,18),INDEX(tlccQupol,,18))</f>
        <v>2231.3976773580002</v>
      </c>
      <c r="W26" s="28">
        <f ca="1">SUMPRODUCT(INDEX(polEff,,19),INDEX(tlccQupol,,19))</f>
        <v>2231.3976773580002</v>
      </c>
      <c r="X26" s="28">
        <f ca="1">SUMPRODUCT(INDEX(polEff,,20),INDEX(tlccQupol,,20))</f>
        <v>2231.3976773580002</v>
      </c>
      <c r="Y26" s="28">
        <f ca="1">SUMPRODUCT(INDEX(polEff,,21),INDEX(tlccQupol,,21))</f>
        <v>2231.3976773580002</v>
      </c>
      <c r="Z26" s="28">
        <f ca="1">SUMPRODUCT(INDEX(polEff,,22),INDEX(tlccQupol,,22))</f>
        <v>2231.3976773580002</v>
      </c>
      <c r="AA26" s="28">
        <f ca="1">SUMPRODUCT(INDEX(polEff,,23),INDEX(tlccQupol,,23))</f>
        <v>2231.3976773580002</v>
      </c>
      <c r="AB26" s="28">
        <f ca="1">SUMPRODUCT(INDEX(polEff,,24),INDEX(tlccQupol,,24))</f>
        <v>2231.3976773580002</v>
      </c>
      <c r="AC26" s="28">
        <f ca="1">SUMPRODUCT(INDEX(polEff,,25),INDEX(tlccQupol,,25))</f>
        <v>2231.3976773580002</v>
      </c>
      <c r="AD26" s="28">
        <f ca="1">SUMPRODUCT(INDEX(polEff,,26),INDEX(tlccQupol,,26))</f>
        <v>2231.3976773580002</v>
      </c>
      <c r="AE26" s="28">
        <f ca="1">SUMPRODUCT(INDEX(polEff,,27),INDEX(tlccQupol,,27))</f>
        <v>2231.3976773580002</v>
      </c>
      <c r="AF26" s="28">
        <f ca="1">SUMPRODUCT(INDEX(polEff,,28),INDEX(tlccQupol,,28))</f>
        <v>2231.3976773580002</v>
      </c>
      <c r="AG26" s="28">
        <f ca="1">SUMPRODUCT(INDEX(polEff,,29),INDEX(tlccQupol,,29))</f>
        <v>2231.3976773580002</v>
      </c>
      <c r="AH26" s="28">
        <f ca="1">SUMPRODUCT(INDEX(polEff,,30),INDEX(tlccQupol,,30))</f>
        <v>2231.3976773580002</v>
      </c>
      <c r="AI26" s="28">
        <f ca="1">SUMPRODUCT(INDEX(polEff,,31),INDEX(tlccQupol,,31))</f>
        <v>2231.3976773580002</v>
      </c>
      <c r="AJ26" s="28">
        <f ca="1">SUMPRODUCT(INDEX(polEff,,32),INDEX(tlccQupol,,32))</f>
        <v>2231.3976773580002</v>
      </c>
      <c r="AK26" s="29">
        <f ca="1">SUMPRODUCT(INDEX(polEff,,33),INDEX(tlccQupol,,33))</f>
        <v>2231.3976773580002</v>
      </c>
      <c r="AL26" s="3"/>
    </row>
    <row r="27" spans="2:38">
      <c r="B27" s="3"/>
      <c r="C27" s="23" t="s">
        <v>47</v>
      </c>
      <c r="D27" s="16" t="str">
        <f>_yearDol &amp; "$"</f>
        <v>2013$</v>
      </c>
      <c r="E27" s="141">
        <f ca="1">SUMPRODUCT(INDEX(polEff,,1),INDEX(tlccEupol,,1))</f>
        <v>27850.553964709998</v>
      </c>
      <c r="F27" s="28">
        <f ca="1">SUMPRODUCT(INDEX(polEff,,2),INDEX(tlccEupol,,2))</f>
        <v>27973.259697406211</v>
      </c>
      <c r="G27" s="28">
        <f ca="1">SUMPRODUCT(INDEX(polEff,,3),INDEX(tlccEupol,,3))</f>
        <v>28081.792805807949</v>
      </c>
      <c r="H27" s="28">
        <f ca="1">SUMPRODUCT(INDEX(polEff,,4),INDEX(tlccEupol,,4))</f>
        <v>28200.157032961681</v>
      </c>
      <c r="I27" s="28">
        <f ca="1">SUMPRODUCT(INDEX(polEff,,5),INDEX(tlccEupol,,5))</f>
        <v>28304.072033321296</v>
      </c>
      <c r="J27" s="28">
        <f ca="1">SUMPRODUCT(INDEX(polEff,,6),INDEX(tlccEupol,,6))</f>
        <v>28417.542195559356</v>
      </c>
      <c r="K27" s="28">
        <f ca="1">SUMPRODUCT(INDEX(polEff,,7),INDEX(tlccEupol,,7))</f>
        <v>28516.231739327217</v>
      </c>
      <c r="L27" s="28">
        <f ca="1">SUMPRODUCT(INDEX(polEff,,8),INDEX(tlccEupol,,8))</f>
        <v>28624.105979319778</v>
      </c>
      <c r="M27" s="28">
        <f ca="1">SUMPRODUCT(INDEX(polEff,,9),INDEX(tlccEupol,,9))</f>
        <v>28741.843772607084</v>
      </c>
      <c r="N27" s="28">
        <f ca="1">SUMPRODUCT(INDEX(polEff,,10),INDEX(tlccEupol,,10))</f>
        <v>28845.078828139951</v>
      </c>
      <c r="O27" s="28">
        <f ca="1">SUMPRODUCT(INDEX(polEff,,11),INDEX(tlccEupol,,11))</f>
        <v>28957.901021569698</v>
      </c>
      <c r="P27" s="28">
        <f ca="1">SUMPRODUCT(INDEX(polEff,,12),INDEX(tlccEupol,,12))</f>
        <v>29080.896709623681</v>
      </c>
      <c r="Q27" s="28">
        <f ca="1">SUMPRODUCT(INDEX(polEff,,13),INDEX(tlccEupol,,13))</f>
        <v>29189.84971490506</v>
      </c>
      <c r="R27" s="28">
        <f ca="1">SUMPRODUCT(INDEX(polEff,,14),INDEX(tlccEupol,,14))</f>
        <v>29308.777124912202</v>
      </c>
      <c r="S27" s="28">
        <f ca="1">SUMPRODUCT(INDEX(polEff,,15),INDEX(tlccEupol,,15))</f>
        <v>29413.334740755585</v>
      </c>
      <c r="T27" s="28">
        <f ca="1">SUMPRODUCT(INDEX(polEff,,16),INDEX(tlccEupol,,16))</f>
        <v>29527.640208615594</v>
      </c>
      <c r="U27" s="28">
        <f ca="1">SUMPRODUCT(INDEX(polEff,,17),INDEX(tlccEupol,,17))</f>
        <v>29652.30702087946</v>
      </c>
      <c r="V27" s="28">
        <f ca="1">SUMPRODUCT(INDEX(polEff,,18),INDEX(tlccEupol,,18))</f>
        <v>29763.117187158481</v>
      </c>
      <c r="W27" s="28">
        <f ca="1">SUMPRODUCT(INDEX(polEff,,19),INDEX(tlccEupol,,19))</f>
        <v>29884.030841335276</v>
      </c>
      <c r="X27" s="28">
        <f ca="1">SUMPRODUCT(INDEX(polEff,,20),INDEX(tlccEupol,,20))</f>
        <v>29990.835955570681</v>
      </c>
      <c r="Y27" s="28">
        <f ca="1">SUMPRODUCT(INDEX(polEff,,21),INDEX(tlccEupol,,21))</f>
        <v>30107.538873173751</v>
      </c>
      <c r="Z27" s="28">
        <f ca="1">SUMPRODUCT(INDEX(polEff,,22),INDEX(tlccEupol,,22))</f>
        <v>30234.871487510551</v>
      </c>
      <c r="AA27" s="28">
        <f ca="1">SUMPRODUCT(INDEX(polEff,,23),INDEX(tlccEupol,,23))</f>
        <v>30348.558529673668</v>
      </c>
      <c r="AB27" s="28">
        <f ca="1">SUMPRODUCT(INDEX(polEff,,24),INDEX(tlccEupol,,24))</f>
        <v>30472.608207897516</v>
      </c>
      <c r="AC27" s="28">
        <f ca="1">SUMPRODUCT(INDEX(polEff,,25),INDEX(tlccEupol,,25))</f>
        <v>30582.830302072514</v>
      </c>
      <c r="AD27" s="28">
        <f ca="1">SUMPRODUCT(INDEX(polEff,,26),INDEX(tlccEupol,,26))</f>
        <v>30703.163734174363</v>
      </c>
      <c r="AE27" s="28">
        <f ca="1">SUMPRODUCT(INDEX(polEff,,27),INDEX(tlccEupol,,27))</f>
        <v>30834.422878977573</v>
      </c>
      <c r="AF27" s="28">
        <f ca="1">SUMPRODUCT(INDEX(polEff,,28),INDEX(tlccEupol,,28))</f>
        <v>30952.334119829215</v>
      </c>
      <c r="AG27" s="28">
        <f ca="1">SUMPRODUCT(INDEX(polEff,,29),INDEX(tlccEupol,,29))</f>
        <v>31081.037496956535</v>
      </c>
      <c r="AH27" s="28">
        <f ca="1">SUMPRODUCT(INDEX(polEff,,30),INDEX(tlccEupol,,30))</f>
        <v>31196.253700136025</v>
      </c>
      <c r="AI27" s="28">
        <f ca="1">SUMPRODUCT(INDEX(polEff,,31),INDEX(tlccEupol,,31))</f>
        <v>31322.039583318066</v>
      </c>
      <c r="AJ27" s="28">
        <f ca="1">SUMPRODUCT(INDEX(polEff,,32),INDEX(tlccEupol,,32))</f>
        <v>31434.160058101646</v>
      </c>
      <c r="AK27" s="29">
        <f ca="1">SUMPRODUCT(INDEX(polEff,,33),INDEX(tlccEupol,,33))</f>
        <v>31556.691029512604</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5923.3319876952255</v>
      </c>
      <c r="F29" s="24">
        <f ca="1">SUMPRODUCT(INDEX(polEff,,2),INDEX(tlccFupolElec,,2))</f>
        <v>5879.0271372896468</v>
      </c>
      <c r="G29" s="24">
        <f ca="1">SUMPRODUCT(INDEX(polEff,,3),INDEX(tlccFupolElec,,3))</f>
        <v>5834.3718527220681</v>
      </c>
      <c r="H29" s="24">
        <f ca="1">SUMPRODUCT(INDEX(polEff,,4),INDEX(tlccFupolElec,,4))</f>
        <v>5795.1449345005894</v>
      </c>
      <c r="I29" s="24">
        <f ca="1">SUMPRODUCT(INDEX(polEff,,5),INDEX(tlccFupolElec,,5))</f>
        <v>5757.9388816019136</v>
      </c>
      <c r="J29" s="24">
        <f ca="1">SUMPRODUCT(INDEX(polEff,,6),INDEX(tlccFupolElec,,6))</f>
        <v>5725.5292551379962</v>
      </c>
      <c r="K29" s="24">
        <f ca="1">SUMPRODUCT(INDEX(polEff,,7),INDEX(tlccFupolElec,,7))</f>
        <v>5700.3846350323292</v>
      </c>
      <c r="L29" s="24">
        <f ca="1">SUMPRODUCT(INDEX(polEff,,8),INDEX(tlccFupolElec,,8))</f>
        <v>5679.5365053219075</v>
      </c>
      <c r="M29" s="24">
        <f ca="1">SUMPRODUCT(INDEX(polEff,,9),INDEX(tlccFupolElec,,9))</f>
        <v>5658.5946258370059</v>
      </c>
      <c r="N29" s="24">
        <f ca="1">SUMPRODUCT(INDEX(polEff,,10),INDEX(tlccFupolElec,,10))</f>
        <v>5641.844404199257</v>
      </c>
      <c r="O29" s="24">
        <f ca="1">SUMPRODUCT(INDEX(polEff,,11),INDEX(tlccFupolElec,,11))</f>
        <v>5630.3066885555745</v>
      </c>
      <c r="P29" s="24">
        <f ca="1">SUMPRODUCT(INDEX(polEff,,12),INDEX(tlccFupolElec,,12))</f>
        <v>5621.8640443148706</v>
      </c>
      <c r="Q29" s="24">
        <f ca="1">SUMPRODUCT(INDEX(polEff,,13),INDEX(tlccFupolElec,,13))</f>
        <v>5614.7611985691274</v>
      </c>
      <c r="R29" s="24">
        <f ca="1">SUMPRODUCT(INDEX(polEff,,14),INDEX(tlccFupolElec,,14))</f>
        <v>5609.5232657646784</v>
      </c>
      <c r="S29" s="24">
        <f ca="1">SUMPRODUCT(INDEX(polEff,,15),INDEX(tlccFupolElec,,15))</f>
        <v>5605.5320325029561</v>
      </c>
      <c r="T29" s="24">
        <f ca="1">SUMPRODUCT(INDEX(polEff,,16),INDEX(tlccFupolElec,,16))</f>
        <v>5605.0318377686617</v>
      </c>
      <c r="U29" s="24">
        <f ca="1">SUMPRODUCT(INDEX(polEff,,17),INDEX(tlccFupolElec,,17))</f>
        <v>5606.0565270151292</v>
      </c>
      <c r="V29" s="24">
        <f ca="1">SUMPRODUCT(INDEX(polEff,,18),INDEX(tlccFupolElec,,18))</f>
        <v>5607.5618490091892</v>
      </c>
      <c r="W29" s="24">
        <f ca="1">SUMPRODUCT(INDEX(polEff,,19),INDEX(tlccFupolElec,,19))</f>
        <v>5609.714668020556</v>
      </c>
      <c r="X29" s="24">
        <f ca="1">SUMPRODUCT(INDEX(polEff,,20),INDEX(tlccFupolElec,,20))</f>
        <v>5611.7490588606661</v>
      </c>
      <c r="Y29" s="24">
        <f ca="1">SUMPRODUCT(INDEX(polEff,,21),INDEX(tlccFupolElec,,21))</f>
        <v>5613.4346604432931</v>
      </c>
      <c r="Z29" s="24">
        <f ca="1">SUMPRODUCT(INDEX(polEff,,22),INDEX(tlccFupolElec,,22))</f>
        <v>5614.5642518265431</v>
      </c>
      <c r="AA29" s="24">
        <f ca="1">SUMPRODUCT(INDEX(polEff,,23),INDEX(tlccFupolElec,,23))</f>
        <v>5615.3087277411705</v>
      </c>
      <c r="AB29" s="24">
        <f ca="1">SUMPRODUCT(INDEX(polEff,,24),INDEX(tlccFupolElec,,24))</f>
        <v>5615.3087277411705</v>
      </c>
      <c r="AC29" s="24">
        <f ca="1">SUMPRODUCT(INDEX(polEff,,25),INDEX(tlccFupolElec,,25))</f>
        <v>5615.3087277411705</v>
      </c>
      <c r="AD29" s="24">
        <f ca="1">SUMPRODUCT(INDEX(polEff,,26),INDEX(tlccFupolElec,,26))</f>
        <v>5615.3087277411705</v>
      </c>
      <c r="AE29" s="24">
        <f ca="1">SUMPRODUCT(INDEX(polEff,,27),INDEX(tlccFupolElec,,27))</f>
        <v>5615.3087277411705</v>
      </c>
      <c r="AF29" s="24">
        <f ca="1">SUMPRODUCT(INDEX(polEff,,28),INDEX(tlccFupolElec,,28))</f>
        <v>5615.3087277411705</v>
      </c>
      <c r="AG29" s="24">
        <f ca="1">SUMPRODUCT(INDEX(polEff,,29),INDEX(tlccFupolElec,,29))</f>
        <v>5615.3087277411705</v>
      </c>
      <c r="AH29" s="24">
        <f ca="1">SUMPRODUCT(INDEX(polEff,,30),INDEX(tlccFupolElec,,30))</f>
        <v>5615.3087277411705</v>
      </c>
      <c r="AI29" s="24">
        <f ca="1">SUMPRODUCT(INDEX(polEff,,31),INDEX(tlccFupolElec,,31))</f>
        <v>5615.3087277411705</v>
      </c>
      <c r="AJ29" s="24">
        <f ca="1">SUMPRODUCT(INDEX(polEff,,32),INDEX(tlccFupolElec,,32))</f>
        <v>5615.3087277411705</v>
      </c>
      <c r="AK29" s="26">
        <f ca="1">SUMPRODUCT(INDEX(polEff,,33),INDEX(tlccFupolElec,,33))</f>
        <v>5615.3087277411705</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INDEX(_doName,5,1)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INDEX(_doName,5,2)</f>
        <v>EL 1: EL 1</v>
      </c>
      <c r="D33" s="16" t="s">
        <v>35</v>
      </c>
      <c r="E33" s="145">
        <v>8.4699999999999998E-2</v>
      </c>
      <c r="F33" s="17">
        <f t="array" ref="F33:AK33">$E$33</f>
        <v>8.4699999999999998E-2</v>
      </c>
      <c r="G33" s="17">
        <v>8.4699999999999998E-2</v>
      </c>
      <c r="H33" s="17">
        <v>8.4699999999999998E-2</v>
      </c>
      <c r="I33" s="17">
        <v>8.4699999999999998E-2</v>
      </c>
      <c r="J33" s="17">
        <v>8.4699999999999998E-2</v>
      </c>
      <c r="K33" s="17">
        <v>8.4699999999999998E-2</v>
      </c>
      <c r="L33" s="17">
        <v>8.4699999999999998E-2</v>
      </c>
      <c r="M33" s="17">
        <v>8.4699999999999998E-2</v>
      </c>
      <c r="N33" s="17">
        <v>8.4699999999999998E-2</v>
      </c>
      <c r="O33" s="17">
        <v>8.4699999999999998E-2</v>
      </c>
      <c r="P33" s="17">
        <v>8.4699999999999998E-2</v>
      </c>
      <c r="Q33" s="17">
        <v>8.4699999999999998E-2</v>
      </c>
      <c r="R33" s="17">
        <v>8.4699999999999998E-2</v>
      </c>
      <c r="S33" s="17">
        <v>8.4699999999999998E-2</v>
      </c>
      <c r="T33" s="17">
        <v>8.4699999999999998E-2</v>
      </c>
      <c r="U33" s="17">
        <v>8.4699999999999998E-2</v>
      </c>
      <c r="V33" s="17">
        <v>8.4699999999999998E-2</v>
      </c>
      <c r="W33" s="17">
        <v>8.4699999999999998E-2</v>
      </c>
      <c r="X33" s="17">
        <v>8.4699999999999998E-2</v>
      </c>
      <c r="Y33" s="17">
        <v>8.4699999999999998E-2</v>
      </c>
      <c r="Z33" s="17">
        <v>8.4699999999999998E-2</v>
      </c>
      <c r="AA33" s="17">
        <v>8.4699999999999998E-2</v>
      </c>
      <c r="AB33" s="17">
        <v>8.4699999999999998E-2</v>
      </c>
      <c r="AC33" s="17">
        <v>8.4699999999999998E-2</v>
      </c>
      <c r="AD33" s="17">
        <v>8.4699999999999998E-2</v>
      </c>
      <c r="AE33" s="17">
        <v>8.4699999999999998E-2</v>
      </c>
      <c r="AF33" s="17">
        <v>8.4699999999999998E-2</v>
      </c>
      <c r="AG33" s="17">
        <v>8.4699999999999998E-2</v>
      </c>
      <c r="AH33" s="17">
        <v>8.4699999999999998E-2</v>
      </c>
      <c r="AI33" s="17">
        <v>8.4699999999999998E-2</v>
      </c>
      <c r="AJ33" s="17">
        <v>8.4699999999999998E-2</v>
      </c>
      <c r="AK33" s="18">
        <v>8.4699999999999998E-2</v>
      </c>
      <c r="AL33" s="3"/>
    </row>
    <row r="34" spans="2:38">
      <c r="B34" s="3"/>
      <c r="C34" s="12" t="str">
        <f>"EL 2: " &amp; INDEX(_doName,5,3)</f>
        <v>EL 2: EL 2</v>
      </c>
      <c r="D34" s="16" t="s">
        <v>35</v>
      </c>
      <c r="E34" s="145">
        <v>1.4200000000000001E-2</v>
      </c>
      <c r="F34" s="17">
        <f t="array" ref="F34:AK34">$E$34</f>
        <v>1.4200000000000001E-2</v>
      </c>
      <c r="G34" s="17">
        <v>1.4200000000000001E-2</v>
      </c>
      <c r="H34" s="17">
        <v>1.4200000000000001E-2</v>
      </c>
      <c r="I34" s="17">
        <v>1.4200000000000001E-2</v>
      </c>
      <c r="J34" s="17">
        <v>1.4200000000000001E-2</v>
      </c>
      <c r="K34" s="17">
        <v>1.4200000000000001E-2</v>
      </c>
      <c r="L34" s="17">
        <v>1.4200000000000001E-2</v>
      </c>
      <c r="M34" s="17">
        <v>1.4200000000000001E-2</v>
      </c>
      <c r="N34" s="17">
        <v>1.4200000000000001E-2</v>
      </c>
      <c r="O34" s="17">
        <v>1.4200000000000001E-2</v>
      </c>
      <c r="P34" s="17">
        <v>1.4200000000000001E-2</v>
      </c>
      <c r="Q34" s="17">
        <v>1.4200000000000001E-2</v>
      </c>
      <c r="R34" s="17">
        <v>1.4200000000000001E-2</v>
      </c>
      <c r="S34" s="17">
        <v>1.4200000000000001E-2</v>
      </c>
      <c r="T34" s="17">
        <v>1.4200000000000001E-2</v>
      </c>
      <c r="U34" s="17">
        <v>1.4200000000000001E-2</v>
      </c>
      <c r="V34" s="17">
        <v>1.4200000000000001E-2</v>
      </c>
      <c r="W34" s="17">
        <v>1.4200000000000001E-2</v>
      </c>
      <c r="X34" s="17">
        <v>1.4200000000000001E-2</v>
      </c>
      <c r="Y34" s="17">
        <v>1.4200000000000001E-2</v>
      </c>
      <c r="Z34" s="17">
        <v>1.4200000000000001E-2</v>
      </c>
      <c r="AA34" s="17">
        <v>1.4200000000000001E-2</v>
      </c>
      <c r="AB34" s="17">
        <v>1.4200000000000001E-2</v>
      </c>
      <c r="AC34" s="17">
        <v>1.4200000000000001E-2</v>
      </c>
      <c r="AD34" s="17">
        <v>1.4200000000000001E-2</v>
      </c>
      <c r="AE34" s="17">
        <v>1.4200000000000001E-2</v>
      </c>
      <c r="AF34" s="17">
        <v>1.4200000000000001E-2</v>
      </c>
      <c r="AG34" s="17">
        <v>1.4200000000000001E-2</v>
      </c>
      <c r="AH34" s="17">
        <v>1.4200000000000001E-2</v>
      </c>
      <c r="AI34" s="17">
        <v>1.4200000000000001E-2</v>
      </c>
      <c r="AJ34" s="17">
        <v>1.4200000000000001E-2</v>
      </c>
      <c r="AK34" s="18">
        <v>1.4200000000000001E-2</v>
      </c>
      <c r="AL34" s="3"/>
    </row>
    <row r="35" spans="2:38">
      <c r="B35" s="3"/>
      <c r="C35" s="12" t="str">
        <f>"EL 3: " &amp; INDEX(_doName,5,4)</f>
        <v>EL 3: EL 3</v>
      </c>
      <c r="D35" s="16" t="s">
        <v>35</v>
      </c>
      <c r="E35" s="145">
        <v>2.47E-2</v>
      </c>
      <c r="F35" s="17">
        <f t="array" ref="F35:AK35">$E$35</f>
        <v>2.47E-2</v>
      </c>
      <c r="G35" s="17">
        <v>2.47E-2</v>
      </c>
      <c r="H35" s="17">
        <v>2.47E-2</v>
      </c>
      <c r="I35" s="17">
        <v>2.47E-2</v>
      </c>
      <c r="J35" s="17">
        <v>2.47E-2</v>
      </c>
      <c r="K35" s="17">
        <v>2.47E-2</v>
      </c>
      <c r="L35" s="17">
        <v>2.47E-2</v>
      </c>
      <c r="M35" s="17">
        <v>2.47E-2</v>
      </c>
      <c r="N35" s="17">
        <v>2.47E-2</v>
      </c>
      <c r="O35" s="17">
        <v>2.47E-2</v>
      </c>
      <c r="P35" s="17">
        <v>2.47E-2</v>
      </c>
      <c r="Q35" s="17">
        <v>2.47E-2</v>
      </c>
      <c r="R35" s="17">
        <v>2.47E-2</v>
      </c>
      <c r="S35" s="17">
        <v>2.47E-2</v>
      </c>
      <c r="T35" s="17">
        <v>2.47E-2</v>
      </c>
      <c r="U35" s="17">
        <v>2.47E-2</v>
      </c>
      <c r="V35" s="17">
        <v>2.47E-2</v>
      </c>
      <c r="W35" s="17">
        <v>2.47E-2</v>
      </c>
      <c r="X35" s="17">
        <v>2.47E-2</v>
      </c>
      <c r="Y35" s="17">
        <v>2.47E-2</v>
      </c>
      <c r="Z35" s="17">
        <v>2.47E-2</v>
      </c>
      <c r="AA35" s="17">
        <v>2.47E-2</v>
      </c>
      <c r="AB35" s="17">
        <v>2.47E-2</v>
      </c>
      <c r="AC35" s="17">
        <v>2.47E-2</v>
      </c>
      <c r="AD35" s="17">
        <v>2.47E-2</v>
      </c>
      <c r="AE35" s="17">
        <v>2.47E-2</v>
      </c>
      <c r="AF35" s="17">
        <v>2.47E-2</v>
      </c>
      <c r="AG35" s="17">
        <v>2.47E-2</v>
      </c>
      <c r="AH35" s="17">
        <v>2.47E-2</v>
      </c>
      <c r="AI35" s="17">
        <v>2.47E-2</v>
      </c>
      <c r="AJ35" s="17">
        <v>2.47E-2</v>
      </c>
      <c r="AK35" s="18">
        <v>2.47E-2</v>
      </c>
      <c r="AL35" s="3"/>
    </row>
    <row r="36" spans="2:38">
      <c r="B36" s="3"/>
      <c r="C36" s="12" t="str">
        <f>"EL 4: " &amp; INDEX(_doName,5,5)</f>
        <v>EL 4: EL 4</v>
      </c>
      <c r="D36" s="16" t="s">
        <v>35</v>
      </c>
      <c r="E36" s="145">
        <v>0.31080000000000002</v>
      </c>
      <c r="F36" s="17">
        <f t="array" ref="F36:AK36">$E$36</f>
        <v>0.31080000000000002</v>
      </c>
      <c r="G36" s="17">
        <v>0.31080000000000002</v>
      </c>
      <c r="H36" s="17">
        <v>0.31080000000000002</v>
      </c>
      <c r="I36" s="17">
        <v>0.31080000000000002</v>
      </c>
      <c r="J36" s="17">
        <v>0.31080000000000002</v>
      </c>
      <c r="K36" s="17">
        <v>0.31080000000000002</v>
      </c>
      <c r="L36" s="17">
        <v>0.31080000000000002</v>
      </c>
      <c r="M36" s="17">
        <v>0.31080000000000002</v>
      </c>
      <c r="N36" s="17">
        <v>0.31080000000000002</v>
      </c>
      <c r="O36" s="17">
        <v>0.31080000000000002</v>
      </c>
      <c r="P36" s="17">
        <v>0.31080000000000002</v>
      </c>
      <c r="Q36" s="17">
        <v>0.31080000000000002</v>
      </c>
      <c r="R36" s="17">
        <v>0.31080000000000002</v>
      </c>
      <c r="S36" s="17">
        <v>0.31080000000000002</v>
      </c>
      <c r="T36" s="17">
        <v>0.31080000000000002</v>
      </c>
      <c r="U36" s="17">
        <v>0.31080000000000002</v>
      </c>
      <c r="V36" s="17">
        <v>0.31080000000000002</v>
      </c>
      <c r="W36" s="17">
        <v>0.31080000000000002</v>
      </c>
      <c r="X36" s="17">
        <v>0.31080000000000002</v>
      </c>
      <c r="Y36" s="17">
        <v>0.31080000000000002</v>
      </c>
      <c r="Z36" s="17">
        <v>0.31080000000000002</v>
      </c>
      <c r="AA36" s="17">
        <v>0.31080000000000002</v>
      </c>
      <c r="AB36" s="17">
        <v>0.31080000000000002</v>
      </c>
      <c r="AC36" s="17">
        <v>0.31080000000000002</v>
      </c>
      <c r="AD36" s="17">
        <v>0.31080000000000002</v>
      </c>
      <c r="AE36" s="17">
        <v>0.31080000000000002</v>
      </c>
      <c r="AF36" s="17">
        <v>0.31080000000000002</v>
      </c>
      <c r="AG36" s="17">
        <v>0.31080000000000002</v>
      </c>
      <c r="AH36" s="17">
        <v>0.31080000000000002</v>
      </c>
      <c r="AI36" s="17">
        <v>0.31080000000000002</v>
      </c>
      <c r="AJ36" s="17">
        <v>0.31080000000000002</v>
      </c>
      <c r="AK36" s="18">
        <v>0.31080000000000002</v>
      </c>
      <c r="AL36" s="3"/>
    </row>
    <row r="37" spans="2:38">
      <c r="B37" s="3"/>
      <c r="C37" s="12" t="str">
        <f>"EL 5: " &amp; INDEX(_doName,5,6)</f>
        <v>EL 5: EL 5</v>
      </c>
      <c r="D37" s="16" t="s">
        <v>35</v>
      </c>
      <c r="E37" s="145">
        <v>0.17749999999999999</v>
      </c>
      <c r="F37" s="17">
        <f t="array" ref="F37:AK37">$E$37</f>
        <v>0.17749999999999999</v>
      </c>
      <c r="G37" s="17">
        <v>0.17749999999999999</v>
      </c>
      <c r="H37" s="17">
        <v>0.17749999999999999</v>
      </c>
      <c r="I37" s="17">
        <v>0.17749999999999999</v>
      </c>
      <c r="J37" s="17">
        <v>0.17749999999999999</v>
      </c>
      <c r="K37" s="17">
        <v>0.17749999999999999</v>
      </c>
      <c r="L37" s="17">
        <v>0.17749999999999999</v>
      </c>
      <c r="M37" s="17">
        <v>0.17749999999999999</v>
      </c>
      <c r="N37" s="17">
        <v>0.17749999999999999</v>
      </c>
      <c r="O37" s="17">
        <v>0.17749999999999999</v>
      </c>
      <c r="P37" s="17">
        <v>0.17749999999999999</v>
      </c>
      <c r="Q37" s="17">
        <v>0.17749999999999999</v>
      </c>
      <c r="R37" s="17">
        <v>0.17749999999999999</v>
      </c>
      <c r="S37" s="17">
        <v>0.17749999999999999</v>
      </c>
      <c r="T37" s="17">
        <v>0.17749999999999999</v>
      </c>
      <c r="U37" s="17">
        <v>0.17749999999999999</v>
      </c>
      <c r="V37" s="17">
        <v>0.17749999999999999</v>
      </c>
      <c r="W37" s="17">
        <v>0.17749999999999999</v>
      </c>
      <c r="X37" s="17">
        <v>0.17749999999999999</v>
      </c>
      <c r="Y37" s="17">
        <v>0.17749999999999999</v>
      </c>
      <c r="Z37" s="17">
        <v>0.17749999999999999</v>
      </c>
      <c r="AA37" s="17">
        <v>0.17749999999999999</v>
      </c>
      <c r="AB37" s="17">
        <v>0.17749999999999999</v>
      </c>
      <c r="AC37" s="17">
        <v>0.17749999999999999</v>
      </c>
      <c r="AD37" s="17">
        <v>0.17749999999999999</v>
      </c>
      <c r="AE37" s="17">
        <v>0.17749999999999999</v>
      </c>
      <c r="AF37" s="17">
        <v>0.17749999999999999</v>
      </c>
      <c r="AG37" s="17">
        <v>0.17749999999999999</v>
      </c>
      <c r="AH37" s="17">
        <v>0.17749999999999999</v>
      </c>
      <c r="AI37" s="17">
        <v>0.17749999999999999</v>
      </c>
      <c r="AJ37" s="17">
        <v>0.17749999999999999</v>
      </c>
      <c r="AK37" s="18">
        <v>0.17749999999999999</v>
      </c>
      <c r="AL37" s="3"/>
    </row>
    <row r="38" spans="2:38">
      <c r="B38" s="3"/>
      <c r="C38" s="4" t="str">
        <f>"EL 6: " &amp; INDEX(_doName,5,7)</f>
        <v>EL 6: EL 6</v>
      </c>
      <c r="D38" s="5" t="s">
        <v>35</v>
      </c>
      <c r="E38" s="146">
        <v>0.3881</v>
      </c>
      <c r="F38" s="19">
        <f t="array" ref="F38:AK38">$E$38</f>
        <v>0.3881</v>
      </c>
      <c r="G38" s="19">
        <v>0.3881</v>
      </c>
      <c r="H38" s="19">
        <v>0.3881</v>
      </c>
      <c r="I38" s="19">
        <v>0.3881</v>
      </c>
      <c r="J38" s="19">
        <v>0.3881</v>
      </c>
      <c r="K38" s="19">
        <v>0.3881</v>
      </c>
      <c r="L38" s="19">
        <v>0.3881</v>
      </c>
      <c r="M38" s="19">
        <v>0.3881</v>
      </c>
      <c r="N38" s="19">
        <v>0.3881</v>
      </c>
      <c r="O38" s="19">
        <v>0.3881</v>
      </c>
      <c r="P38" s="19">
        <v>0.3881</v>
      </c>
      <c r="Q38" s="19">
        <v>0.3881</v>
      </c>
      <c r="R38" s="19">
        <v>0.3881</v>
      </c>
      <c r="S38" s="19">
        <v>0.3881</v>
      </c>
      <c r="T38" s="19">
        <v>0.3881</v>
      </c>
      <c r="U38" s="19">
        <v>0.3881</v>
      </c>
      <c r="V38" s="19">
        <v>0.3881</v>
      </c>
      <c r="W38" s="19">
        <v>0.3881</v>
      </c>
      <c r="X38" s="19">
        <v>0.3881</v>
      </c>
      <c r="Y38" s="19">
        <v>0.3881</v>
      </c>
      <c r="Z38" s="19">
        <v>0.3881</v>
      </c>
      <c r="AA38" s="19">
        <v>0.3881</v>
      </c>
      <c r="AB38" s="19">
        <v>0.3881</v>
      </c>
      <c r="AC38" s="19">
        <v>0.3881</v>
      </c>
      <c r="AD38" s="19">
        <v>0.3881</v>
      </c>
      <c r="AE38" s="19">
        <v>0.3881</v>
      </c>
      <c r="AF38" s="19">
        <v>0.3881</v>
      </c>
      <c r="AG38" s="19">
        <v>0.3881</v>
      </c>
      <c r="AH38" s="19">
        <v>0.3881</v>
      </c>
      <c r="AI38" s="19">
        <v>0.3881</v>
      </c>
      <c r="AJ38" s="19">
        <v>0.3881</v>
      </c>
      <c r="AK38" s="20">
        <v>0.3881</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INDEX(_doName,5,1)</f>
        <v>EL 0: EL 0</v>
      </c>
      <c r="D41" s="16" t="s">
        <v>35</v>
      </c>
      <c r="E41" s="145">
        <f>INDEX(bcInMx,1)</f>
        <v>4.58E-2</v>
      </c>
      <c r="F41" s="17">
        <f t="array" ref="F41:AK41">$E$41</f>
        <v>4.58E-2</v>
      </c>
      <c r="G41" s="17">
        <v>4.58E-2</v>
      </c>
      <c r="H41" s="17">
        <v>4.58E-2</v>
      </c>
      <c r="I41" s="17">
        <v>4.58E-2</v>
      </c>
      <c r="J41" s="17">
        <v>4.58E-2</v>
      </c>
      <c r="K41" s="17">
        <v>4.58E-2</v>
      </c>
      <c r="L41" s="17">
        <v>4.58E-2</v>
      </c>
      <c r="M41" s="17">
        <v>4.58E-2</v>
      </c>
      <c r="N41" s="17">
        <v>4.58E-2</v>
      </c>
      <c r="O41" s="17">
        <v>4.58E-2</v>
      </c>
      <c r="P41" s="17">
        <v>4.58E-2</v>
      </c>
      <c r="Q41" s="17">
        <v>4.58E-2</v>
      </c>
      <c r="R41" s="17">
        <v>4.58E-2</v>
      </c>
      <c r="S41" s="17">
        <v>4.58E-2</v>
      </c>
      <c r="T41" s="17">
        <v>4.58E-2</v>
      </c>
      <c r="U41" s="17">
        <v>4.58E-2</v>
      </c>
      <c r="V41" s="17">
        <v>4.58E-2</v>
      </c>
      <c r="W41" s="17">
        <v>4.58E-2</v>
      </c>
      <c r="X41" s="17">
        <v>4.58E-2</v>
      </c>
      <c r="Y41" s="17">
        <v>4.58E-2</v>
      </c>
      <c r="Z41" s="17">
        <v>4.58E-2</v>
      </c>
      <c r="AA41" s="17">
        <v>4.58E-2</v>
      </c>
      <c r="AB41" s="17">
        <v>4.58E-2</v>
      </c>
      <c r="AC41" s="17">
        <v>4.58E-2</v>
      </c>
      <c r="AD41" s="17">
        <v>4.58E-2</v>
      </c>
      <c r="AE41" s="17">
        <v>4.58E-2</v>
      </c>
      <c r="AF41" s="17">
        <v>4.58E-2</v>
      </c>
      <c r="AG41" s="17">
        <v>4.58E-2</v>
      </c>
      <c r="AH41" s="17">
        <v>4.58E-2</v>
      </c>
      <c r="AI41" s="17">
        <v>4.58E-2</v>
      </c>
      <c r="AJ41" s="17">
        <v>4.58E-2</v>
      </c>
      <c r="AK41" s="18">
        <v>4.58E-2</v>
      </c>
      <c r="AL41" s="3"/>
    </row>
    <row r="42" spans="2:38">
      <c r="B42" s="3"/>
      <c r="C42" s="12" t="str">
        <f>"EL 1: " &amp; INDEX(_doName,5,2)</f>
        <v>EL 1: EL 1</v>
      </c>
      <c r="D42" s="16" t="s">
        <v>35</v>
      </c>
      <c r="E42" s="145">
        <f>INDEX(bcInMx,2)</f>
        <v>3.8899999999999997E-2</v>
      </c>
      <c r="F42" s="17">
        <f t="array" ref="F42:AK42">$E$42</f>
        <v>3.8899999999999997E-2</v>
      </c>
      <c r="G42" s="17">
        <v>3.8899999999999997E-2</v>
      </c>
      <c r="H42" s="17">
        <v>3.8899999999999997E-2</v>
      </c>
      <c r="I42" s="17">
        <v>3.8899999999999997E-2</v>
      </c>
      <c r="J42" s="17">
        <v>3.8899999999999997E-2</v>
      </c>
      <c r="K42" s="17">
        <v>3.8899999999999997E-2</v>
      </c>
      <c r="L42" s="17">
        <v>3.8899999999999997E-2</v>
      </c>
      <c r="M42" s="17">
        <v>3.8899999999999997E-2</v>
      </c>
      <c r="N42" s="17">
        <v>3.8899999999999997E-2</v>
      </c>
      <c r="O42" s="17">
        <v>3.8899999999999997E-2</v>
      </c>
      <c r="P42" s="17">
        <v>3.8899999999999997E-2</v>
      </c>
      <c r="Q42" s="17">
        <v>3.8899999999999997E-2</v>
      </c>
      <c r="R42" s="17">
        <v>3.8899999999999997E-2</v>
      </c>
      <c r="S42" s="17">
        <v>3.8899999999999997E-2</v>
      </c>
      <c r="T42" s="17">
        <v>3.8899999999999997E-2</v>
      </c>
      <c r="U42" s="17">
        <v>3.8899999999999997E-2</v>
      </c>
      <c r="V42" s="17">
        <v>3.8899999999999997E-2</v>
      </c>
      <c r="W42" s="17">
        <v>3.8899999999999997E-2</v>
      </c>
      <c r="X42" s="17">
        <v>3.8899999999999997E-2</v>
      </c>
      <c r="Y42" s="17">
        <v>3.8899999999999997E-2</v>
      </c>
      <c r="Z42" s="17">
        <v>3.8899999999999997E-2</v>
      </c>
      <c r="AA42" s="17">
        <v>3.8899999999999997E-2</v>
      </c>
      <c r="AB42" s="17">
        <v>3.8899999999999997E-2</v>
      </c>
      <c r="AC42" s="17">
        <v>3.8899999999999997E-2</v>
      </c>
      <c r="AD42" s="17">
        <v>3.8899999999999997E-2</v>
      </c>
      <c r="AE42" s="17">
        <v>3.8899999999999997E-2</v>
      </c>
      <c r="AF42" s="17">
        <v>3.8899999999999997E-2</v>
      </c>
      <c r="AG42" s="17">
        <v>3.8899999999999997E-2</v>
      </c>
      <c r="AH42" s="17">
        <v>3.8899999999999997E-2</v>
      </c>
      <c r="AI42" s="17">
        <v>3.8899999999999997E-2</v>
      </c>
      <c r="AJ42" s="17">
        <v>3.8899999999999997E-2</v>
      </c>
      <c r="AK42" s="18">
        <v>3.8899999999999997E-2</v>
      </c>
      <c r="AL42" s="3"/>
    </row>
    <row r="43" spans="2:38">
      <c r="B43" s="3"/>
      <c r="C43" s="12" t="str">
        <f>"EL 2: " &amp; INDEX(_doName,5,3)</f>
        <v>EL 2: EL 2</v>
      </c>
      <c r="D43" s="16" t="s">
        <v>35</v>
      </c>
      <c r="E43" s="145">
        <f>INDEX(bcInMx,3)</f>
        <v>1.4200000000000001E-2</v>
      </c>
      <c r="F43" s="17">
        <f t="array" ref="F43:AK43">$E$43</f>
        <v>1.4200000000000001E-2</v>
      </c>
      <c r="G43" s="17">
        <v>1.4200000000000001E-2</v>
      </c>
      <c r="H43" s="17">
        <v>1.4200000000000001E-2</v>
      </c>
      <c r="I43" s="17">
        <v>1.4200000000000001E-2</v>
      </c>
      <c r="J43" s="17">
        <v>1.4200000000000001E-2</v>
      </c>
      <c r="K43" s="17">
        <v>1.4200000000000001E-2</v>
      </c>
      <c r="L43" s="17">
        <v>1.4200000000000001E-2</v>
      </c>
      <c r="M43" s="17">
        <v>1.4200000000000001E-2</v>
      </c>
      <c r="N43" s="17">
        <v>1.4200000000000001E-2</v>
      </c>
      <c r="O43" s="17">
        <v>1.4200000000000001E-2</v>
      </c>
      <c r="P43" s="17">
        <v>1.4200000000000001E-2</v>
      </c>
      <c r="Q43" s="17">
        <v>1.4200000000000001E-2</v>
      </c>
      <c r="R43" s="17">
        <v>1.4200000000000001E-2</v>
      </c>
      <c r="S43" s="17">
        <v>1.4200000000000001E-2</v>
      </c>
      <c r="T43" s="17">
        <v>1.4200000000000001E-2</v>
      </c>
      <c r="U43" s="17">
        <v>1.4200000000000001E-2</v>
      </c>
      <c r="V43" s="17">
        <v>1.4200000000000001E-2</v>
      </c>
      <c r="W43" s="17">
        <v>1.4200000000000001E-2</v>
      </c>
      <c r="X43" s="17">
        <v>1.4200000000000001E-2</v>
      </c>
      <c r="Y43" s="17">
        <v>1.4200000000000001E-2</v>
      </c>
      <c r="Z43" s="17">
        <v>1.4200000000000001E-2</v>
      </c>
      <c r="AA43" s="17">
        <v>1.4200000000000001E-2</v>
      </c>
      <c r="AB43" s="17">
        <v>1.4200000000000001E-2</v>
      </c>
      <c r="AC43" s="17">
        <v>1.4200000000000001E-2</v>
      </c>
      <c r="AD43" s="17">
        <v>1.4200000000000001E-2</v>
      </c>
      <c r="AE43" s="17">
        <v>1.4200000000000001E-2</v>
      </c>
      <c r="AF43" s="17">
        <v>1.4200000000000001E-2</v>
      </c>
      <c r="AG43" s="17">
        <v>1.4200000000000001E-2</v>
      </c>
      <c r="AH43" s="17">
        <v>1.4200000000000001E-2</v>
      </c>
      <c r="AI43" s="17">
        <v>1.4200000000000001E-2</v>
      </c>
      <c r="AJ43" s="17">
        <v>1.4200000000000001E-2</v>
      </c>
      <c r="AK43" s="18">
        <v>1.4200000000000001E-2</v>
      </c>
      <c r="AL43" s="3"/>
    </row>
    <row r="44" spans="2:38">
      <c r="B44" s="3"/>
      <c r="C44" s="12" t="str">
        <f>"EL 3: " &amp; INDEX(_doName,5,4)</f>
        <v>EL 3: EL 3</v>
      </c>
      <c r="D44" s="16" t="s">
        <v>35</v>
      </c>
      <c r="E44" s="145">
        <f>INDEX(bcInMx,4)</f>
        <v>2.47E-2</v>
      </c>
      <c r="F44" s="17">
        <f t="array" ref="F44:AK44">$E$44</f>
        <v>2.47E-2</v>
      </c>
      <c r="G44" s="17">
        <v>2.47E-2</v>
      </c>
      <c r="H44" s="17">
        <v>2.47E-2</v>
      </c>
      <c r="I44" s="17">
        <v>2.47E-2</v>
      </c>
      <c r="J44" s="17">
        <v>2.47E-2</v>
      </c>
      <c r="K44" s="17">
        <v>2.47E-2</v>
      </c>
      <c r="L44" s="17">
        <v>2.47E-2</v>
      </c>
      <c r="M44" s="17">
        <v>2.47E-2</v>
      </c>
      <c r="N44" s="17">
        <v>2.47E-2</v>
      </c>
      <c r="O44" s="17">
        <v>2.47E-2</v>
      </c>
      <c r="P44" s="17">
        <v>2.47E-2</v>
      </c>
      <c r="Q44" s="17">
        <v>2.47E-2</v>
      </c>
      <c r="R44" s="17">
        <v>2.47E-2</v>
      </c>
      <c r="S44" s="17">
        <v>2.47E-2</v>
      </c>
      <c r="T44" s="17">
        <v>2.47E-2</v>
      </c>
      <c r="U44" s="17">
        <v>2.47E-2</v>
      </c>
      <c r="V44" s="17">
        <v>2.47E-2</v>
      </c>
      <c r="W44" s="17">
        <v>2.47E-2</v>
      </c>
      <c r="X44" s="17">
        <v>2.47E-2</v>
      </c>
      <c r="Y44" s="17">
        <v>2.47E-2</v>
      </c>
      <c r="Z44" s="17">
        <v>2.47E-2</v>
      </c>
      <c r="AA44" s="17">
        <v>2.47E-2</v>
      </c>
      <c r="AB44" s="17">
        <v>2.47E-2</v>
      </c>
      <c r="AC44" s="17">
        <v>2.47E-2</v>
      </c>
      <c r="AD44" s="17">
        <v>2.47E-2</v>
      </c>
      <c r="AE44" s="17">
        <v>2.47E-2</v>
      </c>
      <c r="AF44" s="17">
        <v>2.47E-2</v>
      </c>
      <c r="AG44" s="17">
        <v>2.47E-2</v>
      </c>
      <c r="AH44" s="17">
        <v>2.47E-2</v>
      </c>
      <c r="AI44" s="17">
        <v>2.47E-2</v>
      </c>
      <c r="AJ44" s="17">
        <v>2.47E-2</v>
      </c>
      <c r="AK44" s="18">
        <v>2.47E-2</v>
      </c>
      <c r="AL44" s="3"/>
    </row>
    <row r="45" spans="2:38">
      <c r="B45" s="3"/>
      <c r="C45" s="12" t="str">
        <f>"EL 4: " &amp; INDEX(_doName,5,5)</f>
        <v>EL 4: EL 4</v>
      </c>
      <c r="D45" s="16" t="s">
        <v>35</v>
      </c>
      <c r="E45" s="145">
        <f>INDEX(bcInMx,5)</f>
        <v>0.31080000000000002</v>
      </c>
      <c r="F45" s="17">
        <f t="array" ref="F45:AK45">$E$45</f>
        <v>0.31080000000000002</v>
      </c>
      <c r="G45" s="17">
        <v>0.31080000000000002</v>
      </c>
      <c r="H45" s="17">
        <v>0.31080000000000002</v>
      </c>
      <c r="I45" s="17">
        <v>0.31080000000000002</v>
      </c>
      <c r="J45" s="17">
        <v>0.31080000000000002</v>
      </c>
      <c r="K45" s="17">
        <v>0.31080000000000002</v>
      </c>
      <c r="L45" s="17">
        <v>0.31080000000000002</v>
      </c>
      <c r="M45" s="17">
        <v>0.31080000000000002</v>
      </c>
      <c r="N45" s="17">
        <v>0.31080000000000002</v>
      </c>
      <c r="O45" s="17">
        <v>0.31080000000000002</v>
      </c>
      <c r="P45" s="17">
        <v>0.31080000000000002</v>
      </c>
      <c r="Q45" s="17">
        <v>0.31080000000000002</v>
      </c>
      <c r="R45" s="17">
        <v>0.31080000000000002</v>
      </c>
      <c r="S45" s="17">
        <v>0.31080000000000002</v>
      </c>
      <c r="T45" s="17">
        <v>0.31080000000000002</v>
      </c>
      <c r="U45" s="17">
        <v>0.31080000000000002</v>
      </c>
      <c r="V45" s="17">
        <v>0.31080000000000002</v>
      </c>
      <c r="W45" s="17">
        <v>0.31080000000000002</v>
      </c>
      <c r="X45" s="17">
        <v>0.31080000000000002</v>
      </c>
      <c r="Y45" s="17">
        <v>0.31080000000000002</v>
      </c>
      <c r="Z45" s="17">
        <v>0.31080000000000002</v>
      </c>
      <c r="AA45" s="17">
        <v>0.31080000000000002</v>
      </c>
      <c r="AB45" s="17">
        <v>0.31080000000000002</v>
      </c>
      <c r="AC45" s="17">
        <v>0.31080000000000002</v>
      </c>
      <c r="AD45" s="17">
        <v>0.31080000000000002</v>
      </c>
      <c r="AE45" s="17">
        <v>0.31080000000000002</v>
      </c>
      <c r="AF45" s="17">
        <v>0.31080000000000002</v>
      </c>
      <c r="AG45" s="17">
        <v>0.31080000000000002</v>
      </c>
      <c r="AH45" s="17">
        <v>0.31080000000000002</v>
      </c>
      <c r="AI45" s="17">
        <v>0.31080000000000002</v>
      </c>
      <c r="AJ45" s="17">
        <v>0.31080000000000002</v>
      </c>
      <c r="AK45" s="18">
        <v>0.31080000000000002</v>
      </c>
      <c r="AL45" s="3"/>
    </row>
    <row r="46" spans="2:38">
      <c r="B46" s="3"/>
      <c r="C46" s="12" t="str">
        <f>"EL 5: " &amp; INDEX(_doName,5,6)</f>
        <v>EL 5: EL 5</v>
      </c>
      <c r="D46" s="16" t="s">
        <v>35</v>
      </c>
      <c r="E46" s="145">
        <f>INDEX(bcInMx,6)</f>
        <v>0.17749999999999999</v>
      </c>
      <c r="F46" s="17">
        <f t="array" ref="F46:AK46">$E$46</f>
        <v>0.17749999999999999</v>
      </c>
      <c r="G46" s="17">
        <v>0.17749999999999999</v>
      </c>
      <c r="H46" s="17">
        <v>0.17749999999999999</v>
      </c>
      <c r="I46" s="17">
        <v>0.17749999999999999</v>
      </c>
      <c r="J46" s="17">
        <v>0.17749999999999999</v>
      </c>
      <c r="K46" s="17">
        <v>0.17749999999999999</v>
      </c>
      <c r="L46" s="17">
        <v>0.17749999999999999</v>
      </c>
      <c r="M46" s="17">
        <v>0.17749999999999999</v>
      </c>
      <c r="N46" s="17">
        <v>0.17749999999999999</v>
      </c>
      <c r="O46" s="17">
        <v>0.17749999999999999</v>
      </c>
      <c r="P46" s="17">
        <v>0.17749999999999999</v>
      </c>
      <c r="Q46" s="17">
        <v>0.17749999999999999</v>
      </c>
      <c r="R46" s="17">
        <v>0.17749999999999999</v>
      </c>
      <c r="S46" s="17">
        <v>0.17749999999999999</v>
      </c>
      <c r="T46" s="17">
        <v>0.17749999999999999</v>
      </c>
      <c r="U46" s="17">
        <v>0.17749999999999999</v>
      </c>
      <c r="V46" s="17">
        <v>0.17749999999999999</v>
      </c>
      <c r="W46" s="17">
        <v>0.17749999999999999</v>
      </c>
      <c r="X46" s="17">
        <v>0.17749999999999999</v>
      </c>
      <c r="Y46" s="17">
        <v>0.17749999999999999</v>
      </c>
      <c r="Z46" s="17">
        <v>0.17749999999999999</v>
      </c>
      <c r="AA46" s="17">
        <v>0.17749999999999999</v>
      </c>
      <c r="AB46" s="17">
        <v>0.17749999999999999</v>
      </c>
      <c r="AC46" s="17">
        <v>0.17749999999999999</v>
      </c>
      <c r="AD46" s="17">
        <v>0.17749999999999999</v>
      </c>
      <c r="AE46" s="17">
        <v>0.17749999999999999</v>
      </c>
      <c r="AF46" s="17">
        <v>0.17749999999999999</v>
      </c>
      <c r="AG46" s="17">
        <v>0.17749999999999999</v>
      </c>
      <c r="AH46" s="17">
        <v>0.17749999999999999</v>
      </c>
      <c r="AI46" s="17">
        <v>0.17749999999999999</v>
      </c>
      <c r="AJ46" s="17">
        <v>0.17749999999999999</v>
      </c>
      <c r="AK46" s="18">
        <v>0.17749999999999999</v>
      </c>
      <c r="AL46" s="3"/>
    </row>
    <row r="47" spans="2:38">
      <c r="B47" s="3"/>
      <c r="C47" s="4" t="str">
        <f>"EL 6: " &amp; INDEX(_doName,5,7)</f>
        <v>EL 6: EL 6</v>
      </c>
      <c r="D47" s="5" t="s">
        <v>35</v>
      </c>
      <c r="E47" s="146">
        <f>INDEX(bcInMx,7)</f>
        <v>0.3881</v>
      </c>
      <c r="F47" s="19">
        <f t="array" ref="F47:AK47">$E$47</f>
        <v>0.3881</v>
      </c>
      <c r="G47" s="19">
        <v>0.3881</v>
      </c>
      <c r="H47" s="19">
        <v>0.3881</v>
      </c>
      <c r="I47" s="19">
        <v>0.3881</v>
      </c>
      <c r="J47" s="19">
        <v>0.3881</v>
      </c>
      <c r="K47" s="19">
        <v>0.3881</v>
      </c>
      <c r="L47" s="19">
        <v>0.3881</v>
      </c>
      <c r="M47" s="19">
        <v>0.3881</v>
      </c>
      <c r="N47" s="19">
        <v>0.3881</v>
      </c>
      <c r="O47" s="19">
        <v>0.3881</v>
      </c>
      <c r="P47" s="19">
        <v>0.3881</v>
      </c>
      <c r="Q47" s="19">
        <v>0.3881</v>
      </c>
      <c r="R47" s="19">
        <v>0.3881</v>
      </c>
      <c r="S47" s="19">
        <v>0.3881</v>
      </c>
      <c r="T47" s="19">
        <v>0.3881</v>
      </c>
      <c r="U47" s="19">
        <v>0.3881</v>
      </c>
      <c r="V47" s="19">
        <v>0.3881</v>
      </c>
      <c r="W47" s="19">
        <v>0.3881</v>
      </c>
      <c r="X47" s="19">
        <v>0.3881</v>
      </c>
      <c r="Y47" s="19">
        <v>0.3881</v>
      </c>
      <c r="Z47" s="19">
        <v>0.3881</v>
      </c>
      <c r="AA47" s="19">
        <v>0.3881</v>
      </c>
      <c r="AB47" s="19">
        <v>0.3881</v>
      </c>
      <c r="AC47" s="19">
        <v>0.3881</v>
      </c>
      <c r="AD47" s="19">
        <v>0.3881</v>
      </c>
      <c r="AE47" s="19">
        <v>0.3881</v>
      </c>
      <c r="AF47" s="19">
        <v>0.3881</v>
      </c>
      <c r="AG47" s="19">
        <v>0.3881</v>
      </c>
      <c r="AH47" s="19">
        <v>0.3881</v>
      </c>
      <c r="AI47" s="19">
        <v>0.3881</v>
      </c>
      <c r="AJ47" s="19">
        <v>0.3881</v>
      </c>
      <c r="AK47" s="20">
        <v>0.3881</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1055.4077819999998</v>
      </c>
      <c r="F50" s="28">
        <f ca="1"/>
        <v>1055.4077819999998</v>
      </c>
      <c r="G50" s="28">
        <f ca="1"/>
        <v>1055.4077819999998</v>
      </c>
      <c r="H50" s="28">
        <f ca="1"/>
        <v>1055.4077819999998</v>
      </c>
      <c r="I50" s="28">
        <f ca="1"/>
        <v>1055.4077819999998</v>
      </c>
      <c r="J50" s="28">
        <f ca="1"/>
        <v>1055.4077819999998</v>
      </c>
      <c r="K50" s="28">
        <f ca="1"/>
        <v>1055.4077819999998</v>
      </c>
      <c r="L50" s="28">
        <f ca="1"/>
        <v>1055.4077819999998</v>
      </c>
      <c r="M50" s="28">
        <f ca="1"/>
        <v>1055.4077819999998</v>
      </c>
      <c r="N50" s="28">
        <f ca="1"/>
        <v>1055.4077819999998</v>
      </c>
      <c r="O50" s="28">
        <f ca="1"/>
        <v>1055.4077819999998</v>
      </c>
      <c r="P50" s="28">
        <f ca="1"/>
        <v>1055.4077819999998</v>
      </c>
      <c r="Q50" s="28">
        <f ca="1"/>
        <v>1055.4077819999998</v>
      </c>
      <c r="R50" s="28">
        <f ca="1"/>
        <v>1055.4077819999998</v>
      </c>
      <c r="S50" s="28">
        <f ca="1"/>
        <v>1055.4077819999998</v>
      </c>
      <c r="T50" s="28">
        <f ca="1"/>
        <v>1055.4077819999998</v>
      </c>
      <c r="U50" s="28">
        <f ca="1"/>
        <v>1055.4077819999998</v>
      </c>
      <c r="V50" s="28">
        <f ca="1"/>
        <v>1055.4077819999998</v>
      </c>
      <c r="W50" s="28">
        <f ca="1"/>
        <v>1055.4077819999998</v>
      </c>
      <c r="X50" s="28">
        <f ca="1"/>
        <v>1055.4077819999998</v>
      </c>
      <c r="Y50" s="28">
        <f ca="1"/>
        <v>1055.4077819999998</v>
      </c>
      <c r="Z50" s="28">
        <f ca="1"/>
        <v>1055.4077819999998</v>
      </c>
      <c r="AA50" s="28">
        <f ca="1"/>
        <v>1055.4077819999998</v>
      </c>
      <c r="AB50" s="28">
        <f ca="1"/>
        <v>1055.4077819999998</v>
      </c>
      <c r="AC50" s="28">
        <f ca="1"/>
        <v>1055.4077819999998</v>
      </c>
      <c r="AD50" s="28">
        <f ca="1"/>
        <v>1055.4077819999998</v>
      </c>
      <c r="AE50" s="28">
        <f ca="1"/>
        <v>1055.4077819999998</v>
      </c>
      <c r="AF50" s="28">
        <f ca="1"/>
        <v>1055.4077819999998</v>
      </c>
      <c r="AG50" s="28">
        <f ca="1"/>
        <v>1055.4077819999998</v>
      </c>
      <c r="AH50" s="28">
        <f ca="1"/>
        <v>1055.4077819999998</v>
      </c>
      <c r="AI50" s="28">
        <f ca="1"/>
        <v>1055.4077819999998</v>
      </c>
      <c r="AJ50" s="28">
        <f ca="1"/>
        <v>1055.4077819999998</v>
      </c>
      <c r="AK50" s="29">
        <f ca="1"/>
        <v>1055.4077819999998</v>
      </c>
      <c r="AL50" s="3"/>
    </row>
    <row r="51" spans="2:38" hidden="1">
      <c r="B51" s="3"/>
      <c r="C51" s="12"/>
      <c r="D51" s="16"/>
      <c r="E51" s="141">
        <f t="array" aca="1" ref="E51:AK51" ca="1">tlccQubc1</f>
        <v>1413.5601219999999</v>
      </c>
      <c r="F51" s="28">
        <f ca="1"/>
        <v>1413.5601219999999</v>
      </c>
      <c r="G51" s="28">
        <f ca="1"/>
        <v>1413.5601219999999</v>
      </c>
      <c r="H51" s="28">
        <f ca="1"/>
        <v>1413.5601219999999</v>
      </c>
      <c r="I51" s="28">
        <f ca="1"/>
        <v>1413.5601219999999</v>
      </c>
      <c r="J51" s="28">
        <f ca="1"/>
        <v>1413.5601219999999</v>
      </c>
      <c r="K51" s="28">
        <f ca="1"/>
        <v>1413.5601219999999</v>
      </c>
      <c r="L51" s="28">
        <f ca="1"/>
        <v>1413.5601219999999</v>
      </c>
      <c r="M51" s="28">
        <f ca="1"/>
        <v>1413.5601219999999</v>
      </c>
      <c r="N51" s="28">
        <f ca="1"/>
        <v>1413.5601219999999</v>
      </c>
      <c r="O51" s="28">
        <f ca="1"/>
        <v>1413.5601219999999</v>
      </c>
      <c r="P51" s="28">
        <f ca="1"/>
        <v>1413.5601219999999</v>
      </c>
      <c r="Q51" s="28">
        <f ca="1"/>
        <v>1413.5601219999999</v>
      </c>
      <c r="R51" s="28">
        <f ca="1"/>
        <v>1413.5601219999999</v>
      </c>
      <c r="S51" s="28">
        <f ca="1"/>
        <v>1413.5601219999999</v>
      </c>
      <c r="T51" s="28">
        <f ca="1"/>
        <v>1413.5601219999999</v>
      </c>
      <c r="U51" s="28">
        <f ca="1"/>
        <v>1413.5601219999999</v>
      </c>
      <c r="V51" s="28">
        <f ca="1"/>
        <v>1413.5601219999999</v>
      </c>
      <c r="W51" s="28">
        <f ca="1"/>
        <v>1413.5601219999999</v>
      </c>
      <c r="X51" s="28">
        <f ca="1"/>
        <v>1413.5601219999999</v>
      </c>
      <c r="Y51" s="28">
        <f ca="1"/>
        <v>1413.5601219999999</v>
      </c>
      <c r="Z51" s="28">
        <f ca="1"/>
        <v>1413.5601219999999</v>
      </c>
      <c r="AA51" s="28">
        <f ca="1"/>
        <v>1413.5601219999999</v>
      </c>
      <c r="AB51" s="28">
        <f ca="1"/>
        <v>1413.5601219999999</v>
      </c>
      <c r="AC51" s="28">
        <f ca="1"/>
        <v>1413.5601219999999</v>
      </c>
      <c r="AD51" s="28">
        <f ca="1"/>
        <v>1413.5601219999999</v>
      </c>
      <c r="AE51" s="28">
        <f ca="1"/>
        <v>1413.5601219999999</v>
      </c>
      <c r="AF51" s="28">
        <f ca="1"/>
        <v>1413.5601219999999</v>
      </c>
      <c r="AG51" s="28">
        <f ca="1"/>
        <v>1413.5601219999999</v>
      </c>
      <c r="AH51" s="28">
        <f ca="1"/>
        <v>1413.5601219999999</v>
      </c>
      <c r="AI51" s="28">
        <f ca="1"/>
        <v>1413.5601219999999</v>
      </c>
      <c r="AJ51" s="28">
        <f ca="1"/>
        <v>1413.5601219999999</v>
      </c>
      <c r="AK51" s="29">
        <f ca="1"/>
        <v>1413.5601219999999</v>
      </c>
      <c r="AL51" s="3"/>
    </row>
    <row r="52" spans="2:38" hidden="1">
      <c r="B52" s="3"/>
      <c r="C52" s="12"/>
      <c r="D52" s="16"/>
      <c r="E52" s="141">
        <f t="array" aca="1" ref="E52:AK52" ca="1">tlccQubc2</f>
        <v>1559.4876179999999</v>
      </c>
      <c r="F52" s="28">
        <f ca="1"/>
        <v>1559.4876179999999</v>
      </c>
      <c r="G52" s="28">
        <f ca="1"/>
        <v>1559.4876179999999</v>
      </c>
      <c r="H52" s="28">
        <f ca="1"/>
        <v>1559.4876179999999</v>
      </c>
      <c r="I52" s="28">
        <f ca="1"/>
        <v>1559.4876179999999</v>
      </c>
      <c r="J52" s="28">
        <f ca="1"/>
        <v>1559.4876179999999</v>
      </c>
      <c r="K52" s="28">
        <f ca="1"/>
        <v>1559.4876179999999</v>
      </c>
      <c r="L52" s="28">
        <f ca="1"/>
        <v>1559.4876179999999</v>
      </c>
      <c r="M52" s="28">
        <f ca="1"/>
        <v>1559.4876179999999</v>
      </c>
      <c r="N52" s="28">
        <f ca="1"/>
        <v>1559.4876179999999</v>
      </c>
      <c r="O52" s="28">
        <f ca="1"/>
        <v>1559.4876179999999</v>
      </c>
      <c r="P52" s="28">
        <f ca="1"/>
        <v>1559.4876179999999</v>
      </c>
      <c r="Q52" s="28">
        <f ca="1"/>
        <v>1559.4876179999999</v>
      </c>
      <c r="R52" s="28">
        <f ca="1"/>
        <v>1559.4876179999999</v>
      </c>
      <c r="S52" s="28">
        <f ca="1"/>
        <v>1559.4876179999999</v>
      </c>
      <c r="T52" s="28">
        <f ca="1"/>
        <v>1559.4876179999999</v>
      </c>
      <c r="U52" s="28">
        <f ca="1"/>
        <v>1559.4876179999999</v>
      </c>
      <c r="V52" s="28">
        <f ca="1"/>
        <v>1559.4876179999999</v>
      </c>
      <c r="W52" s="28">
        <f ca="1"/>
        <v>1559.4876179999999</v>
      </c>
      <c r="X52" s="28">
        <f ca="1"/>
        <v>1559.4876179999999</v>
      </c>
      <c r="Y52" s="28">
        <f ca="1"/>
        <v>1559.4876179999999</v>
      </c>
      <c r="Z52" s="28">
        <f ca="1"/>
        <v>1559.4876179999999</v>
      </c>
      <c r="AA52" s="28">
        <f ca="1"/>
        <v>1559.4876179999999</v>
      </c>
      <c r="AB52" s="28">
        <f ca="1"/>
        <v>1559.4876179999999</v>
      </c>
      <c r="AC52" s="28">
        <f ca="1"/>
        <v>1559.4876179999999</v>
      </c>
      <c r="AD52" s="28">
        <f ca="1"/>
        <v>1559.4876179999999</v>
      </c>
      <c r="AE52" s="28">
        <f ca="1"/>
        <v>1559.4876179999999</v>
      </c>
      <c r="AF52" s="28">
        <f ca="1"/>
        <v>1559.4876179999999</v>
      </c>
      <c r="AG52" s="28">
        <f ca="1"/>
        <v>1559.4876179999999</v>
      </c>
      <c r="AH52" s="28">
        <f ca="1"/>
        <v>1559.4876179999999</v>
      </c>
      <c r="AI52" s="28">
        <f ca="1"/>
        <v>1559.4876179999999</v>
      </c>
      <c r="AJ52" s="28">
        <f ca="1"/>
        <v>1559.4876179999999</v>
      </c>
      <c r="AK52" s="29">
        <f ca="1"/>
        <v>1559.4876179999999</v>
      </c>
      <c r="AL52" s="3"/>
    </row>
    <row r="53" spans="2:38" hidden="1">
      <c r="B53" s="3"/>
      <c r="C53" s="12"/>
      <c r="D53" s="16"/>
      <c r="E53" s="141">
        <f t="array" aca="1" ref="E53:AK53" ca="1">tlccQubc3</f>
        <v>1657.1337119999998</v>
      </c>
      <c r="F53" s="28">
        <f ca="1"/>
        <v>1657.1337119999998</v>
      </c>
      <c r="G53" s="28">
        <f ca="1"/>
        <v>1657.1337119999998</v>
      </c>
      <c r="H53" s="28">
        <f ca="1"/>
        <v>1657.1337119999998</v>
      </c>
      <c r="I53" s="28">
        <f ca="1"/>
        <v>1657.1337119999998</v>
      </c>
      <c r="J53" s="28">
        <f ca="1"/>
        <v>1657.1337119999998</v>
      </c>
      <c r="K53" s="28">
        <f ca="1"/>
        <v>1657.1337119999998</v>
      </c>
      <c r="L53" s="28">
        <f ca="1"/>
        <v>1657.1337119999998</v>
      </c>
      <c r="M53" s="28">
        <f ca="1"/>
        <v>1657.1337119999998</v>
      </c>
      <c r="N53" s="28">
        <f ca="1"/>
        <v>1657.1337119999998</v>
      </c>
      <c r="O53" s="28">
        <f ca="1"/>
        <v>1657.1337119999998</v>
      </c>
      <c r="P53" s="28">
        <f ca="1"/>
        <v>1657.1337119999998</v>
      </c>
      <c r="Q53" s="28">
        <f ca="1"/>
        <v>1657.1337119999998</v>
      </c>
      <c r="R53" s="28">
        <f ca="1"/>
        <v>1657.1337119999998</v>
      </c>
      <c r="S53" s="28">
        <f ca="1"/>
        <v>1657.1337119999998</v>
      </c>
      <c r="T53" s="28">
        <f ca="1"/>
        <v>1657.1337119999998</v>
      </c>
      <c r="U53" s="28">
        <f ca="1"/>
        <v>1657.1337119999998</v>
      </c>
      <c r="V53" s="28">
        <f ca="1"/>
        <v>1657.1337119999998</v>
      </c>
      <c r="W53" s="28">
        <f ca="1"/>
        <v>1657.1337119999998</v>
      </c>
      <c r="X53" s="28">
        <f ca="1"/>
        <v>1657.1337119999998</v>
      </c>
      <c r="Y53" s="28">
        <f ca="1"/>
        <v>1657.1337119999998</v>
      </c>
      <c r="Z53" s="28">
        <f ca="1"/>
        <v>1657.1337119999998</v>
      </c>
      <c r="AA53" s="28">
        <f ca="1"/>
        <v>1657.1337119999998</v>
      </c>
      <c r="AB53" s="28">
        <f ca="1"/>
        <v>1657.1337119999998</v>
      </c>
      <c r="AC53" s="28">
        <f ca="1"/>
        <v>1657.1337119999998</v>
      </c>
      <c r="AD53" s="28">
        <f ca="1"/>
        <v>1657.1337119999998</v>
      </c>
      <c r="AE53" s="28">
        <f ca="1"/>
        <v>1657.1337119999998</v>
      </c>
      <c r="AF53" s="28">
        <f ca="1"/>
        <v>1657.1337119999998</v>
      </c>
      <c r="AG53" s="28">
        <f ca="1"/>
        <v>1657.1337119999998</v>
      </c>
      <c r="AH53" s="28">
        <f ca="1"/>
        <v>1657.1337119999998</v>
      </c>
      <c r="AI53" s="28">
        <f ca="1"/>
        <v>1657.1337119999998</v>
      </c>
      <c r="AJ53" s="28">
        <f ca="1"/>
        <v>1657.1337119999998</v>
      </c>
      <c r="AK53" s="29">
        <f ca="1"/>
        <v>1657.1337119999998</v>
      </c>
      <c r="AL53" s="3"/>
    </row>
    <row r="54" spans="2:38" hidden="1">
      <c r="B54" s="3"/>
      <c r="C54" s="12"/>
      <c r="D54" s="16"/>
      <c r="E54" s="141">
        <f t="array" aca="1" ref="E54:AK54" ca="1">tlccQubc4</f>
        <v>1763.1461380000001</v>
      </c>
      <c r="F54" s="28">
        <f ca="1"/>
        <v>1763.1461380000001</v>
      </c>
      <c r="G54" s="28">
        <f ca="1"/>
        <v>1763.1461380000001</v>
      </c>
      <c r="H54" s="28">
        <f ca="1"/>
        <v>1763.1461380000001</v>
      </c>
      <c r="I54" s="28">
        <f ca="1"/>
        <v>1763.1461380000001</v>
      </c>
      <c r="J54" s="28">
        <f ca="1"/>
        <v>1763.1461380000001</v>
      </c>
      <c r="K54" s="28">
        <f ca="1"/>
        <v>1763.1461380000001</v>
      </c>
      <c r="L54" s="28">
        <f ca="1"/>
        <v>1763.1461380000001</v>
      </c>
      <c r="M54" s="28">
        <f ca="1"/>
        <v>1763.1461380000001</v>
      </c>
      <c r="N54" s="28">
        <f ca="1"/>
        <v>1763.1461380000001</v>
      </c>
      <c r="O54" s="28">
        <f ca="1"/>
        <v>1763.1461380000001</v>
      </c>
      <c r="P54" s="28">
        <f ca="1"/>
        <v>1763.1461380000001</v>
      </c>
      <c r="Q54" s="28">
        <f ca="1"/>
        <v>1763.1461380000001</v>
      </c>
      <c r="R54" s="28">
        <f ca="1"/>
        <v>1763.1461380000001</v>
      </c>
      <c r="S54" s="28">
        <f ca="1"/>
        <v>1763.1461380000001</v>
      </c>
      <c r="T54" s="28">
        <f ca="1"/>
        <v>1763.1461380000001</v>
      </c>
      <c r="U54" s="28">
        <f ca="1"/>
        <v>1763.1461380000001</v>
      </c>
      <c r="V54" s="28">
        <f ca="1"/>
        <v>1763.1461380000001</v>
      </c>
      <c r="W54" s="28">
        <f ca="1"/>
        <v>1763.1461380000001</v>
      </c>
      <c r="X54" s="28">
        <f ca="1"/>
        <v>1763.1461380000001</v>
      </c>
      <c r="Y54" s="28">
        <f ca="1"/>
        <v>1763.1461380000001</v>
      </c>
      <c r="Z54" s="28">
        <f ca="1"/>
        <v>1763.1461380000001</v>
      </c>
      <c r="AA54" s="28">
        <f ca="1"/>
        <v>1763.1461380000001</v>
      </c>
      <c r="AB54" s="28">
        <f ca="1"/>
        <v>1763.1461380000001</v>
      </c>
      <c r="AC54" s="28">
        <f ca="1"/>
        <v>1763.1461380000001</v>
      </c>
      <c r="AD54" s="28">
        <f ca="1"/>
        <v>1763.1461380000001</v>
      </c>
      <c r="AE54" s="28">
        <f ca="1"/>
        <v>1763.1461380000001</v>
      </c>
      <c r="AF54" s="28">
        <f ca="1"/>
        <v>1763.1461380000001</v>
      </c>
      <c r="AG54" s="28">
        <f ca="1"/>
        <v>1763.1461380000001</v>
      </c>
      <c r="AH54" s="28">
        <f ca="1"/>
        <v>1763.1461380000001</v>
      </c>
      <c r="AI54" s="28">
        <f ca="1"/>
        <v>1763.1461380000001</v>
      </c>
      <c r="AJ54" s="28">
        <f ca="1"/>
        <v>1763.1461380000001</v>
      </c>
      <c r="AK54" s="29">
        <f ca="1"/>
        <v>1763.1461380000001</v>
      </c>
      <c r="AL54" s="3"/>
    </row>
    <row r="55" spans="2:38" hidden="1">
      <c r="B55" s="3"/>
      <c r="C55" s="12"/>
      <c r="D55" s="16"/>
      <c r="E55" s="141">
        <f t="array" aca="1" ref="E55:AK55" ca="1">tlccQubc5</f>
        <v>2469.3678879999998</v>
      </c>
      <c r="F55" s="28">
        <f ca="1"/>
        <v>2469.3678879999998</v>
      </c>
      <c r="G55" s="28">
        <f ca="1"/>
        <v>2469.3678879999998</v>
      </c>
      <c r="H55" s="28">
        <f ca="1"/>
        <v>2469.3678879999998</v>
      </c>
      <c r="I55" s="28">
        <f ca="1"/>
        <v>2469.3678879999998</v>
      </c>
      <c r="J55" s="28">
        <f ca="1"/>
        <v>2469.3678879999998</v>
      </c>
      <c r="K55" s="28">
        <f ca="1"/>
        <v>2469.3678879999998</v>
      </c>
      <c r="L55" s="28">
        <f ca="1"/>
        <v>2469.3678879999998</v>
      </c>
      <c r="M55" s="28">
        <f ca="1"/>
        <v>2469.3678879999998</v>
      </c>
      <c r="N55" s="28">
        <f ca="1"/>
        <v>2469.3678879999998</v>
      </c>
      <c r="O55" s="28">
        <f ca="1"/>
        <v>2469.3678879999998</v>
      </c>
      <c r="P55" s="28">
        <f ca="1"/>
        <v>2469.3678879999998</v>
      </c>
      <c r="Q55" s="28">
        <f ca="1"/>
        <v>2469.3678879999998</v>
      </c>
      <c r="R55" s="28">
        <f ca="1"/>
        <v>2469.3678879999998</v>
      </c>
      <c r="S55" s="28">
        <f ca="1"/>
        <v>2469.3678879999998</v>
      </c>
      <c r="T55" s="28">
        <f ca="1"/>
        <v>2469.3678879999998</v>
      </c>
      <c r="U55" s="28">
        <f ca="1"/>
        <v>2469.3678879999998</v>
      </c>
      <c r="V55" s="28">
        <f ca="1"/>
        <v>2469.3678879999998</v>
      </c>
      <c r="W55" s="28">
        <f ca="1"/>
        <v>2469.3678879999998</v>
      </c>
      <c r="X55" s="28">
        <f ca="1"/>
        <v>2469.3678879999998</v>
      </c>
      <c r="Y55" s="28">
        <f ca="1"/>
        <v>2469.3678879999998</v>
      </c>
      <c r="Z55" s="28">
        <f ca="1"/>
        <v>2469.3678879999998</v>
      </c>
      <c r="AA55" s="28">
        <f ca="1"/>
        <v>2469.3678879999998</v>
      </c>
      <c r="AB55" s="28">
        <f ca="1"/>
        <v>2469.3678879999998</v>
      </c>
      <c r="AC55" s="28">
        <f ca="1"/>
        <v>2469.3678879999998</v>
      </c>
      <c r="AD55" s="28">
        <f ca="1"/>
        <v>2469.3678879999998</v>
      </c>
      <c r="AE55" s="28">
        <f ca="1"/>
        <v>2469.3678879999998</v>
      </c>
      <c r="AF55" s="28">
        <f ca="1"/>
        <v>2469.3678879999998</v>
      </c>
      <c r="AG55" s="28">
        <f ca="1"/>
        <v>2469.3678879999998</v>
      </c>
      <c r="AH55" s="28">
        <f ca="1"/>
        <v>2469.3678879999998</v>
      </c>
      <c r="AI55" s="28">
        <f ca="1"/>
        <v>2469.3678879999998</v>
      </c>
      <c r="AJ55" s="28">
        <f ca="1"/>
        <v>2469.3678879999998</v>
      </c>
      <c r="AK55" s="29">
        <f ca="1"/>
        <v>2469.3678879999998</v>
      </c>
      <c r="AL55" s="3"/>
    </row>
    <row r="56" spans="2:38" hidden="1">
      <c r="B56" s="3"/>
      <c r="C56" s="4"/>
      <c r="D56" s="5"/>
      <c r="E56" s="147">
        <f t="array" aca="1" ref="E56:AK56" ca="1">tlccQubc6</f>
        <v>2713.0914720000001</v>
      </c>
      <c r="F56" s="35">
        <f ca="1"/>
        <v>2713.0914720000001</v>
      </c>
      <c r="G56" s="35">
        <f ca="1"/>
        <v>2713.0914720000001</v>
      </c>
      <c r="H56" s="35">
        <f ca="1"/>
        <v>2713.0914720000001</v>
      </c>
      <c r="I56" s="35">
        <f ca="1"/>
        <v>2713.0914720000001</v>
      </c>
      <c r="J56" s="35">
        <f ca="1"/>
        <v>2713.0914720000001</v>
      </c>
      <c r="K56" s="35">
        <f ca="1"/>
        <v>2713.0914720000001</v>
      </c>
      <c r="L56" s="35">
        <f ca="1"/>
        <v>2713.0914720000001</v>
      </c>
      <c r="M56" s="35">
        <f ca="1"/>
        <v>2713.0914720000001</v>
      </c>
      <c r="N56" s="35">
        <f ca="1"/>
        <v>2713.0914720000001</v>
      </c>
      <c r="O56" s="35">
        <f ca="1"/>
        <v>2713.0914720000001</v>
      </c>
      <c r="P56" s="35">
        <f ca="1"/>
        <v>2713.0914720000001</v>
      </c>
      <c r="Q56" s="35">
        <f ca="1"/>
        <v>2713.0914720000001</v>
      </c>
      <c r="R56" s="35">
        <f ca="1"/>
        <v>2713.0914720000001</v>
      </c>
      <c r="S56" s="35">
        <f ca="1"/>
        <v>2713.0914720000001</v>
      </c>
      <c r="T56" s="35">
        <f ca="1"/>
        <v>2713.0914720000001</v>
      </c>
      <c r="U56" s="35">
        <f ca="1"/>
        <v>2713.0914720000001</v>
      </c>
      <c r="V56" s="35">
        <f ca="1"/>
        <v>2713.0914720000001</v>
      </c>
      <c r="W56" s="35">
        <f ca="1"/>
        <v>2713.0914720000001</v>
      </c>
      <c r="X56" s="35">
        <f ca="1"/>
        <v>2713.0914720000001</v>
      </c>
      <c r="Y56" s="35">
        <f ca="1"/>
        <v>2713.0914720000001</v>
      </c>
      <c r="Z56" s="35">
        <f ca="1"/>
        <v>2713.0914720000001</v>
      </c>
      <c r="AA56" s="35">
        <f ca="1"/>
        <v>2713.0914720000001</v>
      </c>
      <c r="AB56" s="35">
        <f ca="1"/>
        <v>2713.0914720000001</v>
      </c>
      <c r="AC56" s="35">
        <f ca="1"/>
        <v>2713.0914720000001</v>
      </c>
      <c r="AD56" s="35">
        <f ca="1"/>
        <v>2713.0914720000001</v>
      </c>
      <c r="AE56" s="35">
        <f ca="1"/>
        <v>2713.0914720000001</v>
      </c>
      <c r="AF56" s="35">
        <f ca="1"/>
        <v>2713.0914720000001</v>
      </c>
      <c r="AG56" s="35">
        <f ca="1"/>
        <v>2713.0914720000001</v>
      </c>
      <c r="AH56" s="35">
        <f ca="1"/>
        <v>2713.0914720000001</v>
      </c>
      <c r="AI56" s="35">
        <f ca="1"/>
        <v>2713.0914720000001</v>
      </c>
      <c r="AJ56" s="35">
        <f ca="1"/>
        <v>2713.0914720000001</v>
      </c>
      <c r="AK56" s="36">
        <f ca="1"/>
        <v>2713.0914720000001</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10192.437215170778</v>
      </c>
      <c r="F59" s="28">
        <f ca="1"/>
        <v>10237.343699904701</v>
      </c>
      <c r="G59" s="28">
        <f ca="1"/>
        <v>10277.063444601834</v>
      </c>
      <c r="H59" s="28">
        <f ca="1"/>
        <v>10320.381073231963</v>
      </c>
      <c r="I59" s="28">
        <f ca="1"/>
        <v>10358.410733906643</v>
      </c>
      <c r="J59" s="28">
        <f ca="1"/>
        <v>10399.937286874752</v>
      </c>
      <c r="K59" s="28">
        <f ca="1"/>
        <v>10436.054592832921</v>
      </c>
      <c r="L59" s="28">
        <f ca="1"/>
        <v>10475.533212168521</v>
      </c>
      <c r="M59" s="28">
        <f ca="1"/>
        <v>10518.621585471765</v>
      </c>
      <c r="N59" s="28">
        <f ca="1"/>
        <v>10556.402407471094</v>
      </c>
      <c r="O59" s="28">
        <f ca="1"/>
        <v>10597.691823992851</v>
      </c>
      <c r="P59" s="28">
        <f ca="1"/>
        <v>10642.70442337653</v>
      </c>
      <c r="Q59" s="28">
        <f ca="1"/>
        <v>10682.577837282108</v>
      </c>
      <c r="R59" s="28">
        <f ca="1"/>
        <v>10726.101573334056</v>
      </c>
      <c r="S59" s="28">
        <f ca="1"/>
        <v>10764.366411304674</v>
      </c>
      <c r="T59" s="28">
        <f ca="1"/>
        <v>10806.198660170901</v>
      </c>
      <c r="U59" s="28">
        <f ca="1"/>
        <v>10851.822839080418</v>
      </c>
      <c r="V59" s="28">
        <f ca="1"/>
        <v>10892.375916194525</v>
      </c>
      <c r="W59" s="28">
        <f ca="1"/>
        <v>10936.626555884328</v>
      </c>
      <c r="X59" s="28">
        <f ca="1"/>
        <v>10975.713908418964</v>
      </c>
      <c r="Y59" s="28">
        <f ca="1"/>
        <v>11018.423549383515</v>
      </c>
      <c r="Z59" s="28">
        <f ca="1"/>
        <v>11065.023329004263</v>
      </c>
      <c r="AA59" s="28">
        <f ca="1"/>
        <v>11106.629253284769</v>
      </c>
      <c r="AB59" s="28">
        <f ca="1"/>
        <v>11152.027580314852</v>
      </c>
      <c r="AC59" s="28">
        <f ca="1"/>
        <v>11192.365441314925</v>
      </c>
      <c r="AD59" s="28">
        <f ca="1"/>
        <v>11236.403737757364</v>
      </c>
      <c r="AE59" s="28">
        <f ca="1"/>
        <v>11284.440505500619</v>
      </c>
      <c r="AF59" s="28">
        <f ca="1"/>
        <v>11327.592355222028</v>
      </c>
      <c r="AG59" s="28">
        <f ca="1"/>
        <v>11374.693791423717</v>
      </c>
      <c r="AH59" s="28">
        <f ca="1"/>
        <v>11416.859341113155</v>
      </c>
      <c r="AI59" s="28">
        <f ca="1"/>
        <v>11462.893065200382</v>
      </c>
      <c r="AJ59" s="28">
        <f ca="1"/>
        <v>11503.925674505563</v>
      </c>
      <c r="AK59" s="29">
        <f ca="1"/>
        <v>11548.768202040294</v>
      </c>
      <c r="AL59" s="3"/>
    </row>
    <row r="60" spans="2:38" hidden="1">
      <c r="B60" s="3"/>
      <c r="C60" s="12"/>
      <c r="D60" s="16"/>
      <c r="E60" s="141">
        <f t="array" aca="1" ref="E60:AK60" ca="1">tlccEubc1</f>
        <v>20614.496195099036</v>
      </c>
      <c r="F60" s="28">
        <f ca="1"/>
        <v>20705.320846665698</v>
      </c>
      <c r="G60" s="28">
        <f ca="1"/>
        <v>20785.65516795154</v>
      </c>
      <c r="H60" s="28">
        <f ca="1"/>
        <v>20873.266312540905</v>
      </c>
      <c r="I60" s="28">
        <f ca="1"/>
        <v>20950.182390484693</v>
      </c>
      <c r="J60" s="28">
        <f ca="1"/>
        <v>21034.171033248422</v>
      </c>
      <c r="K60" s="28">
        <f ca="1"/>
        <v>21107.219319005195</v>
      </c>
      <c r="L60" s="28">
        <f ca="1"/>
        <v>21187.065957341147</v>
      </c>
      <c r="M60" s="28">
        <f ca="1"/>
        <v>21274.213426465667</v>
      </c>
      <c r="N60" s="28">
        <f ca="1"/>
        <v>21350.626221061408</v>
      </c>
      <c r="O60" s="28">
        <f ca="1"/>
        <v>21434.135248570419</v>
      </c>
      <c r="P60" s="28">
        <f ca="1"/>
        <v>21525.17452005548</v>
      </c>
      <c r="Q60" s="28">
        <f ca="1"/>
        <v>21605.819641716735</v>
      </c>
      <c r="R60" s="28">
        <f ca="1"/>
        <v>21693.847644469988</v>
      </c>
      <c r="S60" s="28">
        <f ca="1"/>
        <v>21771.239375230642</v>
      </c>
      <c r="T60" s="28">
        <f ca="1"/>
        <v>21855.846296703923</v>
      </c>
      <c r="U60" s="28">
        <f ca="1"/>
        <v>21948.122505296578</v>
      </c>
      <c r="V60" s="28">
        <f ca="1"/>
        <v>22030.142265263716</v>
      </c>
      <c r="W60" s="28">
        <f ca="1"/>
        <v>22119.640451444189</v>
      </c>
      <c r="X60" s="28">
        <f ca="1"/>
        <v>22198.695741468666</v>
      </c>
      <c r="Y60" s="28">
        <f ca="1"/>
        <v>22285.077213590692</v>
      </c>
      <c r="Z60" s="28">
        <f ca="1"/>
        <v>22379.326602564586</v>
      </c>
      <c r="AA60" s="28">
        <f ca="1"/>
        <v>22463.475776080948</v>
      </c>
      <c r="AB60" s="28">
        <f ca="1"/>
        <v>22555.295192778685</v>
      </c>
      <c r="AC60" s="28">
        <f ca="1"/>
        <v>22636.879671991046</v>
      </c>
      <c r="AD60" s="28">
        <f ca="1"/>
        <v>22725.948387871893</v>
      </c>
      <c r="AE60" s="28">
        <f ca="1"/>
        <v>22823.104126481143</v>
      </c>
      <c r="AF60" s="28">
        <f ca="1"/>
        <v>22910.379978479461</v>
      </c>
      <c r="AG60" s="28">
        <f ca="1"/>
        <v>23005.64398225653</v>
      </c>
      <c r="AH60" s="28">
        <f ca="1"/>
        <v>23090.925014191002</v>
      </c>
      <c r="AI60" s="28">
        <f ca="1"/>
        <v>23184.029539635594</v>
      </c>
      <c r="AJ60" s="28">
        <f ca="1"/>
        <v>23267.019167193725</v>
      </c>
      <c r="AK60" s="29">
        <f ca="1"/>
        <v>23357.714463493146</v>
      </c>
      <c r="AL60" s="3"/>
    </row>
    <row r="61" spans="2:38" hidden="1">
      <c r="B61" s="3"/>
      <c r="C61" s="12"/>
      <c r="D61" s="16"/>
      <c r="E61" s="141">
        <f t="array" aca="1" ref="E61:AK61" ca="1">tlccEubc2</f>
        <v>12687.677868129103</v>
      </c>
      <c r="F61" s="28">
        <f ca="1"/>
        <v>12743.578041999799</v>
      </c>
      <c r="G61" s="28">
        <f ca="1"/>
        <v>12793.021694688823</v>
      </c>
      <c r="H61" s="28">
        <f ca="1"/>
        <v>12846.94403990104</v>
      </c>
      <c r="I61" s="28">
        <f ca="1"/>
        <v>12894.283854107251</v>
      </c>
      <c r="J61" s="28">
        <f ca="1"/>
        <v>12945.976645135581</v>
      </c>
      <c r="K61" s="28">
        <f ca="1"/>
        <v>12990.935935419924</v>
      </c>
      <c r="L61" s="28">
        <f ca="1"/>
        <v>13040.079432135615</v>
      </c>
      <c r="M61" s="28">
        <f ca="1"/>
        <v>13093.716397347378</v>
      </c>
      <c r="N61" s="28">
        <f ca="1"/>
        <v>13140.746453947295</v>
      </c>
      <c r="O61" s="28">
        <f ca="1"/>
        <v>13192.144054455573</v>
      </c>
      <c r="P61" s="28">
        <f ca="1"/>
        <v>13248.176321216779</v>
      </c>
      <c r="Q61" s="28">
        <f ca="1"/>
        <v>13297.811263326956</v>
      </c>
      <c r="R61" s="28">
        <f ca="1"/>
        <v>13351.990173727567</v>
      </c>
      <c r="S61" s="28">
        <f ca="1"/>
        <v>13399.622739678005</v>
      </c>
      <c r="T61" s="28">
        <f ca="1"/>
        <v>13451.696064919986</v>
      </c>
      <c r="U61" s="28">
        <f ca="1"/>
        <v>13508.489633796738</v>
      </c>
      <c r="V61" s="28">
        <f ca="1"/>
        <v>13558.970629472573</v>
      </c>
      <c r="W61" s="28">
        <f ca="1"/>
        <v>13614.054398937176</v>
      </c>
      <c r="X61" s="28">
        <f ca="1"/>
        <v>13662.710841670943</v>
      </c>
      <c r="Y61" s="28">
        <f ca="1"/>
        <v>13715.876355961782</v>
      </c>
      <c r="Z61" s="28">
        <f ca="1"/>
        <v>13773.88436524085</v>
      </c>
      <c r="AA61" s="28">
        <f ca="1"/>
        <v>13825.675958706952</v>
      </c>
      <c r="AB61" s="28">
        <f ca="1"/>
        <v>13882.188384238721</v>
      </c>
      <c r="AC61" s="28">
        <f ca="1"/>
        <v>13932.401476108096</v>
      </c>
      <c r="AD61" s="28">
        <f ca="1"/>
        <v>13987.220917947894</v>
      </c>
      <c r="AE61" s="28">
        <f ca="1"/>
        <v>14047.017708655167</v>
      </c>
      <c r="AF61" s="28">
        <f ca="1"/>
        <v>14100.733690134482</v>
      </c>
      <c r="AG61" s="28">
        <f ca="1"/>
        <v>14159.366168023458</v>
      </c>
      <c r="AH61" s="28">
        <f ca="1"/>
        <v>14211.854390447425</v>
      </c>
      <c r="AI61" s="28">
        <f ca="1"/>
        <v>14269.157766466235</v>
      </c>
      <c r="AJ61" s="28">
        <f ca="1"/>
        <v>14320.235690024889</v>
      </c>
      <c r="AK61" s="29">
        <f ca="1"/>
        <v>14376.05624914558</v>
      </c>
      <c r="AL61" s="3"/>
    </row>
    <row r="62" spans="2:38" hidden="1">
      <c r="B62" s="3"/>
      <c r="C62" s="12"/>
      <c r="D62" s="16"/>
      <c r="E62" s="141">
        <f t="array" aca="1" ref="E62:AK62" ca="1">tlccEubc3</f>
        <v>49337.56830108221</v>
      </c>
      <c r="F62" s="28">
        <f ca="1"/>
        <v>49554.942880974071</v>
      </c>
      <c r="G62" s="28">
        <f ca="1"/>
        <v>49747.210498181426</v>
      </c>
      <c r="H62" s="28">
        <f ca="1"/>
        <v>49956.894052375777</v>
      </c>
      <c r="I62" s="28">
        <f ca="1"/>
        <v>50140.980639459311</v>
      </c>
      <c r="J62" s="28">
        <f ca="1"/>
        <v>50341.994302837382</v>
      </c>
      <c r="K62" s="28">
        <f ca="1"/>
        <v>50516.823935038577</v>
      </c>
      <c r="L62" s="28">
        <f ca="1"/>
        <v>50707.924359479119</v>
      </c>
      <c r="M62" s="28">
        <f ca="1"/>
        <v>50916.498179062481</v>
      </c>
      <c r="N62" s="28">
        <f ca="1"/>
        <v>51099.380236269375</v>
      </c>
      <c r="O62" s="28">
        <f ca="1"/>
        <v>51299.246015645658</v>
      </c>
      <c r="P62" s="28">
        <f ca="1"/>
        <v>51517.134254701581</v>
      </c>
      <c r="Q62" s="28">
        <f ca="1"/>
        <v>51710.145723934438</v>
      </c>
      <c r="R62" s="28">
        <f ca="1"/>
        <v>51920.826962861771</v>
      </c>
      <c r="S62" s="28">
        <f ca="1"/>
        <v>52106.05195047272</v>
      </c>
      <c r="T62" s="28">
        <f ca="1"/>
        <v>52308.545367116298</v>
      </c>
      <c r="U62" s="28">
        <f ca="1"/>
        <v>52529.394021428205</v>
      </c>
      <c r="V62" s="28">
        <f ca="1"/>
        <v>52725.695472170381</v>
      </c>
      <c r="W62" s="28">
        <f ca="1"/>
        <v>52939.895364892072</v>
      </c>
      <c r="X62" s="28">
        <f ca="1"/>
        <v>53129.101821078599</v>
      </c>
      <c r="Y62" s="28">
        <f ca="1"/>
        <v>53335.842346795733</v>
      </c>
      <c r="Z62" s="28">
        <f ca="1"/>
        <v>53561.413499339338</v>
      </c>
      <c r="AA62" s="28">
        <f ca="1"/>
        <v>53762.8113679339</v>
      </c>
      <c r="AB62" s="28">
        <f ca="1"/>
        <v>53982.566762381372</v>
      </c>
      <c r="AC62" s="28">
        <f ca="1"/>
        <v>54177.826436804273</v>
      </c>
      <c r="AD62" s="28">
        <f ca="1"/>
        <v>54390.998459621187</v>
      </c>
      <c r="AE62" s="28">
        <f ca="1"/>
        <v>54623.525504866906</v>
      </c>
      <c r="AF62" s="28">
        <f ca="1"/>
        <v>54832.406588753234</v>
      </c>
      <c r="AG62" s="28">
        <f ca="1"/>
        <v>55060.406062934067</v>
      </c>
      <c r="AH62" s="28">
        <f ca="1"/>
        <v>55264.512857397218</v>
      </c>
      <c r="AI62" s="28">
        <f ca="1"/>
        <v>55487.343958375292</v>
      </c>
      <c r="AJ62" s="28">
        <f ca="1"/>
        <v>55685.966635309982</v>
      </c>
      <c r="AK62" s="29">
        <f ca="1"/>
        <v>55903.03162362751</v>
      </c>
      <c r="AL62" s="3"/>
    </row>
    <row r="63" spans="2:38" hidden="1">
      <c r="B63" s="3"/>
      <c r="C63" s="12"/>
      <c r="D63" s="16"/>
      <c r="E63" s="141">
        <f t="array" aca="1" ref="E63:AK63" ca="1">tlccEubc4</f>
        <v>21728.955915898827</v>
      </c>
      <c r="F63" s="28">
        <f ca="1"/>
        <v>21824.690724612588</v>
      </c>
      <c r="G63" s="28">
        <f ca="1"/>
        <v>21909.36807540659</v>
      </c>
      <c r="H63" s="28">
        <f ca="1"/>
        <v>22001.715648711659</v>
      </c>
      <c r="I63" s="28">
        <f ca="1"/>
        <v>22082.789959286449</v>
      </c>
      <c r="J63" s="28">
        <f ca="1"/>
        <v>22171.319191278202</v>
      </c>
      <c r="K63" s="28">
        <f ca="1"/>
        <v>22248.316609304758</v>
      </c>
      <c r="L63" s="28">
        <f ca="1"/>
        <v>22332.479912060953</v>
      </c>
      <c r="M63" s="28">
        <f ca="1"/>
        <v>22424.33874270456</v>
      </c>
      <c r="N63" s="28">
        <f ca="1"/>
        <v>22504.882561455575</v>
      </c>
      <c r="O63" s="28">
        <f ca="1"/>
        <v>22592.90624926001</v>
      </c>
      <c r="P63" s="28">
        <f ca="1"/>
        <v>22688.867280662012</v>
      </c>
      <c r="Q63" s="28">
        <f ca="1"/>
        <v>22773.872234303639</v>
      </c>
      <c r="R63" s="28">
        <f ca="1"/>
        <v>22866.659201934926</v>
      </c>
      <c r="S63" s="28">
        <f ca="1"/>
        <v>22948.234880042124</v>
      </c>
      <c r="T63" s="28">
        <f ca="1"/>
        <v>23037.41581609186</v>
      </c>
      <c r="U63" s="28">
        <f ca="1"/>
        <v>23134.680655825021</v>
      </c>
      <c r="V63" s="28">
        <f ca="1"/>
        <v>23221.134563390417</v>
      </c>
      <c r="W63" s="28">
        <f ca="1"/>
        <v>23315.471195421746</v>
      </c>
      <c r="X63" s="28">
        <f ca="1"/>
        <v>23398.800368039076</v>
      </c>
      <c r="Y63" s="28">
        <f ca="1"/>
        <v>23489.851790393805</v>
      </c>
      <c r="Z63" s="28">
        <f ca="1"/>
        <v>23589.196484473749</v>
      </c>
      <c r="AA63" s="28">
        <f ca="1"/>
        <v>23677.894925822588</v>
      </c>
      <c r="AB63" s="28">
        <f ca="1"/>
        <v>23774.678278603384</v>
      </c>
      <c r="AC63" s="28">
        <f ca="1"/>
        <v>23860.673373290585</v>
      </c>
      <c r="AD63" s="28">
        <f ca="1"/>
        <v>23954.557317023377</v>
      </c>
      <c r="AE63" s="28">
        <f ca="1"/>
        <v>24056.965483647338</v>
      </c>
      <c r="AF63" s="28">
        <f ca="1"/>
        <v>24148.959637792377</v>
      </c>
      <c r="AG63" s="28">
        <f ca="1"/>
        <v>24249.373798723278</v>
      </c>
      <c r="AH63" s="28">
        <f ca="1"/>
        <v>24339.265288955638</v>
      </c>
      <c r="AI63" s="28">
        <f ca="1"/>
        <v>24437.40322595926</v>
      </c>
      <c r="AJ63" s="28">
        <f ca="1"/>
        <v>24524.879434042195</v>
      </c>
      <c r="AK63" s="29">
        <f ca="1"/>
        <v>24620.477894291649</v>
      </c>
      <c r="AL63" s="3"/>
    </row>
    <row r="64" spans="2:38" hidden="1">
      <c r="B64" s="3"/>
      <c r="C64" s="12"/>
      <c r="D64" s="16"/>
      <c r="E64" s="141">
        <f t="array" aca="1" ref="E64:AK64" ca="1">tlccEubc5</f>
        <v>31939.409223037495</v>
      </c>
      <c r="F64" s="28">
        <f ca="1"/>
        <v>32080.129892923022</v>
      </c>
      <c r="G64" s="28">
        <f ca="1"/>
        <v>32204.597196800853</v>
      </c>
      <c r="H64" s="28">
        <f ca="1"/>
        <v>32340.338966721185</v>
      </c>
      <c r="I64" s="28">
        <f ca="1"/>
        <v>32459.510158974801</v>
      </c>
      <c r="J64" s="28">
        <f ca="1"/>
        <v>32589.639346025018</v>
      </c>
      <c r="K64" s="28">
        <f ca="1"/>
        <v>32702.81791074697</v>
      </c>
      <c r="L64" s="28">
        <f ca="1"/>
        <v>32826.529615013686</v>
      </c>
      <c r="M64" s="28">
        <f ca="1"/>
        <v>32961.552981715307</v>
      </c>
      <c r="N64" s="28">
        <f ca="1"/>
        <v>33079.944403624009</v>
      </c>
      <c r="O64" s="28">
        <f ca="1"/>
        <v>33209.330490879554</v>
      </c>
      <c r="P64" s="28">
        <f ca="1"/>
        <v>33350.383685670677</v>
      </c>
      <c r="Q64" s="28">
        <f ca="1"/>
        <v>33475.33253322939</v>
      </c>
      <c r="R64" s="28">
        <f ca="1"/>
        <v>33611.720169212029</v>
      </c>
      <c r="S64" s="28">
        <f ca="1"/>
        <v>33731.628321991979</v>
      </c>
      <c r="T64" s="28">
        <f ca="1"/>
        <v>33862.715449344563</v>
      </c>
      <c r="U64" s="28">
        <f ca="1"/>
        <v>34005.685113017083</v>
      </c>
      <c r="V64" s="28">
        <f ca="1"/>
        <v>34132.763779076762</v>
      </c>
      <c r="W64" s="28">
        <f ca="1"/>
        <v>34271.429267967877</v>
      </c>
      <c r="X64" s="28">
        <f ca="1"/>
        <v>34393.914883693877</v>
      </c>
      <c r="Y64" s="28">
        <f ca="1"/>
        <v>34527.751440322885</v>
      </c>
      <c r="Z64" s="28">
        <f ca="1"/>
        <v>34673.778283519445</v>
      </c>
      <c r="AA64" s="28">
        <f ca="1"/>
        <v>34804.156191535403</v>
      </c>
      <c r="AB64" s="28">
        <f ca="1"/>
        <v>34946.418117161666</v>
      </c>
      <c r="AC64" s="28">
        <f ca="1"/>
        <v>35072.822373814364</v>
      </c>
      <c r="AD64" s="28">
        <f ca="1"/>
        <v>35210.822455822927</v>
      </c>
      <c r="AE64" s="28">
        <f ca="1"/>
        <v>35361.35229969777</v>
      </c>
      <c r="AF64" s="28">
        <f ca="1"/>
        <v>35496.574578519547</v>
      </c>
      <c r="AG64" s="28">
        <f ca="1"/>
        <v>35644.173431873256</v>
      </c>
      <c r="AH64" s="28">
        <f ca="1"/>
        <v>35776.305003372217</v>
      </c>
      <c r="AI64" s="28">
        <f ca="1"/>
        <v>35920.558033402536</v>
      </c>
      <c r="AJ64" s="28">
        <f ca="1"/>
        <v>36049.139379789085</v>
      </c>
      <c r="AK64" s="29">
        <f ca="1"/>
        <v>36189.659630960756</v>
      </c>
      <c r="AL64" s="3"/>
    </row>
    <row r="65" spans="2:38" hidden="1">
      <c r="B65" s="3"/>
      <c r="C65" s="4"/>
      <c r="D65" s="5"/>
      <c r="E65" s="147">
        <f t="array" aca="1" ref="E65:AK65" ca="1">tlccEubc6</f>
        <v>32913.576968420624</v>
      </c>
      <c r="F65" s="35">
        <f ca="1"/>
        <v>33058.589688192049</v>
      </c>
      <c r="G65" s="35">
        <f ca="1"/>
        <v>33186.853306270488</v>
      </c>
      <c r="H65" s="35">
        <f ca="1"/>
        <v>33326.735267170377</v>
      </c>
      <c r="I65" s="35">
        <f ca="1"/>
        <v>33449.541239606086</v>
      </c>
      <c r="J65" s="35">
        <f ca="1"/>
        <v>33583.639431088166</v>
      </c>
      <c r="K65" s="35">
        <f ca="1"/>
        <v>33700.269997894757</v>
      </c>
      <c r="L65" s="35">
        <f ca="1"/>
        <v>33827.754970201015</v>
      </c>
      <c r="M65" s="35">
        <f ca="1"/>
        <v>33966.89661622946</v>
      </c>
      <c r="N65" s="35">
        <f ca="1"/>
        <v>34088.899034939903</v>
      </c>
      <c r="O65" s="35">
        <f ca="1"/>
        <v>34222.231461716816</v>
      </c>
      <c r="P65" s="35">
        <f ca="1"/>
        <v>34367.586848567582</v>
      </c>
      <c r="Q65" s="35">
        <f ca="1"/>
        <v>34496.346697646819</v>
      </c>
      <c r="R65" s="35">
        <f ca="1"/>
        <v>34636.894223842719</v>
      </c>
      <c r="S65" s="35">
        <f ca="1"/>
        <v>34760.459634464583</v>
      </c>
      <c r="T65" s="35">
        <f ca="1"/>
        <v>34895.544983901033</v>
      </c>
      <c r="U65" s="35">
        <f ca="1"/>
        <v>35042.875292879922</v>
      </c>
      <c r="V65" s="35">
        <f ca="1"/>
        <v>35173.82992097563</v>
      </c>
      <c r="W65" s="35">
        <f ca="1"/>
        <v>35316.724775717987</v>
      </c>
      <c r="X65" s="35">
        <f ca="1"/>
        <v>35442.946263177895</v>
      </c>
      <c r="Y65" s="35">
        <f ca="1"/>
        <v>35580.864900840716</v>
      </c>
      <c r="Z65" s="35">
        <f ca="1"/>
        <v>35731.345634828074</v>
      </c>
      <c r="AA65" s="35">
        <f ca="1"/>
        <v>35865.700133388113</v>
      </c>
      <c r="AB65" s="35">
        <f ca="1"/>
        <v>36012.301117961062</v>
      </c>
      <c r="AC65" s="35">
        <f ca="1"/>
        <v>36142.560766830029</v>
      </c>
      <c r="AD65" s="35">
        <f ca="1"/>
        <v>36284.76991945145</v>
      </c>
      <c r="AE65" s="35">
        <f ca="1"/>
        <v>36439.890997860297</v>
      </c>
      <c r="AF65" s="35">
        <f ca="1"/>
        <v>36579.237622926703</v>
      </c>
      <c r="AG65" s="35">
        <f ca="1"/>
        <v>36731.338314156863</v>
      </c>
      <c r="AH65" s="35">
        <f ca="1"/>
        <v>36867.499963801696</v>
      </c>
      <c r="AI65" s="35">
        <f ca="1"/>
        <v>37016.152782445788</v>
      </c>
      <c r="AJ65" s="35">
        <f ca="1"/>
        <v>37148.655923360013</v>
      </c>
      <c r="AK65" s="36">
        <f ca="1"/>
        <v>37293.46211154788</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2167.7554229512411</v>
      </c>
      <c r="F68" s="28">
        <f ca="1"/>
        <v>2151.5412246032083</v>
      </c>
      <c r="G68" s="28">
        <f ca="1"/>
        <v>2135.1987782426313</v>
      </c>
      <c r="H68" s="28">
        <f ca="1"/>
        <v>2120.8429452626597</v>
      </c>
      <c r="I68" s="28">
        <f ca="1"/>
        <v>2107.2266861866428</v>
      </c>
      <c r="J68" s="28">
        <f ca="1"/>
        <v>2095.3657701230277</v>
      </c>
      <c r="K68" s="28">
        <f ca="1"/>
        <v>2086.1636206056041</v>
      </c>
      <c r="L68" s="28">
        <f ca="1"/>
        <v>2078.5338530470676</v>
      </c>
      <c r="M68" s="28">
        <f ca="1"/>
        <v>2070.8697759846159</v>
      </c>
      <c r="N68" s="28">
        <f ca="1"/>
        <v>2064.7397154264213</v>
      </c>
      <c r="O68" s="28">
        <f ca="1"/>
        <v>2060.5172700684675</v>
      </c>
      <c r="P68" s="28">
        <f ca="1"/>
        <v>2057.427524655775</v>
      </c>
      <c r="Q68" s="28">
        <f ca="1"/>
        <v>2054.8281038541545</v>
      </c>
      <c r="R68" s="28">
        <f ca="1"/>
        <v>2052.9111832315239</v>
      </c>
      <c r="S68" s="28">
        <f ca="1"/>
        <v>2051.450515896765</v>
      </c>
      <c r="T68" s="28">
        <f ca="1"/>
        <v>2051.2674601690005</v>
      </c>
      <c r="U68" s="28">
        <f ca="1"/>
        <v>2051.6424645880475</v>
      </c>
      <c r="V68" s="28">
        <f ca="1"/>
        <v>2052.1933656556712</v>
      </c>
      <c r="W68" s="28">
        <f ca="1"/>
        <v>2052.9812305088008</v>
      </c>
      <c r="X68" s="28">
        <f ca="1"/>
        <v>2053.7257543317455</v>
      </c>
      <c r="Y68" s="28">
        <f ca="1"/>
        <v>2054.342632126079</v>
      </c>
      <c r="Z68" s="28">
        <f ca="1"/>
        <v>2054.7560274670536</v>
      </c>
      <c r="AA68" s="28">
        <f ca="1"/>
        <v>2055.0284825150811</v>
      </c>
      <c r="AB68" s="28">
        <f ca="1"/>
        <v>2055.0284825150811</v>
      </c>
      <c r="AC68" s="28">
        <f ca="1"/>
        <v>2055.0284825150811</v>
      </c>
      <c r="AD68" s="28">
        <f ca="1"/>
        <v>2055.0284825150811</v>
      </c>
      <c r="AE68" s="28">
        <f ca="1"/>
        <v>2055.0284825150811</v>
      </c>
      <c r="AF68" s="28">
        <f ca="1"/>
        <v>2055.0284825150811</v>
      </c>
      <c r="AG68" s="28">
        <f ca="1"/>
        <v>2055.0284825150811</v>
      </c>
      <c r="AH68" s="28">
        <f ca="1"/>
        <v>2055.0284825150811</v>
      </c>
      <c r="AI68" s="28">
        <f ca="1"/>
        <v>2055.0284825150811</v>
      </c>
      <c r="AJ68" s="28">
        <f ca="1"/>
        <v>2055.0284825150811</v>
      </c>
      <c r="AK68" s="29">
        <f ca="1"/>
        <v>2055.0284825150811</v>
      </c>
      <c r="AL68" s="3"/>
    </row>
    <row r="69" spans="2:38" hidden="1">
      <c r="B69" s="3"/>
      <c r="C69" s="12"/>
      <c r="D69" s="16"/>
      <c r="E69" s="141">
        <f t="array" aca="1" ref="E69:AK69" ca="1">tlccFubcElec1</f>
        <v>4384.3474308401665</v>
      </c>
      <c r="F69" s="28">
        <f ca="1"/>
        <v>4351.553750281154</v>
      </c>
      <c r="G69" s="28">
        <f ca="1"/>
        <v>4318.5006844435447</v>
      </c>
      <c r="H69" s="28">
        <f ca="1"/>
        <v>4289.465601067941</v>
      </c>
      <c r="I69" s="28">
        <f ca="1"/>
        <v>4261.9263270956426</v>
      </c>
      <c r="J69" s="28">
        <f ca="1"/>
        <v>4237.9372846417082</v>
      </c>
      <c r="K69" s="28">
        <f ca="1"/>
        <v>4219.3256736787007</v>
      </c>
      <c r="L69" s="28">
        <f ca="1"/>
        <v>4203.8942502630289</v>
      </c>
      <c r="M69" s="28">
        <f ca="1"/>
        <v>4188.3934348930106</v>
      </c>
      <c r="N69" s="28">
        <f ca="1"/>
        <v>4175.9952118394958</v>
      </c>
      <c r="O69" s="28">
        <f ca="1"/>
        <v>4167.4551951655649</v>
      </c>
      <c r="P69" s="28">
        <f ca="1"/>
        <v>4161.2060965732326</v>
      </c>
      <c r="Q69" s="28">
        <f ca="1"/>
        <v>4155.9486935504574</v>
      </c>
      <c r="R69" s="28">
        <f ca="1"/>
        <v>4152.0716666875687</v>
      </c>
      <c r="S69" s="28">
        <f ca="1"/>
        <v>4149.117425167211</v>
      </c>
      <c r="T69" s="28">
        <f ca="1"/>
        <v>4148.7471897148034</v>
      </c>
      <c r="U69" s="28">
        <f ca="1"/>
        <v>4149.5056468930416</v>
      </c>
      <c r="V69" s="28">
        <f ca="1"/>
        <v>4150.619860080983</v>
      </c>
      <c r="W69" s="28">
        <f ca="1"/>
        <v>4152.2133393121248</v>
      </c>
      <c r="X69" s="28">
        <f ca="1"/>
        <v>4153.7191600683636</v>
      </c>
      <c r="Y69" s="28">
        <f ca="1"/>
        <v>4154.9668130757518</v>
      </c>
      <c r="Z69" s="28">
        <f ca="1"/>
        <v>4155.8029169931651</v>
      </c>
      <c r="AA69" s="28">
        <f ca="1"/>
        <v>4156.3539651313413</v>
      </c>
      <c r="AB69" s="28">
        <f ca="1"/>
        <v>4156.3539651313413</v>
      </c>
      <c r="AC69" s="28">
        <f ca="1"/>
        <v>4156.3539651313413</v>
      </c>
      <c r="AD69" s="28">
        <f ca="1"/>
        <v>4156.3539651313413</v>
      </c>
      <c r="AE69" s="28">
        <f ca="1"/>
        <v>4156.3539651313413</v>
      </c>
      <c r="AF69" s="28">
        <f ca="1"/>
        <v>4156.3539651313413</v>
      </c>
      <c r="AG69" s="28">
        <f ca="1"/>
        <v>4156.3539651313413</v>
      </c>
      <c r="AH69" s="28">
        <f ca="1"/>
        <v>4156.3539651313413</v>
      </c>
      <c r="AI69" s="28">
        <f ca="1"/>
        <v>4156.3539651313413</v>
      </c>
      <c r="AJ69" s="28">
        <f ca="1"/>
        <v>4156.3539651313413</v>
      </c>
      <c r="AK69" s="29">
        <f ca="1"/>
        <v>4156.3539651313413</v>
      </c>
      <c r="AL69" s="3"/>
    </row>
    <row r="70" spans="2:38" hidden="1">
      <c r="B70" s="3"/>
      <c r="C70" s="12"/>
      <c r="D70" s="16"/>
      <c r="E70" s="141">
        <f t="array" aca="1" ref="E70:AK70" ca="1">tlccFubcElec2</f>
        <v>2698.4500294353302</v>
      </c>
      <c r="F70" s="28">
        <f ca="1"/>
        <v>2678.2663853091153</v>
      </c>
      <c r="G70" s="28">
        <f ca="1"/>
        <v>2657.9230963956888</v>
      </c>
      <c r="H70" s="28">
        <f ca="1"/>
        <v>2640.0527695510523</v>
      </c>
      <c r="I70" s="28">
        <f ca="1"/>
        <v>2623.1030738817631</v>
      </c>
      <c r="J70" s="28">
        <f ca="1"/>
        <v>2608.3384519312749</v>
      </c>
      <c r="K70" s="28">
        <f ca="1"/>
        <v>2596.883497016503</v>
      </c>
      <c r="L70" s="28">
        <f ca="1"/>
        <v>2587.3858635312235</v>
      </c>
      <c r="M70" s="28">
        <f ca="1"/>
        <v>2577.8455211310588</v>
      </c>
      <c r="N70" s="28">
        <f ca="1"/>
        <v>2570.2147423455162</v>
      </c>
      <c r="O70" s="28">
        <f ca="1"/>
        <v>2564.9585876705819</v>
      </c>
      <c r="P70" s="28">
        <f ca="1"/>
        <v>2561.1124325593769</v>
      </c>
      <c r="Q70" s="28">
        <f ca="1"/>
        <v>2557.8766398752105</v>
      </c>
      <c r="R70" s="28">
        <f ca="1"/>
        <v>2555.4904322542784</v>
      </c>
      <c r="S70" s="28">
        <f ca="1"/>
        <v>2553.6721746359394</v>
      </c>
      <c r="T70" s="28">
        <f ca="1"/>
        <v>2553.4443044948966</v>
      </c>
      <c r="U70" s="28">
        <f ca="1"/>
        <v>2553.9111148531601</v>
      </c>
      <c r="V70" s="28">
        <f ca="1"/>
        <v>2554.5968836379625</v>
      </c>
      <c r="W70" s="28">
        <f ca="1"/>
        <v>2555.577628012355</v>
      </c>
      <c r="X70" s="28">
        <f ca="1"/>
        <v>2556.5044209109774</v>
      </c>
      <c r="Y70" s="28">
        <f ca="1"/>
        <v>2557.2723183797843</v>
      </c>
      <c r="Z70" s="28">
        <f ca="1"/>
        <v>2557.7869182549412</v>
      </c>
      <c r="AA70" s="28">
        <f ca="1"/>
        <v>2558.1260738278374</v>
      </c>
      <c r="AB70" s="28">
        <f ca="1"/>
        <v>2558.1260738278374</v>
      </c>
      <c r="AC70" s="28">
        <f ca="1"/>
        <v>2558.1260738278374</v>
      </c>
      <c r="AD70" s="28">
        <f ca="1"/>
        <v>2558.1260738278374</v>
      </c>
      <c r="AE70" s="28">
        <f ca="1"/>
        <v>2558.1260738278374</v>
      </c>
      <c r="AF70" s="28">
        <f ca="1"/>
        <v>2558.1260738278374</v>
      </c>
      <c r="AG70" s="28">
        <f ca="1"/>
        <v>2558.1260738278374</v>
      </c>
      <c r="AH70" s="28">
        <f ca="1"/>
        <v>2558.1260738278374</v>
      </c>
      <c r="AI70" s="28">
        <f ca="1"/>
        <v>2558.1260738278374</v>
      </c>
      <c r="AJ70" s="28">
        <f ca="1"/>
        <v>2558.1260738278374</v>
      </c>
      <c r="AK70" s="29">
        <f ca="1"/>
        <v>2558.1260738278374</v>
      </c>
      <c r="AL70" s="3"/>
    </row>
    <row r="71" spans="2:38" hidden="1">
      <c r="B71" s="3"/>
      <c r="C71" s="12"/>
      <c r="D71" s="16"/>
      <c r="E71" s="141">
        <f t="array" aca="1" ref="E71:AK71" ca="1">tlccFubcElec3</f>
        <v>10493.248963133916</v>
      </c>
      <c r="F71" s="28">
        <f ca="1"/>
        <v>10414.76242438412</v>
      </c>
      <c r="G71" s="28">
        <f ca="1"/>
        <v>10335.655087591145</v>
      </c>
      <c r="H71" s="28">
        <f ca="1"/>
        <v>10266.164162583138</v>
      </c>
      <c r="I71" s="28">
        <f ca="1"/>
        <v>10200.253223130081</v>
      </c>
      <c r="J71" s="28">
        <f ca="1"/>
        <v>10142.839206830718</v>
      </c>
      <c r="K71" s="28">
        <f ca="1"/>
        <v>10098.295230669957</v>
      </c>
      <c r="L71" s="28">
        <f ca="1"/>
        <v>10061.362535369131</v>
      </c>
      <c r="M71" s="28">
        <f ca="1"/>
        <v>10024.263761292734</v>
      </c>
      <c r="N71" s="28">
        <f ca="1"/>
        <v>9994.5905560431056</v>
      </c>
      <c r="O71" s="28">
        <f ca="1"/>
        <v>9974.151363546971</v>
      </c>
      <c r="P71" s="28">
        <f ca="1"/>
        <v>9959.1951247089473</v>
      </c>
      <c r="Q71" s="28">
        <f ca="1"/>
        <v>9946.6123539117616</v>
      </c>
      <c r="R71" s="28">
        <f ca="1"/>
        <v>9937.3332972788667</v>
      </c>
      <c r="S71" s="28">
        <f ca="1"/>
        <v>9930.2627828501318</v>
      </c>
      <c r="T71" s="28">
        <f ca="1"/>
        <v>9929.3766822756734</v>
      </c>
      <c r="U71" s="28">
        <f ca="1"/>
        <v>9931.1919307532808</v>
      </c>
      <c r="V71" s="28">
        <f ca="1"/>
        <v>9933.858625526791</v>
      </c>
      <c r="W71" s="28">
        <f ca="1"/>
        <v>9937.6723685190409</v>
      </c>
      <c r="X71" s="28">
        <f ca="1"/>
        <v>9941.2763146794023</v>
      </c>
      <c r="Y71" s="28">
        <f ca="1"/>
        <v>9944.2623767633595</v>
      </c>
      <c r="Z71" s="28">
        <f ca="1"/>
        <v>9946.2634605512812</v>
      </c>
      <c r="AA71" s="28">
        <f ca="1"/>
        <v>9947.5823079728798</v>
      </c>
      <c r="AB71" s="28">
        <f ca="1"/>
        <v>9947.5823079728798</v>
      </c>
      <c r="AC71" s="28">
        <f ca="1"/>
        <v>9947.5823079728798</v>
      </c>
      <c r="AD71" s="28">
        <f ca="1"/>
        <v>9947.5823079728798</v>
      </c>
      <c r="AE71" s="28">
        <f ca="1"/>
        <v>9947.5823079728798</v>
      </c>
      <c r="AF71" s="28">
        <f ca="1"/>
        <v>9947.5823079728798</v>
      </c>
      <c r="AG71" s="28">
        <f ca="1"/>
        <v>9947.5823079728798</v>
      </c>
      <c r="AH71" s="28">
        <f ca="1"/>
        <v>9947.5823079728798</v>
      </c>
      <c r="AI71" s="28">
        <f ca="1"/>
        <v>9947.5823079728798</v>
      </c>
      <c r="AJ71" s="28">
        <f ca="1"/>
        <v>9947.5823079728798</v>
      </c>
      <c r="AK71" s="29">
        <f ca="1"/>
        <v>9947.5823079728798</v>
      </c>
      <c r="AL71" s="3"/>
    </row>
    <row r="72" spans="2:38" hidden="1">
      <c r="B72" s="3"/>
      <c r="C72" s="12"/>
      <c r="D72" s="16"/>
      <c r="E72" s="141">
        <f t="array" aca="1" ref="E72:AK72" ca="1">tlccFubcElec4</f>
        <v>4621.3737722758151</v>
      </c>
      <c r="F72" s="28">
        <f ca="1"/>
        <v>4586.807201623642</v>
      </c>
      <c r="G72" s="28">
        <f ca="1"/>
        <v>4551.9672228206946</v>
      </c>
      <c r="H72" s="28">
        <f ca="1"/>
        <v>4521.3624464190789</v>
      </c>
      <c r="I72" s="28">
        <f ca="1"/>
        <v>4492.3343457836536</v>
      </c>
      <c r="J72" s="28">
        <f ca="1"/>
        <v>4467.0484090810105</v>
      </c>
      <c r="K72" s="28">
        <f ca="1"/>
        <v>4447.4306182647006</v>
      </c>
      <c r="L72" s="28">
        <f ca="1"/>
        <v>4431.164942114031</v>
      </c>
      <c r="M72" s="28">
        <f ca="1"/>
        <v>4414.8261225451251</v>
      </c>
      <c r="N72" s="28">
        <f ca="1"/>
        <v>4401.7576274620687</v>
      </c>
      <c r="O72" s="28">
        <f ca="1"/>
        <v>4392.7559208924458</v>
      </c>
      <c r="P72" s="28">
        <f ca="1"/>
        <v>4386.1689838874472</v>
      </c>
      <c r="Q72" s="28">
        <f ca="1"/>
        <v>4380.6273554414838</v>
      </c>
      <c r="R72" s="28">
        <f ca="1"/>
        <v>4376.5407289728491</v>
      </c>
      <c r="S72" s="28">
        <f ca="1"/>
        <v>4373.4267754154471</v>
      </c>
      <c r="T72" s="28">
        <f ca="1"/>
        <v>4373.03652431507</v>
      </c>
      <c r="U72" s="28">
        <f ca="1"/>
        <v>4373.835985162139</v>
      </c>
      <c r="V72" s="28">
        <f ca="1"/>
        <v>4375.0104348800733</v>
      </c>
      <c r="W72" s="28">
        <f ca="1"/>
        <v>4376.6900606947765</v>
      </c>
      <c r="X72" s="28">
        <f ca="1"/>
        <v>4378.2772890470915</v>
      </c>
      <c r="Y72" s="28">
        <f ca="1"/>
        <v>4379.5923926004025</v>
      </c>
      <c r="Z72" s="28">
        <f ca="1"/>
        <v>4380.4736979202426</v>
      </c>
      <c r="AA72" s="28">
        <f ca="1"/>
        <v>4381.0545367915229</v>
      </c>
      <c r="AB72" s="28">
        <f ca="1"/>
        <v>4381.0545367915229</v>
      </c>
      <c r="AC72" s="28">
        <f ca="1"/>
        <v>4381.0545367915229</v>
      </c>
      <c r="AD72" s="28">
        <f ca="1"/>
        <v>4381.0545367915229</v>
      </c>
      <c r="AE72" s="28">
        <f ca="1"/>
        <v>4381.0545367915229</v>
      </c>
      <c r="AF72" s="28">
        <f ca="1"/>
        <v>4381.0545367915229</v>
      </c>
      <c r="AG72" s="28">
        <f ca="1"/>
        <v>4381.0545367915229</v>
      </c>
      <c r="AH72" s="28">
        <f ca="1"/>
        <v>4381.0545367915229</v>
      </c>
      <c r="AI72" s="28">
        <f ca="1"/>
        <v>4381.0545367915229</v>
      </c>
      <c r="AJ72" s="28">
        <f ca="1"/>
        <v>4381.0545367915229</v>
      </c>
      <c r="AK72" s="29">
        <f ca="1"/>
        <v>4381.0545367915229</v>
      </c>
      <c r="AL72" s="3"/>
    </row>
    <row r="73" spans="2:38" hidden="1">
      <c r="B73" s="3"/>
      <c r="C73" s="12"/>
      <c r="D73" s="16"/>
      <c r="E73" s="141">
        <f t="array" aca="1" ref="E73:AK73" ca="1">tlccFubcElec5</f>
        <v>6792.9609069402895</v>
      </c>
      <c r="F73" s="28">
        <f ca="1"/>
        <v>6742.1514778186165</v>
      </c>
      <c r="G73" s="28">
        <f ca="1"/>
        <v>6690.9401658431952</v>
      </c>
      <c r="H73" s="28">
        <f ca="1"/>
        <v>6645.9541811758181</v>
      </c>
      <c r="I73" s="28">
        <f ca="1"/>
        <v>6603.2857534450604</v>
      </c>
      <c r="J73" s="28">
        <f ca="1"/>
        <v>6566.1179353934504</v>
      </c>
      <c r="K73" s="28">
        <f ca="1"/>
        <v>6537.281729394449</v>
      </c>
      <c r="L73" s="28">
        <f ca="1"/>
        <v>6513.3727993530601</v>
      </c>
      <c r="M73" s="28">
        <f ca="1"/>
        <v>6489.356355744244</v>
      </c>
      <c r="N73" s="28">
        <f ca="1"/>
        <v>6470.1469646440701</v>
      </c>
      <c r="O73" s="28">
        <f ca="1"/>
        <v>6456.915349146956</v>
      </c>
      <c r="P73" s="28">
        <f ca="1"/>
        <v>6447.2332053134787</v>
      </c>
      <c r="Q73" s="28">
        <f ca="1"/>
        <v>6439.0875613450016</v>
      </c>
      <c r="R73" s="28">
        <f ca="1"/>
        <v>6433.0806259161373</v>
      </c>
      <c r="S73" s="28">
        <f ca="1"/>
        <v>6428.5034231570016</v>
      </c>
      <c r="T73" s="28">
        <f ca="1"/>
        <v>6427.929792760634</v>
      </c>
      <c r="U73" s="28">
        <f ca="1"/>
        <v>6429.1049208823506</v>
      </c>
      <c r="V73" s="28">
        <f ca="1"/>
        <v>6430.8312454373909</v>
      </c>
      <c r="W73" s="28">
        <f ca="1"/>
        <v>6433.3001287304951</v>
      </c>
      <c r="X73" s="28">
        <f ca="1"/>
        <v>6435.6331969216781</v>
      </c>
      <c r="Y73" s="28">
        <f ca="1"/>
        <v>6437.5662686588776</v>
      </c>
      <c r="Z73" s="28">
        <f ca="1"/>
        <v>6438.8617000348613</v>
      </c>
      <c r="AA73" s="28">
        <f ca="1"/>
        <v>6439.715475544107</v>
      </c>
      <c r="AB73" s="28">
        <f ca="1"/>
        <v>6439.715475544107</v>
      </c>
      <c r="AC73" s="28">
        <f ca="1"/>
        <v>6439.715475544107</v>
      </c>
      <c r="AD73" s="28">
        <f ca="1"/>
        <v>6439.715475544107</v>
      </c>
      <c r="AE73" s="28">
        <f ca="1"/>
        <v>6439.715475544107</v>
      </c>
      <c r="AF73" s="28">
        <f ca="1"/>
        <v>6439.715475544107</v>
      </c>
      <c r="AG73" s="28">
        <f ca="1"/>
        <v>6439.715475544107</v>
      </c>
      <c r="AH73" s="28">
        <f ca="1"/>
        <v>6439.715475544107</v>
      </c>
      <c r="AI73" s="28">
        <f ca="1"/>
        <v>6439.715475544107</v>
      </c>
      <c r="AJ73" s="28">
        <f ca="1"/>
        <v>6439.715475544107</v>
      </c>
      <c r="AK73" s="29">
        <f ca="1"/>
        <v>6439.715475544107</v>
      </c>
      <c r="AL73" s="3"/>
    </row>
    <row r="74" spans="2:38" hidden="1">
      <c r="B74" s="3"/>
      <c r="C74" s="4"/>
      <c r="D74" s="5"/>
      <c r="E74" s="147">
        <f t="array" aca="1" ref="E74:AK74" ca="1">tlccFubcElec6</f>
        <v>7000.1495673497184</v>
      </c>
      <c r="F74" s="35">
        <f ca="1"/>
        <v>6947.7904255622288</v>
      </c>
      <c r="G74" s="35">
        <f ca="1"/>
        <v>6895.0171432955958</v>
      </c>
      <c r="H74" s="35">
        <f ca="1"/>
        <v>6848.6590638924881</v>
      </c>
      <c r="I74" s="35">
        <f ca="1"/>
        <v>6804.6892280564252</v>
      </c>
      <c r="J74" s="35">
        <f ca="1"/>
        <v>6766.387773209618</v>
      </c>
      <c r="K74" s="35">
        <f ca="1"/>
        <v>6736.672048695189</v>
      </c>
      <c r="L74" s="35">
        <f ca="1"/>
        <v>6712.0338844869993</v>
      </c>
      <c r="M74" s="35">
        <f ca="1"/>
        <v>6687.2849274945065</v>
      </c>
      <c r="N74" s="35">
        <f ca="1"/>
        <v>6667.4896404847505</v>
      </c>
      <c r="O74" s="35">
        <f ca="1"/>
        <v>6653.8544541843521</v>
      </c>
      <c r="P74" s="35">
        <f ca="1"/>
        <v>6643.8770001852154</v>
      </c>
      <c r="Q74" s="35">
        <f ca="1"/>
        <v>6635.4829100553188</v>
      </c>
      <c r="R74" s="35">
        <f ca="1"/>
        <v>6629.2927601310794</v>
      </c>
      <c r="S74" s="35">
        <f ca="1"/>
        <v>6624.5759504286561</v>
      </c>
      <c r="T74" s="35">
        <f ca="1"/>
        <v>6623.9848240220772</v>
      </c>
      <c r="U74" s="35">
        <f ca="1"/>
        <v>6625.1957941315059</v>
      </c>
      <c r="V74" s="35">
        <f ca="1"/>
        <v>6626.974772437522</v>
      </c>
      <c r="W74" s="35">
        <f ca="1"/>
        <v>6629.5189578896134</v>
      </c>
      <c r="X74" s="35">
        <f ca="1"/>
        <v>6631.9231858121411</v>
      </c>
      <c r="Y74" s="35">
        <f ca="1"/>
        <v>6633.9152171914156</v>
      </c>
      <c r="Z74" s="35">
        <f ca="1"/>
        <v>6635.2501598637436</v>
      </c>
      <c r="AA74" s="35">
        <f ca="1"/>
        <v>6636.1299759474123</v>
      </c>
      <c r="AB74" s="35">
        <f ca="1"/>
        <v>6636.1299759474123</v>
      </c>
      <c r="AC74" s="35">
        <f ca="1"/>
        <v>6636.1299759474123</v>
      </c>
      <c r="AD74" s="35">
        <f ca="1"/>
        <v>6636.1299759474123</v>
      </c>
      <c r="AE74" s="35">
        <f ca="1"/>
        <v>6636.1299759474123</v>
      </c>
      <c r="AF74" s="35">
        <f ca="1"/>
        <v>6636.1299759474123</v>
      </c>
      <c r="AG74" s="35">
        <f ca="1"/>
        <v>6636.1299759474123</v>
      </c>
      <c r="AH74" s="35">
        <f ca="1"/>
        <v>6636.1299759474123</v>
      </c>
      <c r="AI74" s="35">
        <f ca="1"/>
        <v>6636.1299759474123</v>
      </c>
      <c r="AJ74" s="35">
        <f ca="1"/>
        <v>6636.1299759474123</v>
      </c>
      <c r="AK74" s="36">
        <f ca="1"/>
        <v>6636.1299759474123</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1523.8763919999999</v>
      </c>
      <c r="F78" s="28">
        <f ca="1"/>
        <v>1523.8763919999999</v>
      </c>
      <c r="G78" s="28">
        <f ca="1"/>
        <v>1523.8763919999999</v>
      </c>
      <c r="H78" s="28">
        <f ca="1"/>
        <v>1523.8763919999999</v>
      </c>
      <c r="I78" s="28">
        <f ca="1"/>
        <v>1523.8763919999999</v>
      </c>
      <c r="J78" s="28">
        <f ca="1"/>
        <v>1523.8763919999999</v>
      </c>
      <c r="K78" s="28">
        <f ca="1"/>
        <v>1523.8763919999999</v>
      </c>
      <c r="L78" s="28">
        <f ca="1"/>
        <v>1523.8763919999999</v>
      </c>
      <c r="M78" s="28">
        <f ca="1"/>
        <v>1523.8763919999999</v>
      </c>
      <c r="N78" s="28">
        <f ca="1"/>
        <v>1523.8763919999999</v>
      </c>
      <c r="O78" s="28">
        <f ca="1"/>
        <v>1523.8763919999999</v>
      </c>
      <c r="P78" s="28">
        <f ca="1"/>
        <v>1523.8763919999999</v>
      </c>
      <c r="Q78" s="28">
        <f ca="1"/>
        <v>1523.8763919999999</v>
      </c>
      <c r="R78" s="28">
        <f ca="1"/>
        <v>1523.8763919999999</v>
      </c>
      <c r="S78" s="28">
        <f ca="1"/>
        <v>1523.8763919999999</v>
      </c>
      <c r="T78" s="28">
        <f ca="1"/>
        <v>1523.8763919999999</v>
      </c>
      <c r="U78" s="28">
        <f ca="1"/>
        <v>1523.8763919999999</v>
      </c>
      <c r="V78" s="28">
        <f ca="1"/>
        <v>1523.8763919999999</v>
      </c>
      <c r="W78" s="28">
        <f ca="1"/>
        <v>1523.8763919999999</v>
      </c>
      <c r="X78" s="28">
        <f ca="1"/>
        <v>1523.8763919999999</v>
      </c>
      <c r="Y78" s="28">
        <f ca="1"/>
        <v>1523.8763919999999</v>
      </c>
      <c r="Z78" s="28">
        <f ca="1"/>
        <v>1523.8763919999999</v>
      </c>
      <c r="AA78" s="28">
        <f ca="1"/>
        <v>1523.8763919999999</v>
      </c>
      <c r="AB78" s="28">
        <f ca="1"/>
        <v>1523.8763919999999</v>
      </c>
      <c r="AC78" s="28">
        <f ca="1"/>
        <v>1523.8763919999999</v>
      </c>
      <c r="AD78" s="28">
        <f ca="1"/>
        <v>1523.8763919999999</v>
      </c>
      <c r="AE78" s="28">
        <f ca="1"/>
        <v>1523.8763919999999</v>
      </c>
      <c r="AF78" s="28">
        <f ca="1"/>
        <v>1523.8763919999999</v>
      </c>
      <c r="AG78" s="28">
        <f ca="1"/>
        <v>1523.8763919999999</v>
      </c>
      <c r="AH78" s="28">
        <f ca="1"/>
        <v>1523.8763919999999</v>
      </c>
      <c r="AI78" s="28">
        <f ca="1"/>
        <v>1523.8763919999999</v>
      </c>
      <c r="AJ78" s="28">
        <f ca="1"/>
        <v>1523.8763919999999</v>
      </c>
      <c r="AK78" s="29">
        <f ca="1"/>
        <v>1523.8763919999999</v>
      </c>
      <c r="AL78" s="3"/>
    </row>
    <row r="79" spans="2:38" hidden="1">
      <c r="B79" s="3"/>
      <c r="C79" s="12"/>
      <c r="D79" s="16"/>
      <c r="E79" s="141">
        <f t="array" aca="1" ref="E79:AK79" ca="1">tlccQupol2</f>
        <v>1559.4876179999999</v>
      </c>
      <c r="F79" s="28">
        <f ca="1"/>
        <v>1559.4876179999999</v>
      </c>
      <c r="G79" s="28">
        <f ca="1"/>
        <v>1559.4876179999999</v>
      </c>
      <c r="H79" s="28">
        <f ca="1"/>
        <v>1559.4876179999999</v>
      </c>
      <c r="I79" s="28">
        <f ca="1"/>
        <v>1559.4876179999999</v>
      </c>
      <c r="J79" s="28">
        <f ca="1"/>
        <v>1559.4876179999999</v>
      </c>
      <c r="K79" s="28">
        <f ca="1"/>
        <v>1559.4876179999999</v>
      </c>
      <c r="L79" s="28">
        <f ca="1"/>
        <v>1559.4876179999999</v>
      </c>
      <c r="M79" s="28">
        <f ca="1"/>
        <v>1559.4876179999999</v>
      </c>
      <c r="N79" s="28">
        <f ca="1"/>
        <v>1559.4876179999999</v>
      </c>
      <c r="O79" s="28">
        <f ca="1"/>
        <v>1559.4876179999999</v>
      </c>
      <c r="P79" s="28">
        <f ca="1"/>
        <v>1559.4876179999999</v>
      </c>
      <c r="Q79" s="28">
        <f ca="1"/>
        <v>1559.4876179999999</v>
      </c>
      <c r="R79" s="28">
        <f ca="1"/>
        <v>1559.4876179999999</v>
      </c>
      <c r="S79" s="28">
        <f ca="1"/>
        <v>1559.4876179999999</v>
      </c>
      <c r="T79" s="28">
        <f ca="1"/>
        <v>1559.4876179999999</v>
      </c>
      <c r="U79" s="28">
        <f ca="1"/>
        <v>1559.4876179999999</v>
      </c>
      <c r="V79" s="28">
        <f ca="1"/>
        <v>1559.4876179999999</v>
      </c>
      <c r="W79" s="28">
        <f ca="1"/>
        <v>1559.4876179999999</v>
      </c>
      <c r="X79" s="28">
        <f ca="1"/>
        <v>1559.4876179999999</v>
      </c>
      <c r="Y79" s="28">
        <f ca="1"/>
        <v>1559.4876179999999</v>
      </c>
      <c r="Z79" s="28">
        <f ca="1"/>
        <v>1559.4876179999999</v>
      </c>
      <c r="AA79" s="28">
        <f ca="1"/>
        <v>1559.4876179999999</v>
      </c>
      <c r="AB79" s="28">
        <f ca="1"/>
        <v>1559.4876179999999</v>
      </c>
      <c r="AC79" s="28">
        <f ca="1"/>
        <v>1559.4876179999999</v>
      </c>
      <c r="AD79" s="28">
        <f ca="1"/>
        <v>1559.4876179999999</v>
      </c>
      <c r="AE79" s="28">
        <f ca="1"/>
        <v>1559.4876179999999</v>
      </c>
      <c r="AF79" s="28">
        <f ca="1"/>
        <v>1559.4876179999999</v>
      </c>
      <c r="AG79" s="28">
        <f ca="1"/>
        <v>1559.4876179999999</v>
      </c>
      <c r="AH79" s="28">
        <f ca="1"/>
        <v>1559.4876179999999</v>
      </c>
      <c r="AI79" s="28">
        <f ca="1"/>
        <v>1559.4876179999999</v>
      </c>
      <c r="AJ79" s="28">
        <f ca="1"/>
        <v>1559.4876179999999</v>
      </c>
      <c r="AK79" s="29">
        <f ca="1"/>
        <v>1559.4876179999999</v>
      </c>
      <c r="AL79" s="3"/>
    </row>
    <row r="80" spans="2:38" hidden="1">
      <c r="B80" s="3"/>
      <c r="C80" s="12"/>
      <c r="D80" s="16"/>
      <c r="E80" s="141">
        <f t="array" aca="1" ref="E80:AK80" ca="1">tlccQupol3</f>
        <v>1657.1337119999998</v>
      </c>
      <c r="F80" s="28">
        <f ca="1"/>
        <v>1657.1337119999998</v>
      </c>
      <c r="G80" s="28">
        <f ca="1"/>
        <v>1657.1337119999998</v>
      </c>
      <c r="H80" s="28">
        <f ca="1"/>
        <v>1657.1337119999998</v>
      </c>
      <c r="I80" s="28">
        <f ca="1"/>
        <v>1657.1337119999998</v>
      </c>
      <c r="J80" s="28">
        <f ca="1"/>
        <v>1657.1337119999998</v>
      </c>
      <c r="K80" s="28">
        <f ca="1"/>
        <v>1657.1337119999998</v>
      </c>
      <c r="L80" s="28">
        <f ca="1"/>
        <v>1657.1337119999998</v>
      </c>
      <c r="M80" s="28">
        <f ca="1"/>
        <v>1657.1337119999998</v>
      </c>
      <c r="N80" s="28">
        <f ca="1"/>
        <v>1657.1337119999998</v>
      </c>
      <c r="O80" s="28">
        <f ca="1"/>
        <v>1657.1337119999998</v>
      </c>
      <c r="P80" s="28">
        <f ca="1"/>
        <v>1657.1337119999998</v>
      </c>
      <c r="Q80" s="28">
        <f ca="1"/>
        <v>1657.1337119999998</v>
      </c>
      <c r="R80" s="28">
        <f ca="1"/>
        <v>1657.1337119999998</v>
      </c>
      <c r="S80" s="28">
        <f ca="1"/>
        <v>1657.1337119999998</v>
      </c>
      <c r="T80" s="28">
        <f ca="1"/>
        <v>1657.1337119999998</v>
      </c>
      <c r="U80" s="28">
        <f ca="1"/>
        <v>1657.1337119999998</v>
      </c>
      <c r="V80" s="28">
        <f ca="1"/>
        <v>1657.1337119999998</v>
      </c>
      <c r="W80" s="28">
        <f ca="1"/>
        <v>1657.1337119999998</v>
      </c>
      <c r="X80" s="28">
        <f ca="1"/>
        <v>1657.1337119999998</v>
      </c>
      <c r="Y80" s="28">
        <f ca="1"/>
        <v>1657.1337119999998</v>
      </c>
      <c r="Z80" s="28">
        <f ca="1"/>
        <v>1657.1337119999998</v>
      </c>
      <c r="AA80" s="28">
        <f ca="1"/>
        <v>1657.1337119999998</v>
      </c>
      <c r="AB80" s="28">
        <f ca="1"/>
        <v>1657.1337119999998</v>
      </c>
      <c r="AC80" s="28">
        <f ca="1"/>
        <v>1657.1337119999998</v>
      </c>
      <c r="AD80" s="28">
        <f ca="1"/>
        <v>1657.1337119999998</v>
      </c>
      <c r="AE80" s="28">
        <f ca="1"/>
        <v>1657.1337119999998</v>
      </c>
      <c r="AF80" s="28">
        <f ca="1"/>
        <v>1657.1337119999998</v>
      </c>
      <c r="AG80" s="28">
        <f ca="1"/>
        <v>1657.1337119999998</v>
      </c>
      <c r="AH80" s="28">
        <f ca="1"/>
        <v>1657.1337119999998</v>
      </c>
      <c r="AI80" s="28">
        <f ca="1"/>
        <v>1657.1337119999998</v>
      </c>
      <c r="AJ80" s="28">
        <f ca="1"/>
        <v>1657.1337119999998</v>
      </c>
      <c r="AK80" s="29">
        <f ca="1"/>
        <v>1657.1337119999998</v>
      </c>
      <c r="AL80" s="3"/>
    </row>
    <row r="81" spans="2:38" hidden="1">
      <c r="B81" s="3"/>
      <c r="C81" s="12"/>
      <c r="D81" s="16"/>
      <c r="E81" s="141">
        <f t="array" aca="1" ref="E81:AK81" ca="1">tlccQupol4</f>
        <v>1763.1461380000001</v>
      </c>
      <c r="F81" s="28">
        <f ca="1"/>
        <v>1763.1461380000001</v>
      </c>
      <c r="G81" s="28">
        <f ca="1"/>
        <v>1763.1461380000001</v>
      </c>
      <c r="H81" s="28">
        <f ca="1"/>
        <v>1763.1461380000001</v>
      </c>
      <c r="I81" s="28">
        <f ca="1"/>
        <v>1763.1461380000001</v>
      </c>
      <c r="J81" s="28">
        <f ca="1"/>
        <v>1763.1461380000001</v>
      </c>
      <c r="K81" s="28">
        <f ca="1"/>
        <v>1763.1461380000001</v>
      </c>
      <c r="L81" s="28">
        <f ca="1"/>
        <v>1763.1461380000001</v>
      </c>
      <c r="M81" s="28">
        <f ca="1"/>
        <v>1763.1461380000001</v>
      </c>
      <c r="N81" s="28">
        <f ca="1"/>
        <v>1763.1461380000001</v>
      </c>
      <c r="O81" s="28">
        <f ca="1"/>
        <v>1763.1461380000001</v>
      </c>
      <c r="P81" s="28">
        <f ca="1"/>
        <v>1763.1461380000001</v>
      </c>
      <c r="Q81" s="28">
        <f ca="1"/>
        <v>1763.1461380000001</v>
      </c>
      <c r="R81" s="28">
        <f ca="1"/>
        <v>1763.1461380000001</v>
      </c>
      <c r="S81" s="28">
        <f ca="1"/>
        <v>1763.1461380000001</v>
      </c>
      <c r="T81" s="28">
        <f ca="1"/>
        <v>1763.1461380000001</v>
      </c>
      <c r="U81" s="28">
        <f ca="1"/>
        <v>1763.1461380000001</v>
      </c>
      <c r="V81" s="28">
        <f ca="1"/>
        <v>1763.1461380000001</v>
      </c>
      <c r="W81" s="28">
        <f ca="1"/>
        <v>1763.1461380000001</v>
      </c>
      <c r="X81" s="28">
        <f ca="1"/>
        <v>1763.1461380000001</v>
      </c>
      <c r="Y81" s="28">
        <f ca="1"/>
        <v>1763.1461380000001</v>
      </c>
      <c r="Z81" s="28">
        <f ca="1"/>
        <v>1763.1461380000001</v>
      </c>
      <c r="AA81" s="28">
        <f ca="1"/>
        <v>1763.1461380000001</v>
      </c>
      <c r="AB81" s="28">
        <f ca="1"/>
        <v>1763.1461380000001</v>
      </c>
      <c r="AC81" s="28">
        <f ca="1"/>
        <v>1763.1461380000001</v>
      </c>
      <c r="AD81" s="28">
        <f ca="1"/>
        <v>1763.1461380000001</v>
      </c>
      <c r="AE81" s="28">
        <f ca="1"/>
        <v>1763.1461380000001</v>
      </c>
      <c r="AF81" s="28">
        <f ca="1"/>
        <v>1763.1461380000001</v>
      </c>
      <c r="AG81" s="28">
        <f ca="1"/>
        <v>1763.1461380000001</v>
      </c>
      <c r="AH81" s="28">
        <f ca="1"/>
        <v>1763.1461380000001</v>
      </c>
      <c r="AI81" s="28">
        <f ca="1"/>
        <v>1763.1461380000001</v>
      </c>
      <c r="AJ81" s="28">
        <f ca="1"/>
        <v>1763.1461380000001</v>
      </c>
      <c r="AK81" s="29">
        <f ca="1"/>
        <v>1763.1461380000001</v>
      </c>
      <c r="AL81" s="3"/>
    </row>
    <row r="82" spans="2:38" hidden="1">
      <c r="B82" s="3"/>
      <c r="C82" s="12"/>
      <c r="D82" s="16"/>
      <c r="E82" s="141">
        <f t="array" aca="1" ref="E82:AK82" ca="1">tlccQupol5</f>
        <v>2469.3678879999998</v>
      </c>
      <c r="F82" s="28">
        <f ca="1"/>
        <v>2469.3678879999998</v>
      </c>
      <c r="G82" s="28">
        <f ca="1"/>
        <v>2469.3678879999998</v>
      </c>
      <c r="H82" s="28">
        <f ca="1"/>
        <v>2469.3678879999998</v>
      </c>
      <c r="I82" s="28">
        <f ca="1"/>
        <v>2469.3678879999998</v>
      </c>
      <c r="J82" s="28">
        <f ca="1"/>
        <v>2469.3678879999998</v>
      </c>
      <c r="K82" s="28">
        <f ca="1"/>
        <v>2469.3678879999998</v>
      </c>
      <c r="L82" s="28">
        <f ca="1"/>
        <v>2469.3678879999998</v>
      </c>
      <c r="M82" s="28">
        <f ca="1"/>
        <v>2469.3678879999998</v>
      </c>
      <c r="N82" s="28">
        <f ca="1"/>
        <v>2469.3678879999998</v>
      </c>
      <c r="O82" s="28">
        <f ca="1"/>
        <v>2469.3678879999998</v>
      </c>
      <c r="P82" s="28">
        <f ca="1"/>
        <v>2469.3678879999998</v>
      </c>
      <c r="Q82" s="28">
        <f ca="1"/>
        <v>2469.3678879999998</v>
      </c>
      <c r="R82" s="28">
        <f ca="1"/>
        <v>2469.3678879999998</v>
      </c>
      <c r="S82" s="28">
        <f ca="1"/>
        <v>2469.3678879999998</v>
      </c>
      <c r="T82" s="28">
        <f ca="1"/>
        <v>2469.3678879999998</v>
      </c>
      <c r="U82" s="28">
        <f ca="1"/>
        <v>2469.3678879999998</v>
      </c>
      <c r="V82" s="28">
        <f ca="1"/>
        <v>2469.3678879999998</v>
      </c>
      <c r="W82" s="28">
        <f ca="1"/>
        <v>2469.3678879999998</v>
      </c>
      <c r="X82" s="28">
        <f ca="1"/>
        <v>2469.3678879999998</v>
      </c>
      <c r="Y82" s="28">
        <f ca="1"/>
        <v>2469.3678879999998</v>
      </c>
      <c r="Z82" s="28">
        <f ca="1"/>
        <v>2469.3678879999998</v>
      </c>
      <c r="AA82" s="28">
        <f ca="1"/>
        <v>2469.3678879999998</v>
      </c>
      <c r="AB82" s="28">
        <f ca="1"/>
        <v>2469.3678879999998</v>
      </c>
      <c r="AC82" s="28">
        <f ca="1"/>
        <v>2469.3678879999998</v>
      </c>
      <c r="AD82" s="28">
        <f ca="1"/>
        <v>2469.3678879999998</v>
      </c>
      <c r="AE82" s="28">
        <f ca="1"/>
        <v>2469.3678879999998</v>
      </c>
      <c r="AF82" s="28">
        <f ca="1"/>
        <v>2469.3678879999998</v>
      </c>
      <c r="AG82" s="28">
        <f ca="1"/>
        <v>2469.3678879999998</v>
      </c>
      <c r="AH82" s="28">
        <f ca="1"/>
        <v>2469.3678879999998</v>
      </c>
      <c r="AI82" s="28">
        <f ca="1"/>
        <v>2469.3678879999998</v>
      </c>
      <c r="AJ82" s="28">
        <f ca="1"/>
        <v>2469.3678879999998</v>
      </c>
      <c r="AK82" s="29">
        <f ca="1"/>
        <v>2469.3678879999998</v>
      </c>
      <c r="AL82" s="3"/>
    </row>
    <row r="83" spans="2:38" hidden="1">
      <c r="B83" s="3"/>
      <c r="C83" s="4"/>
      <c r="D83" s="5"/>
      <c r="E83" s="147">
        <f t="array" aca="1" ref="E83:AK83" ca="1">tlccQupol6</f>
        <v>2713.0914720000001</v>
      </c>
      <c r="F83" s="35">
        <f ca="1"/>
        <v>2713.0914720000001</v>
      </c>
      <c r="G83" s="35">
        <f ca="1"/>
        <v>2713.0914720000001</v>
      </c>
      <c r="H83" s="35">
        <f ca="1"/>
        <v>2713.0914720000001</v>
      </c>
      <c r="I83" s="35">
        <f ca="1"/>
        <v>2713.0914720000001</v>
      </c>
      <c r="J83" s="35">
        <f ca="1"/>
        <v>2713.0914720000001</v>
      </c>
      <c r="K83" s="35">
        <f ca="1"/>
        <v>2713.0914720000001</v>
      </c>
      <c r="L83" s="35">
        <f ca="1"/>
        <v>2713.0914720000001</v>
      </c>
      <c r="M83" s="35">
        <f ca="1"/>
        <v>2713.0914720000001</v>
      </c>
      <c r="N83" s="35">
        <f ca="1"/>
        <v>2713.0914720000001</v>
      </c>
      <c r="O83" s="35">
        <f ca="1"/>
        <v>2713.0914720000001</v>
      </c>
      <c r="P83" s="35">
        <f ca="1"/>
        <v>2713.0914720000001</v>
      </c>
      <c r="Q83" s="35">
        <f ca="1"/>
        <v>2713.0914720000001</v>
      </c>
      <c r="R83" s="35">
        <f ca="1"/>
        <v>2713.0914720000001</v>
      </c>
      <c r="S83" s="35">
        <f ca="1"/>
        <v>2713.0914720000001</v>
      </c>
      <c r="T83" s="35">
        <f ca="1"/>
        <v>2713.0914720000001</v>
      </c>
      <c r="U83" s="35">
        <f ca="1"/>
        <v>2713.0914720000001</v>
      </c>
      <c r="V83" s="35">
        <f ca="1"/>
        <v>2713.0914720000001</v>
      </c>
      <c r="W83" s="35">
        <f ca="1"/>
        <v>2713.0914720000001</v>
      </c>
      <c r="X83" s="35">
        <f ca="1"/>
        <v>2713.0914720000001</v>
      </c>
      <c r="Y83" s="35">
        <f ca="1"/>
        <v>2713.0914720000001</v>
      </c>
      <c r="Z83" s="35">
        <f ca="1"/>
        <v>2713.0914720000001</v>
      </c>
      <c r="AA83" s="35">
        <f ca="1"/>
        <v>2713.0914720000001</v>
      </c>
      <c r="AB83" s="35">
        <f ca="1"/>
        <v>2713.0914720000001</v>
      </c>
      <c r="AC83" s="35">
        <f ca="1"/>
        <v>2713.0914720000001</v>
      </c>
      <c r="AD83" s="35">
        <f ca="1"/>
        <v>2713.0914720000001</v>
      </c>
      <c r="AE83" s="35">
        <f ca="1"/>
        <v>2713.0914720000001</v>
      </c>
      <c r="AF83" s="35">
        <f ca="1"/>
        <v>2713.0914720000001</v>
      </c>
      <c r="AG83" s="35">
        <f ca="1"/>
        <v>2713.0914720000001</v>
      </c>
      <c r="AH83" s="35">
        <f ca="1"/>
        <v>2713.0914720000001</v>
      </c>
      <c r="AI83" s="35">
        <f ca="1"/>
        <v>2713.0914720000001</v>
      </c>
      <c r="AJ83" s="35">
        <f ca="1"/>
        <v>2713.0914720000001</v>
      </c>
      <c r="AK83" s="36">
        <f ca="1"/>
        <v>2713.0914720000001</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14821.571956921825</v>
      </c>
      <c r="F87" s="28">
        <f ca="1"/>
        <v>14886.873776375334</v>
      </c>
      <c r="G87" s="28">
        <f ca="1"/>
        <v>14944.633175988101</v>
      </c>
      <c r="H87" s="28">
        <f ca="1"/>
        <v>15007.624523022252</v>
      </c>
      <c r="I87" s="28">
        <f ca="1"/>
        <v>15062.926247260319</v>
      </c>
      <c r="J87" s="28">
        <f ca="1"/>
        <v>15123.31305955519</v>
      </c>
      <c r="K87" s="28">
        <f ca="1"/>
        <v>15175.833888268487</v>
      </c>
      <c r="L87" s="28">
        <f ca="1"/>
        <v>15233.242649773701</v>
      </c>
      <c r="M87" s="28">
        <f ca="1"/>
        <v>15295.900619789956</v>
      </c>
      <c r="N87" s="28">
        <f ca="1"/>
        <v>15350.840489423992</v>
      </c>
      <c r="O87" s="28">
        <f ca="1"/>
        <v>15410.882464185994</v>
      </c>
      <c r="P87" s="28">
        <f ca="1"/>
        <v>15476.338592749664</v>
      </c>
      <c r="Q87" s="28">
        <f ca="1"/>
        <v>15534.321454050989</v>
      </c>
      <c r="R87" s="28">
        <f ca="1"/>
        <v>15597.612517033242</v>
      </c>
      <c r="S87" s="28">
        <f ca="1"/>
        <v>15653.256229859584</v>
      </c>
      <c r="T87" s="28">
        <f ca="1"/>
        <v>15714.087577024296</v>
      </c>
      <c r="U87" s="28">
        <f ca="1"/>
        <v>15780.433048319064</v>
      </c>
      <c r="V87" s="28">
        <f ca="1"/>
        <v>15839.404257837698</v>
      </c>
      <c r="W87" s="28">
        <f ca="1"/>
        <v>15903.752364817061</v>
      </c>
      <c r="X87" s="28">
        <f ca="1"/>
        <v>15960.592156514314</v>
      </c>
      <c r="Y87" s="28">
        <f ca="1"/>
        <v>16022.699384005322</v>
      </c>
      <c r="Z87" s="28">
        <f ca="1"/>
        <v>16090.463547987387</v>
      </c>
      <c r="AA87" s="28">
        <f ca="1"/>
        <v>16150.965779940303</v>
      </c>
      <c r="AB87" s="28">
        <f ca="1"/>
        <v>16216.982823420212</v>
      </c>
      <c r="AC87" s="28">
        <f ca="1"/>
        <v>16275.641071372031</v>
      </c>
      <c r="AD87" s="28">
        <f ca="1"/>
        <v>16339.68039443113</v>
      </c>
      <c r="AE87" s="28">
        <f ca="1"/>
        <v>16409.534188440761</v>
      </c>
      <c r="AF87" s="28">
        <f ca="1"/>
        <v>16472.284464181303</v>
      </c>
      <c r="AG87" s="28">
        <f ca="1"/>
        <v>16540.778123862492</v>
      </c>
      <c r="AH87" s="28">
        <f ca="1"/>
        <v>16602.094148247215</v>
      </c>
      <c r="AI87" s="28">
        <f ca="1"/>
        <v>16669.035169280756</v>
      </c>
      <c r="AJ87" s="28">
        <f ca="1"/>
        <v>16728.703701797363</v>
      </c>
      <c r="AK87" s="29">
        <f ca="1"/>
        <v>16793.912516387558</v>
      </c>
      <c r="AL87" s="3"/>
    </row>
    <row r="88" spans="2:38" hidden="1">
      <c r="B88" s="3"/>
      <c r="C88" s="12"/>
      <c r="D88" s="16"/>
      <c r="E88" s="141">
        <f t="array" aca="1" ref="E88:AK88" ca="1">tlccEupol2</f>
        <v>12687.677868129103</v>
      </c>
      <c r="F88" s="28">
        <f ca="1"/>
        <v>12743.578041999799</v>
      </c>
      <c r="G88" s="28">
        <f ca="1"/>
        <v>12793.021694688823</v>
      </c>
      <c r="H88" s="28">
        <f ca="1"/>
        <v>12846.94403990104</v>
      </c>
      <c r="I88" s="28">
        <f ca="1"/>
        <v>12894.283854107251</v>
      </c>
      <c r="J88" s="28">
        <f ca="1"/>
        <v>12945.976645135581</v>
      </c>
      <c r="K88" s="28">
        <f ca="1"/>
        <v>12990.935935419924</v>
      </c>
      <c r="L88" s="28">
        <f ca="1"/>
        <v>13040.079432135615</v>
      </c>
      <c r="M88" s="28">
        <f ca="1"/>
        <v>13093.716397347378</v>
      </c>
      <c r="N88" s="28">
        <f ca="1"/>
        <v>13140.746453947295</v>
      </c>
      <c r="O88" s="28">
        <f ca="1"/>
        <v>13192.144054455573</v>
      </c>
      <c r="P88" s="28">
        <f ca="1"/>
        <v>13248.176321216779</v>
      </c>
      <c r="Q88" s="28">
        <f ca="1"/>
        <v>13297.811263326956</v>
      </c>
      <c r="R88" s="28">
        <f ca="1"/>
        <v>13351.990173727567</v>
      </c>
      <c r="S88" s="28">
        <f ca="1"/>
        <v>13399.622739678005</v>
      </c>
      <c r="T88" s="28">
        <f ca="1"/>
        <v>13451.696064919986</v>
      </c>
      <c r="U88" s="28">
        <f ca="1"/>
        <v>13508.489633796738</v>
      </c>
      <c r="V88" s="28">
        <f ca="1"/>
        <v>13558.970629472573</v>
      </c>
      <c r="W88" s="28">
        <f ca="1"/>
        <v>13614.054398937176</v>
      </c>
      <c r="X88" s="28">
        <f ca="1"/>
        <v>13662.710841670943</v>
      </c>
      <c r="Y88" s="28">
        <f ca="1"/>
        <v>13715.876355961782</v>
      </c>
      <c r="Z88" s="28">
        <f ca="1"/>
        <v>13773.88436524085</v>
      </c>
      <c r="AA88" s="28">
        <f ca="1"/>
        <v>13825.675958706952</v>
      </c>
      <c r="AB88" s="28">
        <f ca="1"/>
        <v>13882.188384238721</v>
      </c>
      <c r="AC88" s="28">
        <f ca="1"/>
        <v>13932.401476108096</v>
      </c>
      <c r="AD88" s="28">
        <f ca="1"/>
        <v>13987.220917947894</v>
      </c>
      <c r="AE88" s="28">
        <f ca="1"/>
        <v>14047.017708655167</v>
      </c>
      <c r="AF88" s="28">
        <f ca="1"/>
        <v>14100.733690134482</v>
      </c>
      <c r="AG88" s="28">
        <f ca="1"/>
        <v>14159.366168023458</v>
      </c>
      <c r="AH88" s="28">
        <f ca="1"/>
        <v>14211.854390447425</v>
      </c>
      <c r="AI88" s="28">
        <f ca="1"/>
        <v>14269.157766466235</v>
      </c>
      <c r="AJ88" s="28">
        <f ca="1"/>
        <v>14320.235690024889</v>
      </c>
      <c r="AK88" s="29">
        <f ca="1"/>
        <v>14376.05624914558</v>
      </c>
      <c r="AL88" s="3"/>
    </row>
    <row r="89" spans="2:38" hidden="1">
      <c r="B89" s="3"/>
      <c r="C89" s="12"/>
      <c r="D89" s="16"/>
      <c r="E89" s="141">
        <f t="array" aca="1" ref="E89:AK89" ca="1">tlccEupol3</f>
        <v>49337.56830108221</v>
      </c>
      <c r="F89" s="28">
        <f ca="1"/>
        <v>49554.942880974071</v>
      </c>
      <c r="G89" s="28">
        <f ca="1"/>
        <v>49747.210498181426</v>
      </c>
      <c r="H89" s="28">
        <f ca="1"/>
        <v>49956.894052375777</v>
      </c>
      <c r="I89" s="28">
        <f ca="1"/>
        <v>50140.980639459311</v>
      </c>
      <c r="J89" s="28">
        <f ca="1"/>
        <v>50341.994302837382</v>
      </c>
      <c r="K89" s="28">
        <f ca="1"/>
        <v>50516.823935038577</v>
      </c>
      <c r="L89" s="28">
        <f ca="1"/>
        <v>50707.924359479119</v>
      </c>
      <c r="M89" s="28">
        <f ca="1"/>
        <v>50916.498179062481</v>
      </c>
      <c r="N89" s="28">
        <f ca="1"/>
        <v>51099.380236269375</v>
      </c>
      <c r="O89" s="28">
        <f ca="1"/>
        <v>51299.246015645658</v>
      </c>
      <c r="P89" s="28">
        <f ca="1"/>
        <v>51517.134254701581</v>
      </c>
      <c r="Q89" s="28">
        <f ca="1"/>
        <v>51710.145723934438</v>
      </c>
      <c r="R89" s="28">
        <f ca="1"/>
        <v>51920.826962861771</v>
      </c>
      <c r="S89" s="28">
        <f ca="1"/>
        <v>52106.05195047272</v>
      </c>
      <c r="T89" s="28">
        <f ca="1"/>
        <v>52308.545367116298</v>
      </c>
      <c r="U89" s="28">
        <f ca="1"/>
        <v>52529.394021428205</v>
      </c>
      <c r="V89" s="28">
        <f ca="1"/>
        <v>52725.695472170381</v>
      </c>
      <c r="W89" s="28">
        <f ca="1"/>
        <v>52939.895364892072</v>
      </c>
      <c r="X89" s="28">
        <f ca="1"/>
        <v>53129.101821078599</v>
      </c>
      <c r="Y89" s="28">
        <f ca="1"/>
        <v>53335.842346795733</v>
      </c>
      <c r="Z89" s="28">
        <f ca="1"/>
        <v>53561.413499339338</v>
      </c>
      <c r="AA89" s="28">
        <f ca="1"/>
        <v>53762.8113679339</v>
      </c>
      <c r="AB89" s="28">
        <f ca="1"/>
        <v>53982.566762381372</v>
      </c>
      <c r="AC89" s="28">
        <f ca="1"/>
        <v>54177.826436804273</v>
      </c>
      <c r="AD89" s="28">
        <f ca="1"/>
        <v>54390.998459621187</v>
      </c>
      <c r="AE89" s="28">
        <f ca="1"/>
        <v>54623.525504866906</v>
      </c>
      <c r="AF89" s="28">
        <f ca="1"/>
        <v>54832.406588753234</v>
      </c>
      <c r="AG89" s="28">
        <f ca="1"/>
        <v>55060.406062934067</v>
      </c>
      <c r="AH89" s="28">
        <f ca="1"/>
        <v>55264.512857397218</v>
      </c>
      <c r="AI89" s="28">
        <f ca="1"/>
        <v>55487.343958375292</v>
      </c>
      <c r="AJ89" s="28">
        <f ca="1"/>
        <v>55685.966635309982</v>
      </c>
      <c r="AK89" s="29">
        <f ca="1"/>
        <v>55903.03162362751</v>
      </c>
      <c r="AL89" s="3"/>
    </row>
    <row r="90" spans="2:38" hidden="1">
      <c r="B90" s="3"/>
      <c r="C90" s="12"/>
      <c r="D90" s="16"/>
      <c r="E90" s="141">
        <f t="array" aca="1" ref="E90:AK90" ca="1">tlccEupol4</f>
        <v>21728.955915898827</v>
      </c>
      <c r="F90" s="28">
        <f ca="1"/>
        <v>21824.690724612588</v>
      </c>
      <c r="G90" s="28">
        <f ca="1"/>
        <v>21909.36807540659</v>
      </c>
      <c r="H90" s="28">
        <f ca="1"/>
        <v>22001.715648711659</v>
      </c>
      <c r="I90" s="28">
        <f ca="1"/>
        <v>22082.789959286449</v>
      </c>
      <c r="J90" s="28">
        <f ca="1"/>
        <v>22171.319191278202</v>
      </c>
      <c r="K90" s="28">
        <f ca="1"/>
        <v>22248.316609304758</v>
      </c>
      <c r="L90" s="28">
        <f ca="1"/>
        <v>22332.479912060953</v>
      </c>
      <c r="M90" s="28">
        <f ca="1"/>
        <v>22424.33874270456</v>
      </c>
      <c r="N90" s="28">
        <f ca="1"/>
        <v>22504.882561455575</v>
      </c>
      <c r="O90" s="28">
        <f ca="1"/>
        <v>22592.90624926001</v>
      </c>
      <c r="P90" s="28">
        <f ca="1"/>
        <v>22688.867280662012</v>
      </c>
      <c r="Q90" s="28">
        <f ca="1"/>
        <v>22773.872234303639</v>
      </c>
      <c r="R90" s="28">
        <f ca="1"/>
        <v>22866.659201934926</v>
      </c>
      <c r="S90" s="28">
        <f ca="1"/>
        <v>22948.234880042124</v>
      </c>
      <c r="T90" s="28">
        <f ca="1"/>
        <v>23037.41581609186</v>
      </c>
      <c r="U90" s="28">
        <f ca="1"/>
        <v>23134.680655825021</v>
      </c>
      <c r="V90" s="28">
        <f ca="1"/>
        <v>23221.134563390417</v>
      </c>
      <c r="W90" s="28">
        <f ca="1"/>
        <v>23315.471195421746</v>
      </c>
      <c r="X90" s="28">
        <f ca="1"/>
        <v>23398.800368039076</v>
      </c>
      <c r="Y90" s="28">
        <f ca="1"/>
        <v>23489.851790393805</v>
      </c>
      <c r="Z90" s="28">
        <f ca="1"/>
        <v>23589.196484473749</v>
      </c>
      <c r="AA90" s="28">
        <f ca="1"/>
        <v>23677.894925822588</v>
      </c>
      <c r="AB90" s="28">
        <f ca="1"/>
        <v>23774.678278603384</v>
      </c>
      <c r="AC90" s="28">
        <f ca="1"/>
        <v>23860.673373290585</v>
      </c>
      <c r="AD90" s="28">
        <f ca="1"/>
        <v>23954.557317023377</v>
      </c>
      <c r="AE90" s="28">
        <f ca="1"/>
        <v>24056.965483647338</v>
      </c>
      <c r="AF90" s="28">
        <f ca="1"/>
        <v>24148.959637792377</v>
      </c>
      <c r="AG90" s="28">
        <f ca="1"/>
        <v>24249.373798723278</v>
      </c>
      <c r="AH90" s="28">
        <f ca="1"/>
        <v>24339.265288955638</v>
      </c>
      <c r="AI90" s="28">
        <f ca="1"/>
        <v>24437.40322595926</v>
      </c>
      <c r="AJ90" s="28">
        <f ca="1"/>
        <v>24524.879434042195</v>
      </c>
      <c r="AK90" s="29">
        <f ca="1"/>
        <v>24620.477894291649</v>
      </c>
      <c r="AL90" s="3"/>
    </row>
    <row r="91" spans="2:38" hidden="1">
      <c r="B91" s="3"/>
      <c r="C91" s="12"/>
      <c r="D91" s="16"/>
      <c r="E91" s="141">
        <f t="array" aca="1" ref="E91:AK91" ca="1">tlccEupol5</f>
        <v>31939.409223037495</v>
      </c>
      <c r="F91" s="28">
        <f ca="1"/>
        <v>32080.129892923022</v>
      </c>
      <c r="G91" s="28">
        <f ca="1"/>
        <v>32204.597196800853</v>
      </c>
      <c r="H91" s="28">
        <f ca="1"/>
        <v>32340.338966721185</v>
      </c>
      <c r="I91" s="28">
        <f ca="1"/>
        <v>32459.510158974801</v>
      </c>
      <c r="J91" s="28">
        <f ca="1"/>
        <v>32589.639346025018</v>
      </c>
      <c r="K91" s="28">
        <f ca="1"/>
        <v>32702.81791074697</v>
      </c>
      <c r="L91" s="28">
        <f ca="1"/>
        <v>32826.529615013686</v>
      </c>
      <c r="M91" s="28">
        <f ca="1"/>
        <v>32961.552981715307</v>
      </c>
      <c r="N91" s="28">
        <f ca="1"/>
        <v>33079.944403624009</v>
      </c>
      <c r="O91" s="28">
        <f ca="1"/>
        <v>33209.330490879554</v>
      </c>
      <c r="P91" s="28">
        <f ca="1"/>
        <v>33350.383685670677</v>
      </c>
      <c r="Q91" s="28">
        <f ca="1"/>
        <v>33475.33253322939</v>
      </c>
      <c r="R91" s="28">
        <f ca="1"/>
        <v>33611.720169212029</v>
      </c>
      <c r="S91" s="28">
        <f ca="1"/>
        <v>33731.628321991979</v>
      </c>
      <c r="T91" s="28">
        <f ca="1"/>
        <v>33862.715449344563</v>
      </c>
      <c r="U91" s="28">
        <f ca="1"/>
        <v>34005.685113017083</v>
      </c>
      <c r="V91" s="28">
        <f ca="1"/>
        <v>34132.763779076762</v>
      </c>
      <c r="W91" s="28">
        <f ca="1"/>
        <v>34271.429267967877</v>
      </c>
      <c r="X91" s="28">
        <f ca="1"/>
        <v>34393.914883693877</v>
      </c>
      <c r="Y91" s="28">
        <f ca="1"/>
        <v>34527.751440322885</v>
      </c>
      <c r="Z91" s="28">
        <f ca="1"/>
        <v>34673.778283519445</v>
      </c>
      <c r="AA91" s="28">
        <f ca="1"/>
        <v>34804.156191535403</v>
      </c>
      <c r="AB91" s="28">
        <f ca="1"/>
        <v>34946.418117161666</v>
      </c>
      <c r="AC91" s="28">
        <f ca="1"/>
        <v>35072.822373814364</v>
      </c>
      <c r="AD91" s="28">
        <f ca="1"/>
        <v>35210.822455822927</v>
      </c>
      <c r="AE91" s="28">
        <f ca="1"/>
        <v>35361.35229969777</v>
      </c>
      <c r="AF91" s="28">
        <f ca="1"/>
        <v>35496.574578519547</v>
      </c>
      <c r="AG91" s="28">
        <f ca="1"/>
        <v>35644.173431873256</v>
      </c>
      <c r="AH91" s="28">
        <f ca="1"/>
        <v>35776.305003372217</v>
      </c>
      <c r="AI91" s="28">
        <f ca="1"/>
        <v>35920.558033402536</v>
      </c>
      <c r="AJ91" s="28">
        <f ca="1"/>
        <v>36049.139379789085</v>
      </c>
      <c r="AK91" s="29">
        <f ca="1"/>
        <v>36189.659630960756</v>
      </c>
      <c r="AL91" s="3"/>
    </row>
    <row r="92" spans="2:38" hidden="1">
      <c r="B92" s="3"/>
      <c r="C92" s="4"/>
      <c r="D92" s="5"/>
      <c r="E92" s="147">
        <f t="array" aca="1" ref="E92:AK92" ca="1">tlccEupol6</f>
        <v>32913.576968420624</v>
      </c>
      <c r="F92" s="35">
        <f ca="1"/>
        <v>33058.589688192049</v>
      </c>
      <c r="G92" s="35">
        <f ca="1"/>
        <v>33186.853306270488</v>
      </c>
      <c r="H92" s="35">
        <f ca="1"/>
        <v>33326.735267170377</v>
      </c>
      <c r="I92" s="35">
        <f ca="1"/>
        <v>33449.541239606086</v>
      </c>
      <c r="J92" s="35">
        <f ca="1"/>
        <v>33583.639431088166</v>
      </c>
      <c r="K92" s="35">
        <f ca="1"/>
        <v>33700.269997894757</v>
      </c>
      <c r="L92" s="35">
        <f ca="1"/>
        <v>33827.754970201015</v>
      </c>
      <c r="M92" s="35">
        <f ca="1"/>
        <v>33966.89661622946</v>
      </c>
      <c r="N92" s="35">
        <f ca="1"/>
        <v>34088.899034939903</v>
      </c>
      <c r="O92" s="35">
        <f ca="1"/>
        <v>34222.231461716816</v>
      </c>
      <c r="P92" s="35">
        <f ca="1"/>
        <v>34367.586848567582</v>
      </c>
      <c r="Q92" s="35">
        <f ca="1"/>
        <v>34496.346697646819</v>
      </c>
      <c r="R92" s="35">
        <f ca="1"/>
        <v>34636.894223842719</v>
      </c>
      <c r="S92" s="35">
        <f ca="1"/>
        <v>34760.459634464583</v>
      </c>
      <c r="T92" s="35">
        <f ca="1"/>
        <v>34895.544983901033</v>
      </c>
      <c r="U92" s="35">
        <f ca="1"/>
        <v>35042.875292879922</v>
      </c>
      <c r="V92" s="35">
        <f ca="1"/>
        <v>35173.82992097563</v>
      </c>
      <c r="W92" s="35">
        <f ca="1"/>
        <v>35316.724775717987</v>
      </c>
      <c r="X92" s="35">
        <f ca="1"/>
        <v>35442.946263177895</v>
      </c>
      <c r="Y92" s="35">
        <f ca="1"/>
        <v>35580.864900840716</v>
      </c>
      <c r="Z92" s="35">
        <f ca="1"/>
        <v>35731.345634828074</v>
      </c>
      <c r="AA92" s="35">
        <f ca="1"/>
        <v>35865.700133388113</v>
      </c>
      <c r="AB92" s="35">
        <f ca="1"/>
        <v>36012.301117961062</v>
      </c>
      <c r="AC92" s="35">
        <f ca="1"/>
        <v>36142.560766830029</v>
      </c>
      <c r="AD92" s="35">
        <f ca="1"/>
        <v>36284.76991945145</v>
      </c>
      <c r="AE92" s="35">
        <f ca="1"/>
        <v>36439.890997860297</v>
      </c>
      <c r="AF92" s="35">
        <f ca="1"/>
        <v>36579.237622926703</v>
      </c>
      <c r="AG92" s="35">
        <f ca="1"/>
        <v>36731.338314156863</v>
      </c>
      <c r="AH92" s="35">
        <f ca="1"/>
        <v>36867.499963801696</v>
      </c>
      <c r="AI92" s="35">
        <f ca="1"/>
        <v>37016.152782445788</v>
      </c>
      <c r="AJ92" s="35">
        <f ca="1"/>
        <v>37148.655923360013</v>
      </c>
      <c r="AK92" s="36">
        <f ca="1"/>
        <v>37293.46211154788</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3152.2924603799979</v>
      </c>
      <c r="F96" s="28">
        <f ca="1"/>
        <v>3128.7142030441105</v>
      </c>
      <c r="G96" s="28">
        <f ca="1"/>
        <v>3104.9494508487378</v>
      </c>
      <c r="H96" s="28">
        <f ca="1"/>
        <v>3084.0735791585507</v>
      </c>
      <c r="I96" s="28">
        <f ca="1"/>
        <v>3064.273176230497</v>
      </c>
      <c r="J96" s="28">
        <f ca="1"/>
        <v>3047.0253465700671</v>
      </c>
      <c r="K96" s="28">
        <f ca="1"/>
        <v>3033.6438247268097</v>
      </c>
      <c r="L96" s="28">
        <f ca="1"/>
        <v>3022.5488190381679</v>
      </c>
      <c r="M96" s="28">
        <f ca="1"/>
        <v>3011.4039213786118</v>
      </c>
      <c r="N96" s="28">
        <f ca="1"/>
        <v>3002.4897498467685</v>
      </c>
      <c r="O96" s="28">
        <f ca="1"/>
        <v>2996.3495817607754</v>
      </c>
      <c r="P96" s="28">
        <f ca="1"/>
        <v>2991.8565559028757</v>
      </c>
      <c r="Q96" s="28">
        <f ca="1"/>
        <v>2988.0765470939723</v>
      </c>
      <c r="R96" s="28">
        <f ca="1"/>
        <v>2985.2890119496069</v>
      </c>
      <c r="S96" s="28">
        <f ca="1"/>
        <v>2983.1649482394041</v>
      </c>
      <c r="T96" s="28">
        <f ca="1"/>
        <v>2982.8987534536127</v>
      </c>
      <c r="U96" s="28">
        <f ca="1"/>
        <v>2983.4440749369569</v>
      </c>
      <c r="V96" s="28">
        <f ca="1"/>
        <v>2984.2451806629529</v>
      </c>
      <c r="W96" s="28">
        <f ca="1"/>
        <v>2985.3908728429951</v>
      </c>
      <c r="X96" s="28">
        <f ca="1"/>
        <v>2986.4735396460828</v>
      </c>
      <c r="Y96" s="28">
        <f ca="1"/>
        <v>2987.3705869787595</v>
      </c>
      <c r="Z96" s="28">
        <f ca="1"/>
        <v>2987.9717355228768</v>
      </c>
      <c r="AA96" s="28">
        <f ca="1"/>
        <v>2988.3679324298696</v>
      </c>
      <c r="AB96" s="28">
        <f ca="1"/>
        <v>2988.3679324298696</v>
      </c>
      <c r="AC96" s="28">
        <f ca="1"/>
        <v>2988.3679324298696</v>
      </c>
      <c r="AD96" s="28">
        <f ca="1"/>
        <v>2988.3679324298696</v>
      </c>
      <c r="AE96" s="28">
        <f ca="1"/>
        <v>2988.3679324298696</v>
      </c>
      <c r="AF96" s="28">
        <f ca="1"/>
        <v>2988.3679324298696</v>
      </c>
      <c r="AG96" s="28">
        <f ca="1"/>
        <v>2988.3679324298696</v>
      </c>
      <c r="AH96" s="28">
        <f ca="1"/>
        <v>2988.3679324298696</v>
      </c>
      <c r="AI96" s="28">
        <f ca="1"/>
        <v>2988.3679324298696</v>
      </c>
      <c r="AJ96" s="28">
        <f ca="1"/>
        <v>2988.3679324298696</v>
      </c>
      <c r="AK96" s="29">
        <f ca="1"/>
        <v>2988.3679324298696</v>
      </c>
      <c r="AL96" s="3"/>
    </row>
    <row r="97" spans="2:38" hidden="1">
      <c r="B97" s="3"/>
      <c r="C97" s="12"/>
      <c r="D97" s="16"/>
      <c r="E97" s="141">
        <f t="array" aca="1" ref="E97:AK97" ca="1">tlccFupolElec2</f>
        <v>2698.4500294353302</v>
      </c>
      <c r="F97" s="28">
        <f ca="1"/>
        <v>2678.2663853091153</v>
      </c>
      <c r="G97" s="28">
        <f ca="1"/>
        <v>2657.9230963956888</v>
      </c>
      <c r="H97" s="28">
        <f ca="1"/>
        <v>2640.0527695510523</v>
      </c>
      <c r="I97" s="28">
        <f ca="1"/>
        <v>2623.1030738817631</v>
      </c>
      <c r="J97" s="28">
        <f ca="1"/>
        <v>2608.3384519312749</v>
      </c>
      <c r="K97" s="28">
        <f ca="1"/>
        <v>2596.883497016503</v>
      </c>
      <c r="L97" s="28">
        <f ca="1"/>
        <v>2587.3858635312235</v>
      </c>
      <c r="M97" s="28">
        <f ca="1"/>
        <v>2577.8455211310588</v>
      </c>
      <c r="N97" s="28">
        <f ca="1"/>
        <v>2570.2147423455162</v>
      </c>
      <c r="O97" s="28">
        <f ca="1"/>
        <v>2564.9585876705819</v>
      </c>
      <c r="P97" s="28">
        <f ca="1"/>
        <v>2561.1124325593769</v>
      </c>
      <c r="Q97" s="28">
        <f ca="1"/>
        <v>2557.8766398752105</v>
      </c>
      <c r="R97" s="28">
        <f ca="1"/>
        <v>2555.4904322542784</v>
      </c>
      <c r="S97" s="28">
        <f ca="1"/>
        <v>2553.6721746359394</v>
      </c>
      <c r="T97" s="28">
        <f ca="1"/>
        <v>2553.4443044948966</v>
      </c>
      <c r="U97" s="28">
        <f ca="1"/>
        <v>2553.9111148531601</v>
      </c>
      <c r="V97" s="28">
        <f ca="1"/>
        <v>2554.5968836379625</v>
      </c>
      <c r="W97" s="28">
        <f ca="1"/>
        <v>2555.577628012355</v>
      </c>
      <c r="X97" s="28">
        <f ca="1"/>
        <v>2556.5044209109774</v>
      </c>
      <c r="Y97" s="28">
        <f ca="1"/>
        <v>2557.2723183797843</v>
      </c>
      <c r="Z97" s="28">
        <f ca="1"/>
        <v>2557.7869182549412</v>
      </c>
      <c r="AA97" s="28">
        <f ca="1"/>
        <v>2558.1260738278374</v>
      </c>
      <c r="AB97" s="28">
        <f ca="1"/>
        <v>2558.1260738278374</v>
      </c>
      <c r="AC97" s="28">
        <f ca="1"/>
        <v>2558.1260738278374</v>
      </c>
      <c r="AD97" s="28">
        <f ca="1"/>
        <v>2558.1260738278374</v>
      </c>
      <c r="AE97" s="28">
        <f ca="1"/>
        <v>2558.1260738278374</v>
      </c>
      <c r="AF97" s="28">
        <f ca="1"/>
        <v>2558.1260738278374</v>
      </c>
      <c r="AG97" s="28">
        <f ca="1"/>
        <v>2558.1260738278374</v>
      </c>
      <c r="AH97" s="28">
        <f ca="1"/>
        <v>2558.1260738278374</v>
      </c>
      <c r="AI97" s="28">
        <f ca="1"/>
        <v>2558.1260738278374</v>
      </c>
      <c r="AJ97" s="28">
        <f ca="1"/>
        <v>2558.1260738278374</v>
      </c>
      <c r="AK97" s="29">
        <f ca="1"/>
        <v>2558.1260738278374</v>
      </c>
      <c r="AL97" s="3"/>
    </row>
    <row r="98" spans="2:38" hidden="1">
      <c r="B98" s="3"/>
      <c r="C98" s="12"/>
      <c r="D98" s="16"/>
      <c r="E98" s="141">
        <f t="array" aca="1" ref="E98:AK98" ca="1">tlccFupolElec3</f>
        <v>10493.248963133916</v>
      </c>
      <c r="F98" s="28">
        <f ca="1"/>
        <v>10414.76242438412</v>
      </c>
      <c r="G98" s="28">
        <f ca="1"/>
        <v>10335.655087591145</v>
      </c>
      <c r="H98" s="28">
        <f ca="1"/>
        <v>10266.164162583138</v>
      </c>
      <c r="I98" s="28">
        <f ca="1"/>
        <v>10200.253223130081</v>
      </c>
      <c r="J98" s="28">
        <f ca="1"/>
        <v>10142.839206830718</v>
      </c>
      <c r="K98" s="28">
        <f ca="1"/>
        <v>10098.295230669957</v>
      </c>
      <c r="L98" s="28">
        <f ca="1"/>
        <v>10061.362535369131</v>
      </c>
      <c r="M98" s="28">
        <f ca="1"/>
        <v>10024.263761292734</v>
      </c>
      <c r="N98" s="28">
        <f ca="1"/>
        <v>9994.5905560431056</v>
      </c>
      <c r="O98" s="28">
        <f ca="1"/>
        <v>9974.151363546971</v>
      </c>
      <c r="P98" s="28">
        <f ca="1"/>
        <v>9959.1951247089473</v>
      </c>
      <c r="Q98" s="28">
        <f ca="1"/>
        <v>9946.6123539117616</v>
      </c>
      <c r="R98" s="28">
        <f ca="1"/>
        <v>9937.3332972788667</v>
      </c>
      <c r="S98" s="28">
        <f ca="1"/>
        <v>9930.2627828501318</v>
      </c>
      <c r="T98" s="28">
        <f ca="1"/>
        <v>9929.3766822756734</v>
      </c>
      <c r="U98" s="28">
        <f ca="1"/>
        <v>9931.1919307532808</v>
      </c>
      <c r="V98" s="28">
        <f ca="1"/>
        <v>9933.858625526791</v>
      </c>
      <c r="W98" s="28">
        <f ca="1"/>
        <v>9937.6723685190409</v>
      </c>
      <c r="X98" s="28">
        <f ca="1"/>
        <v>9941.2763146794023</v>
      </c>
      <c r="Y98" s="28">
        <f ca="1"/>
        <v>9944.2623767633595</v>
      </c>
      <c r="Z98" s="28">
        <f ca="1"/>
        <v>9946.2634605512812</v>
      </c>
      <c r="AA98" s="28">
        <f ca="1"/>
        <v>9947.5823079728798</v>
      </c>
      <c r="AB98" s="28">
        <f ca="1"/>
        <v>9947.5823079728798</v>
      </c>
      <c r="AC98" s="28">
        <f ca="1"/>
        <v>9947.5823079728798</v>
      </c>
      <c r="AD98" s="28">
        <f ca="1"/>
        <v>9947.5823079728798</v>
      </c>
      <c r="AE98" s="28">
        <f ca="1"/>
        <v>9947.5823079728798</v>
      </c>
      <c r="AF98" s="28">
        <f ca="1"/>
        <v>9947.5823079728798</v>
      </c>
      <c r="AG98" s="28">
        <f ca="1"/>
        <v>9947.5823079728798</v>
      </c>
      <c r="AH98" s="28">
        <f ca="1"/>
        <v>9947.5823079728798</v>
      </c>
      <c r="AI98" s="28">
        <f ca="1"/>
        <v>9947.5823079728798</v>
      </c>
      <c r="AJ98" s="28">
        <f ca="1"/>
        <v>9947.5823079728798</v>
      </c>
      <c r="AK98" s="29">
        <f ca="1"/>
        <v>9947.5823079728798</v>
      </c>
      <c r="AL98" s="3"/>
    </row>
    <row r="99" spans="2:38" hidden="1">
      <c r="B99" s="3"/>
      <c r="C99" s="12"/>
      <c r="D99" s="16"/>
      <c r="E99" s="141">
        <f t="array" aca="1" ref="E99:AK99" ca="1">tlccFupolElec4</f>
        <v>4621.3737722758151</v>
      </c>
      <c r="F99" s="28">
        <f ca="1"/>
        <v>4586.807201623642</v>
      </c>
      <c r="G99" s="28">
        <f ca="1"/>
        <v>4551.9672228206946</v>
      </c>
      <c r="H99" s="28">
        <f ca="1"/>
        <v>4521.3624464190789</v>
      </c>
      <c r="I99" s="28">
        <f ca="1"/>
        <v>4492.3343457836536</v>
      </c>
      <c r="J99" s="28">
        <f ca="1"/>
        <v>4467.0484090810105</v>
      </c>
      <c r="K99" s="28">
        <f ca="1"/>
        <v>4447.4306182647006</v>
      </c>
      <c r="L99" s="28">
        <f ca="1"/>
        <v>4431.164942114031</v>
      </c>
      <c r="M99" s="28">
        <f ca="1"/>
        <v>4414.8261225451251</v>
      </c>
      <c r="N99" s="28">
        <f ca="1"/>
        <v>4401.7576274620687</v>
      </c>
      <c r="O99" s="28">
        <f ca="1"/>
        <v>4392.7559208924458</v>
      </c>
      <c r="P99" s="28">
        <f ca="1"/>
        <v>4386.1689838874472</v>
      </c>
      <c r="Q99" s="28">
        <f ca="1"/>
        <v>4380.6273554414838</v>
      </c>
      <c r="R99" s="28">
        <f ca="1"/>
        <v>4376.5407289728491</v>
      </c>
      <c r="S99" s="28">
        <f ca="1"/>
        <v>4373.4267754154471</v>
      </c>
      <c r="T99" s="28">
        <f ca="1"/>
        <v>4373.03652431507</v>
      </c>
      <c r="U99" s="28">
        <f ca="1"/>
        <v>4373.835985162139</v>
      </c>
      <c r="V99" s="28">
        <f ca="1"/>
        <v>4375.0104348800733</v>
      </c>
      <c r="W99" s="28">
        <f ca="1"/>
        <v>4376.6900606947765</v>
      </c>
      <c r="X99" s="28">
        <f ca="1"/>
        <v>4378.2772890470915</v>
      </c>
      <c r="Y99" s="28">
        <f ca="1"/>
        <v>4379.5923926004025</v>
      </c>
      <c r="Z99" s="28">
        <f ca="1"/>
        <v>4380.4736979202426</v>
      </c>
      <c r="AA99" s="28">
        <f ca="1"/>
        <v>4381.0545367915229</v>
      </c>
      <c r="AB99" s="28">
        <f ca="1"/>
        <v>4381.0545367915229</v>
      </c>
      <c r="AC99" s="28">
        <f ca="1"/>
        <v>4381.0545367915229</v>
      </c>
      <c r="AD99" s="28">
        <f ca="1"/>
        <v>4381.0545367915229</v>
      </c>
      <c r="AE99" s="28">
        <f ca="1"/>
        <v>4381.0545367915229</v>
      </c>
      <c r="AF99" s="28">
        <f ca="1"/>
        <v>4381.0545367915229</v>
      </c>
      <c r="AG99" s="28">
        <f ca="1"/>
        <v>4381.0545367915229</v>
      </c>
      <c r="AH99" s="28">
        <f ca="1"/>
        <v>4381.0545367915229</v>
      </c>
      <c r="AI99" s="28">
        <f ca="1"/>
        <v>4381.0545367915229</v>
      </c>
      <c r="AJ99" s="28">
        <f ca="1"/>
        <v>4381.0545367915229</v>
      </c>
      <c r="AK99" s="29">
        <f ca="1"/>
        <v>4381.0545367915229</v>
      </c>
      <c r="AL99" s="3"/>
    </row>
    <row r="100" spans="2:38" hidden="1">
      <c r="B100" s="3"/>
      <c r="C100" s="12"/>
      <c r="D100" s="16"/>
      <c r="E100" s="141">
        <f t="array" aca="1" ref="E100:AK100" ca="1">tlccFupolElec5</f>
        <v>6792.9609069402895</v>
      </c>
      <c r="F100" s="28">
        <f ca="1"/>
        <v>6742.1514778186165</v>
      </c>
      <c r="G100" s="28">
        <f ca="1"/>
        <v>6690.9401658431952</v>
      </c>
      <c r="H100" s="28">
        <f ca="1"/>
        <v>6645.9541811758181</v>
      </c>
      <c r="I100" s="28">
        <f ca="1"/>
        <v>6603.2857534450604</v>
      </c>
      <c r="J100" s="28">
        <f ca="1"/>
        <v>6566.1179353934504</v>
      </c>
      <c r="K100" s="28">
        <f ca="1"/>
        <v>6537.281729394449</v>
      </c>
      <c r="L100" s="28">
        <f ca="1"/>
        <v>6513.3727993530601</v>
      </c>
      <c r="M100" s="28">
        <f ca="1"/>
        <v>6489.356355744244</v>
      </c>
      <c r="N100" s="28">
        <f ca="1"/>
        <v>6470.1469646440701</v>
      </c>
      <c r="O100" s="28">
        <f ca="1"/>
        <v>6456.915349146956</v>
      </c>
      <c r="P100" s="28">
        <f ca="1"/>
        <v>6447.2332053134787</v>
      </c>
      <c r="Q100" s="28">
        <f ca="1"/>
        <v>6439.0875613450016</v>
      </c>
      <c r="R100" s="28">
        <f ca="1"/>
        <v>6433.0806259161373</v>
      </c>
      <c r="S100" s="28">
        <f ca="1"/>
        <v>6428.5034231570016</v>
      </c>
      <c r="T100" s="28">
        <f ca="1"/>
        <v>6427.929792760634</v>
      </c>
      <c r="U100" s="28">
        <f ca="1"/>
        <v>6429.1049208823506</v>
      </c>
      <c r="V100" s="28">
        <f ca="1"/>
        <v>6430.8312454373909</v>
      </c>
      <c r="W100" s="28">
        <f ca="1"/>
        <v>6433.3001287304951</v>
      </c>
      <c r="X100" s="28">
        <f ca="1"/>
        <v>6435.6331969216781</v>
      </c>
      <c r="Y100" s="28">
        <f ca="1"/>
        <v>6437.5662686588776</v>
      </c>
      <c r="Z100" s="28">
        <f ca="1"/>
        <v>6438.8617000348613</v>
      </c>
      <c r="AA100" s="28">
        <f ca="1"/>
        <v>6439.715475544107</v>
      </c>
      <c r="AB100" s="28">
        <f ca="1"/>
        <v>6439.715475544107</v>
      </c>
      <c r="AC100" s="28">
        <f ca="1"/>
        <v>6439.715475544107</v>
      </c>
      <c r="AD100" s="28">
        <f ca="1"/>
        <v>6439.715475544107</v>
      </c>
      <c r="AE100" s="28">
        <f ca="1"/>
        <v>6439.715475544107</v>
      </c>
      <c r="AF100" s="28">
        <f ca="1"/>
        <v>6439.715475544107</v>
      </c>
      <c r="AG100" s="28">
        <f ca="1"/>
        <v>6439.715475544107</v>
      </c>
      <c r="AH100" s="28">
        <f ca="1"/>
        <v>6439.715475544107</v>
      </c>
      <c r="AI100" s="28">
        <f ca="1"/>
        <v>6439.715475544107</v>
      </c>
      <c r="AJ100" s="28">
        <f ca="1"/>
        <v>6439.715475544107</v>
      </c>
      <c r="AK100" s="29">
        <f ca="1"/>
        <v>6439.715475544107</v>
      </c>
      <c r="AL100" s="3"/>
    </row>
    <row r="101" spans="2:38" hidden="1">
      <c r="B101" s="3"/>
      <c r="C101" s="4"/>
      <c r="D101" s="5"/>
      <c r="E101" s="147">
        <f t="array" aca="1" ref="E101:AK101" ca="1">tlccFupolElec6</f>
        <v>7000.1495673497184</v>
      </c>
      <c r="F101" s="35">
        <f ca="1"/>
        <v>6947.7904255622288</v>
      </c>
      <c r="G101" s="35">
        <f ca="1"/>
        <v>6895.0171432955958</v>
      </c>
      <c r="H101" s="35">
        <f ca="1"/>
        <v>6848.6590638924881</v>
      </c>
      <c r="I101" s="35">
        <f ca="1"/>
        <v>6804.6892280564252</v>
      </c>
      <c r="J101" s="35">
        <f ca="1"/>
        <v>6766.387773209618</v>
      </c>
      <c r="K101" s="35">
        <f ca="1"/>
        <v>6736.672048695189</v>
      </c>
      <c r="L101" s="35">
        <f ca="1"/>
        <v>6712.0338844869993</v>
      </c>
      <c r="M101" s="35">
        <f ca="1"/>
        <v>6687.2849274945065</v>
      </c>
      <c r="N101" s="35">
        <f ca="1"/>
        <v>6667.4896404847505</v>
      </c>
      <c r="O101" s="35">
        <f ca="1"/>
        <v>6653.8544541843521</v>
      </c>
      <c r="P101" s="35">
        <f ca="1"/>
        <v>6643.8770001852154</v>
      </c>
      <c r="Q101" s="35">
        <f ca="1"/>
        <v>6635.4829100553188</v>
      </c>
      <c r="R101" s="35">
        <f ca="1"/>
        <v>6629.2927601310794</v>
      </c>
      <c r="S101" s="35">
        <f ca="1"/>
        <v>6624.5759504286561</v>
      </c>
      <c r="T101" s="35">
        <f ca="1"/>
        <v>6623.9848240220772</v>
      </c>
      <c r="U101" s="35">
        <f ca="1"/>
        <v>6625.1957941315059</v>
      </c>
      <c r="V101" s="35">
        <f ca="1"/>
        <v>6626.974772437522</v>
      </c>
      <c r="W101" s="35">
        <f ca="1"/>
        <v>6629.5189578896134</v>
      </c>
      <c r="X101" s="35">
        <f ca="1"/>
        <v>6631.9231858121411</v>
      </c>
      <c r="Y101" s="35">
        <f ca="1"/>
        <v>6633.9152171914156</v>
      </c>
      <c r="Z101" s="35">
        <f ca="1"/>
        <v>6635.2501598637436</v>
      </c>
      <c r="AA101" s="35">
        <f ca="1"/>
        <v>6636.1299759474123</v>
      </c>
      <c r="AB101" s="35">
        <f ca="1"/>
        <v>6636.1299759474123</v>
      </c>
      <c r="AC101" s="35">
        <f ca="1"/>
        <v>6636.1299759474123</v>
      </c>
      <c r="AD101" s="35">
        <f ca="1"/>
        <v>6636.1299759474123</v>
      </c>
      <c r="AE101" s="35">
        <f ca="1"/>
        <v>6636.1299759474123</v>
      </c>
      <c r="AF101" s="35">
        <f ca="1"/>
        <v>6636.1299759474123</v>
      </c>
      <c r="AG101" s="35">
        <f ca="1"/>
        <v>6636.1299759474123</v>
      </c>
      <c r="AH101" s="35">
        <f ca="1"/>
        <v>6636.1299759474123</v>
      </c>
      <c r="AI101" s="35">
        <f ca="1"/>
        <v>6636.1299759474123</v>
      </c>
      <c r="AJ101" s="35">
        <f ca="1"/>
        <v>6636.1299759474123</v>
      </c>
      <c r="AK101" s="36">
        <f ca="1"/>
        <v>6636.1299759474123</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INDEX(_doName,5,1)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INDEX(_doName,5,1)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(1+INDEX(vadInMx,1,1))*INDEX(mspInMx,1,1)*tPIdxAll + INDEX(instInMx,1,1) + SUMPRODUCT(dFactor,tpSurvInMx,INDEX(mrInMx,1,1)*allOnes)</f>
        <v>1055.4077819999998</v>
      </c>
      <c r="F106" s="28">
        <f ca="1"/>
        <v>1055.4077819999998</v>
      </c>
      <c r="G106" s="28">
        <f ca="1"/>
        <v>1055.4077819999998</v>
      </c>
      <c r="H106" s="28">
        <f ca="1"/>
        <v>1055.4077819999998</v>
      </c>
      <c r="I106" s="28">
        <f ca="1"/>
        <v>1055.4077819999998</v>
      </c>
      <c r="J106" s="28">
        <f ca="1"/>
        <v>1055.4077819999998</v>
      </c>
      <c r="K106" s="28">
        <f ca="1"/>
        <v>1055.4077819999998</v>
      </c>
      <c r="L106" s="28">
        <f ca="1"/>
        <v>1055.4077819999998</v>
      </c>
      <c r="M106" s="28">
        <f ca="1"/>
        <v>1055.4077819999998</v>
      </c>
      <c r="N106" s="28">
        <f ca="1"/>
        <v>1055.4077819999998</v>
      </c>
      <c r="O106" s="28">
        <f ca="1"/>
        <v>1055.4077819999998</v>
      </c>
      <c r="P106" s="28">
        <f ca="1"/>
        <v>1055.4077819999998</v>
      </c>
      <c r="Q106" s="28">
        <f ca="1"/>
        <v>1055.4077819999998</v>
      </c>
      <c r="R106" s="28">
        <f ca="1"/>
        <v>1055.4077819999998</v>
      </c>
      <c r="S106" s="28">
        <f ca="1"/>
        <v>1055.4077819999998</v>
      </c>
      <c r="T106" s="28">
        <f ca="1"/>
        <v>1055.4077819999998</v>
      </c>
      <c r="U106" s="28">
        <f ca="1"/>
        <v>1055.4077819999998</v>
      </c>
      <c r="V106" s="28">
        <f ca="1"/>
        <v>1055.4077819999998</v>
      </c>
      <c r="W106" s="28">
        <f ca="1"/>
        <v>1055.4077819999998</v>
      </c>
      <c r="X106" s="28">
        <f ca="1"/>
        <v>1055.4077819999998</v>
      </c>
      <c r="Y106" s="28">
        <f ca="1"/>
        <v>1055.4077819999998</v>
      </c>
      <c r="Z106" s="28">
        <f ca="1"/>
        <v>1055.4077819999998</v>
      </c>
      <c r="AA106" s="28">
        <f ca="1"/>
        <v>1055.4077819999998</v>
      </c>
      <c r="AB106" s="28">
        <f ca="1"/>
        <v>1055.4077819999998</v>
      </c>
      <c r="AC106" s="28">
        <f ca="1"/>
        <v>1055.4077819999998</v>
      </c>
      <c r="AD106" s="28">
        <f ca="1"/>
        <v>1055.4077819999998</v>
      </c>
      <c r="AE106" s="28">
        <f ca="1"/>
        <v>1055.4077819999998</v>
      </c>
      <c r="AF106" s="28">
        <f ca="1"/>
        <v>1055.4077819999998</v>
      </c>
      <c r="AG106" s="28">
        <f ca="1"/>
        <v>1055.4077819999998</v>
      </c>
      <c r="AH106" s="28">
        <f ca="1"/>
        <v>1055.4077819999998</v>
      </c>
      <c r="AI106" s="28">
        <f ca="1"/>
        <v>1055.4077819999998</v>
      </c>
      <c r="AJ106" s="28">
        <f ca="1"/>
        <v>1055.4077819999998</v>
      </c>
      <c r="AK106" s="29">
        <f ca="1"/>
        <v>1055.4077819999998</v>
      </c>
      <c r="AL106" s="3"/>
    </row>
    <row r="107" spans="2:38">
      <c r="B107" s="3"/>
      <c r="C107" s="23" t="s">
        <v>47</v>
      </c>
      <c r="D107" s="16" t="str">
        <f>_yearDol &amp; "$"</f>
        <v>2013$</v>
      </c>
      <c r="E107" s="141">
        <f t="array" aca="1" ref="E107:AK107" ca="1">(tlccEFubcElec0)</f>
        <v>10192.437215170778</v>
      </c>
      <c r="F107" s="28">
        <f ca="1"/>
        <v>10237.343699904701</v>
      </c>
      <c r="G107" s="28">
        <f ca="1"/>
        <v>10277.063444601834</v>
      </c>
      <c r="H107" s="28">
        <f ca="1"/>
        <v>10320.381073231963</v>
      </c>
      <c r="I107" s="28">
        <f ca="1"/>
        <v>10358.410733906643</v>
      </c>
      <c r="J107" s="28">
        <f ca="1"/>
        <v>10399.937286874752</v>
      </c>
      <c r="K107" s="28">
        <f ca="1"/>
        <v>10436.054592832921</v>
      </c>
      <c r="L107" s="28">
        <f ca="1"/>
        <v>10475.533212168521</v>
      </c>
      <c r="M107" s="28">
        <f ca="1"/>
        <v>10518.621585471765</v>
      </c>
      <c r="N107" s="28">
        <f ca="1"/>
        <v>10556.402407471094</v>
      </c>
      <c r="O107" s="28">
        <f ca="1"/>
        <v>10597.691823992851</v>
      </c>
      <c r="P107" s="28">
        <f ca="1"/>
        <v>10642.70442337653</v>
      </c>
      <c r="Q107" s="28">
        <f ca="1"/>
        <v>10682.577837282108</v>
      </c>
      <c r="R107" s="28">
        <f ca="1"/>
        <v>10726.101573334056</v>
      </c>
      <c r="S107" s="28">
        <f ca="1"/>
        <v>10764.366411304674</v>
      </c>
      <c r="T107" s="28">
        <f ca="1"/>
        <v>10806.198660170901</v>
      </c>
      <c r="U107" s="28">
        <f ca="1"/>
        <v>10851.822839080418</v>
      </c>
      <c r="V107" s="28">
        <f ca="1"/>
        <v>10892.375916194525</v>
      </c>
      <c r="W107" s="28">
        <f ca="1"/>
        <v>10936.626555884328</v>
      </c>
      <c r="X107" s="28">
        <f ca="1"/>
        <v>10975.713908418964</v>
      </c>
      <c r="Y107" s="28">
        <f ca="1"/>
        <v>11018.423549383515</v>
      </c>
      <c r="Z107" s="28">
        <f ca="1"/>
        <v>11065.023329004263</v>
      </c>
      <c r="AA107" s="28">
        <f ca="1"/>
        <v>11106.629253284769</v>
      </c>
      <c r="AB107" s="28">
        <f ca="1"/>
        <v>11152.027580314852</v>
      </c>
      <c r="AC107" s="28">
        <f ca="1"/>
        <v>11192.365441314925</v>
      </c>
      <c r="AD107" s="28">
        <f ca="1"/>
        <v>11236.403737757364</v>
      </c>
      <c r="AE107" s="28">
        <f ca="1"/>
        <v>11284.440505500619</v>
      </c>
      <c r="AF107" s="28">
        <f ca="1"/>
        <v>11327.592355222028</v>
      </c>
      <c r="AG107" s="28">
        <f ca="1"/>
        <v>11374.693791423717</v>
      </c>
      <c r="AH107" s="28">
        <f ca="1"/>
        <v>11416.859341113155</v>
      </c>
      <c r="AI107" s="28">
        <f ca="1"/>
        <v>11462.893065200382</v>
      </c>
      <c r="AJ107" s="28">
        <f ca="1"/>
        <v>11503.925674505563</v>
      </c>
      <c r="AK107" s="29">
        <f ca="1"/>
        <v>11548.768202040294</v>
      </c>
      <c r="AL107" s="3"/>
    </row>
    <row r="108" spans="2:38">
      <c r="B108" s="3"/>
      <c r="C108" s="27" t="str">
        <f>INDEX(_fuel,1)</f>
        <v>Electricity</v>
      </c>
      <c r="D108" s="16" t="str">
        <f>_yearDol &amp; "$"</f>
        <v>2013$</v>
      </c>
      <c r="E108" s="141">
        <f ca="1">SUMPRODUCT(dFactor,tpSurvInMx,INDEX(tEIdxElec,1)*INDEX(elecInMx,1,1)*allOnes,OFFSET(tPrcElec,0,0,1,_maxLT))</f>
        <v>10192.437215170778</v>
      </c>
      <c r="F108" s="28">
        <f ca="1">SUMPRODUCT(dFactor,tpSurvInMx,INDEX(tEIdxElec,2)*INDEX(elecInMx,1,1)*allOnes,OFFSET(tPrcElec,0,1,1,_maxLT))</f>
        <v>10237.343699904701</v>
      </c>
      <c r="G108" s="28">
        <f ca="1">SUMPRODUCT(dFactor,tpSurvInMx,INDEX(tEIdxElec,3)*INDEX(elecInMx,1,1)*allOnes,OFFSET(tPrcElec,0,2,1,_maxLT))</f>
        <v>10277.063444601834</v>
      </c>
      <c r="H108" s="28">
        <f ca="1">SUMPRODUCT(dFactor,tpSurvInMx,INDEX(tEIdxElec,4)*INDEX(elecInMx,1,1)*allOnes,OFFSET(tPrcElec,0,3,1,_maxLT))</f>
        <v>10320.381073231963</v>
      </c>
      <c r="I108" s="28">
        <f ca="1">SUMPRODUCT(dFactor,tpSurvInMx,INDEX(tEIdxElec,5)*INDEX(elecInMx,1,1)*allOnes,OFFSET(tPrcElec,0,4,1,_maxLT))</f>
        <v>10358.410733906643</v>
      </c>
      <c r="J108" s="28">
        <f ca="1">SUMPRODUCT(dFactor,tpSurvInMx,INDEX(tEIdxElec,6)*INDEX(elecInMx,1,1)*allOnes,OFFSET(tPrcElec,0,5,1,_maxLT))</f>
        <v>10399.937286874752</v>
      </c>
      <c r="K108" s="28">
        <f ca="1">SUMPRODUCT(dFactor,tpSurvInMx,INDEX(tEIdxElec,7)*INDEX(elecInMx,1,1)*allOnes,OFFSET(tPrcElec,0,6,1,_maxLT))</f>
        <v>10436.054592832921</v>
      </c>
      <c r="L108" s="28">
        <f ca="1">SUMPRODUCT(dFactor,tpSurvInMx,INDEX(tEIdxElec,8)*INDEX(elecInMx,1,1)*allOnes,OFFSET(tPrcElec,0,7,1,_maxLT))</f>
        <v>10475.533212168521</v>
      </c>
      <c r="M108" s="28">
        <f ca="1">SUMPRODUCT(dFactor,tpSurvInMx,INDEX(tEIdxElec,9)*INDEX(elecInMx,1,1)*allOnes,OFFSET(tPrcElec,0,8,1,_maxLT))</f>
        <v>10518.621585471765</v>
      </c>
      <c r="N108" s="28">
        <f ca="1">SUMPRODUCT(dFactor,tpSurvInMx,INDEX(tEIdxElec,10)*INDEX(elecInMx,1,1)*allOnes,OFFSET(tPrcElec,0,9,1,_maxLT))</f>
        <v>10556.402407471094</v>
      </c>
      <c r="O108" s="28">
        <f ca="1">SUMPRODUCT(dFactor,tpSurvInMx,INDEX(tEIdxElec,11)*INDEX(elecInMx,1,1)*allOnes,OFFSET(tPrcElec,0,10,1,_maxLT))</f>
        <v>10597.691823992851</v>
      </c>
      <c r="P108" s="28">
        <f ca="1">SUMPRODUCT(dFactor,tpSurvInMx,INDEX(tEIdxElec,12)*INDEX(elecInMx,1,1)*allOnes,OFFSET(tPrcElec,0,11,1,_maxLT))</f>
        <v>10642.70442337653</v>
      </c>
      <c r="Q108" s="28">
        <f ca="1">SUMPRODUCT(dFactor,tpSurvInMx,INDEX(tEIdxElec,13)*INDEX(elecInMx,1,1)*allOnes,OFFSET(tPrcElec,0,12,1,_maxLT))</f>
        <v>10682.577837282108</v>
      </c>
      <c r="R108" s="28">
        <f ca="1">SUMPRODUCT(dFactor,tpSurvInMx,INDEX(tEIdxElec,14)*INDEX(elecInMx,1,1)*allOnes,OFFSET(tPrcElec,0,13,1,_maxLT))</f>
        <v>10726.101573334056</v>
      </c>
      <c r="S108" s="28">
        <f ca="1">SUMPRODUCT(dFactor,tpSurvInMx,INDEX(tEIdxElec,15)*INDEX(elecInMx,1,1)*allOnes,OFFSET(tPrcElec,0,14,1,_maxLT))</f>
        <v>10764.366411304674</v>
      </c>
      <c r="T108" s="28">
        <f ca="1">SUMPRODUCT(dFactor,tpSurvInMx,INDEX(tEIdxElec,16)*INDEX(elecInMx,1,1)*allOnes,OFFSET(tPrcElec,0,15,1,_maxLT))</f>
        <v>10806.198660170901</v>
      </c>
      <c r="U108" s="28">
        <f ca="1">SUMPRODUCT(dFactor,tpSurvInMx,INDEX(tEIdxElec,17)*INDEX(elecInMx,1,1)*allOnes,OFFSET(tPrcElec,0,16,1,_maxLT))</f>
        <v>10851.822839080418</v>
      </c>
      <c r="V108" s="28">
        <f ca="1">SUMPRODUCT(dFactor,tpSurvInMx,INDEX(tEIdxElec,18)*INDEX(elecInMx,1,1)*allOnes,OFFSET(tPrcElec,0,17,1,_maxLT))</f>
        <v>10892.375916194525</v>
      </c>
      <c r="W108" s="28">
        <f ca="1">SUMPRODUCT(dFactor,tpSurvInMx,INDEX(tEIdxElec,19)*INDEX(elecInMx,1,1)*allOnes,OFFSET(tPrcElec,0,18,1,_maxLT))</f>
        <v>10936.626555884328</v>
      </c>
      <c r="X108" s="28">
        <f ca="1">SUMPRODUCT(dFactor,tpSurvInMx,INDEX(tEIdxElec,20)*INDEX(elecInMx,1,1)*allOnes,OFFSET(tPrcElec,0,19,1,_maxLT))</f>
        <v>10975.713908418964</v>
      </c>
      <c r="Y108" s="28">
        <f ca="1">SUMPRODUCT(dFactor,tpSurvInMx,INDEX(tEIdxElec,21)*INDEX(elecInMx,1,1)*allOnes,OFFSET(tPrcElec,0,20,1,_maxLT))</f>
        <v>11018.423549383515</v>
      </c>
      <c r="Z108" s="28">
        <f ca="1">SUMPRODUCT(dFactor,tpSurvInMx,INDEX(tEIdxElec,22)*INDEX(elecInMx,1,1)*allOnes,OFFSET(tPrcElec,0,21,1,_maxLT))</f>
        <v>11065.023329004263</v>
      </c>
      <c r="AA108" s="28">
        <f ca="1">SUMPRODUCT(dFactor,tpSurvInMx,INDEX(tEIdxElec,23)*INDEX(elecInMx,1,1)*allOnes,OFFSET(tPrcElec,0,22,1,_maxLT))</f>
        <v>11106.629253284769</v>
      </c>
      <c r="AB108" s="28">
        <f ca="1">SUMPRODUCT(dFactor,tpSurvInMx,INDEX(tEIdxElec,24)*INDEX(elecInMx,1,1)*allOnes,OFFSET(tPrcElec,0,23,1,_maxLT))</f>
        <v>11152.027580314852</v>
      </c>
      <c r="AC108" s="28">
        <f ca="1">SUMPRODUCT(dFactor,tpSurvInMx,INDEX(tEIdxElec,25)*INDEX(elecInMx,1,1)*allOnes,OFFSET(tPrcElec,0,24,1,_maxLT))</f>
        <v>11192.365441314925</v>
      </c>
      <c r="AD108" s="28">
        <f ca="1">SUMPRODUCT(dFactor,tpSurvInMx,INDEX(tEIdxElec,26)*INDEX(elecInMx,1,1)*allOnes,OFFSET(tPrcElec,0,25,1,_maxLT))</f>
        <v>11236.403737757364</v>
      </c>
      <c r="AE108" s="28">
        <f ca="1">SUMPRODUCT(dFactor,tpSurvInMx,INDEX(tEIdxElec,27)*INDEX(elecInMx,1,1)*allOnes,OFFSET(tPrcElec,0,26,1,_maxLT))</f>
        <v>11284.440505500619</v>
      </c>
      <c r="AF108" s="28">
        <f ca="1">SUMPRODUCT(dFactor,tpSurvInMx,INDEX(tEIdxElec,28)*INDEX(elecInMx,1,1)*allOnes,OFFSET(tPrcElec,0,27,1,_maxLT))</f>
        <v>11327.592355222028</v>
      </c>
      <c r="AG108" s="28">
        <f ca="1">SUMPRODUCT(dFactor,tpSurvInMx,INDEX(tEIdxElec,29)*INDEX(elecInMx,1,1)*allOnes,OFFSET(tPrcElec,0,28,1,_maxLT))</f>
        <v>11374.693791423717</v>
      </c>
      <c r="AH108" s="28">
        <f ca="1">SUMPRODUCT(dFactor,tpSurvInMx,INDEX(tEIdxElec,30)*INDEX(elecInMx,1,1)*allOnes,OFFSET(tPrcElec,0,29,1,_maxLT))</f>
        <v>11416.859341113155</v>
      </c>
      <c r="AI108" s="28">
        <f ca="1">SUMPRODUCT(dFactor,tpSurvInMx,INDEX(tEIdxElec,31)*INDEX(elecInMx,1,1)*allOnes,OFFSET(tPrcElec,0,30,1,_maxLT))</f>
        <v>11462.893065200382</v>
      </c>
      <c r="AJ108" s="28">
        <f ca="1">SUMPRODUCT(dFactor,tpSurvInMx,INDEX(tEIdxElec,32)*INDEX(elecInMx,1,1)*allOnes,OFFSET(tPrcElec,0,31,1,_maxLT))</f>
        <v>11503.925674505563</v>
      </c>
      <c r="AK108" s="29">
        <f ca="1">SUMPRODUCT(dFactor,tpSurvInMx,INDEX(tEIdxElec,33)*INDEX(elecInMx,1,1)*allOnes,OFFSET(tPrcElec,0,32,1,_maxLT))</f>
        <v>11548.768202040294</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ts2bElec*SUMPRODUCT(tpSurvInMx,INDEX(tEIdxElec,1)*INDEX(elecInMx,1,1)*convFactor)</f>
        <v>2167.7554229512411</v>
      </c>
      <c r="F110" s="22">
        <f ca="1">ts2bElec*SUMPRODUCT(tpSurvInMx,INDEX(tEIdxElec,2)*INDEX(elecInMx,1,1)*convFactor)</f>
        <v>2151.5412246032083</v>
      </c>
      <c r="G110" s="22">
        <f ca="1">ts2bElec*SUMPRODUCT(tpSurvInMx,INDEX(tEIdxElec,3)*INDEX(elecInMx,1,1)*convFactor)</f>
        <v>2135.1987782426313</v>
      </c>
      <c r="H110" s="22">
        <f ca="1">ts2bElec*SUMPRODUCT(tpSurvInMx,INDEX(tEIdxElec,4)*INDEX(elecInMx,1,1)*convFactor)</f>
        <v>2120.8429452626597</v>
      </c>
      <c r="I110" s="22">
        <f ca="1">ts2bElec*SUMPRODUCT(tpSurvInMx,INDEX(tEIdxElec,5)*INDEX(elecInMx,1,1)*convFactor)</f>
        <v>2107.2266861866428</v>
      </c>
      <c r="J110" s="22">
        <f ca="1">ts2bElec*SUMPRODUCT(tpSurvInMx,INDEX(tEIdxElec,6)*INDEX(elecInMx,1,1)*convFactor)</f>
        <v>2095.3657701230277</v>
      </c>
      <c r="K110" s="22">
        <f ca="1">ts2bElec*SUMPRODUCT(tpSurvInMx,INDEX(tEIdxElec,7)*INDEX(elecInMx,1,1)*convFactor)</f>
        <v>2086.1636206056041</v>
      </c>
      <c r="L110" s="22">
        <f ca="1">ts2bElec*SUMPRODUCT(tpSurvInMx,INDEX(tEIdxElec,8)*INDEX(elecInMx,1,1)*convFactor)</f>
        <v>2078.5338530470676</v>
      </c>
      <c r="M110" s="22">
        <f ca="1">ts2bElec*SUMPRODUCT(tpSurvInMx,INDEX(tEIdxElec,9)*INDEX(elecInMx,1,1)*convFactor)</f>
        <v>2070.8697759846159</v>
      </c>
      <c r="N110" s="22">
        <f ca="1">ts2bElec*SUMPRODUCT(tpSurvInMx,INDEX(tEIdxElec,10)*INDEX(elecInMx,1,1)*convFactor)</f>
        <v>2064.7397154264213</v>
      </c>
      <c r="O110" s="22">
        <f ca="1">ts2bElec*SUMPRODUCT(tpSurvInMx,INDEX(tEIdxElec,11)*INDEX(elecInMx,1,1)*convFactor)</f>
        <v>2060.5172700684675</v>
      </c>
      <c r="P110" s="22">
        <f ca="1">ts2bElec*SUMPRODUCT(tpSurvInMx,INDEX(tEIdxElec,12)*INDEX(elecInMx,1,1)*convFactor)</f>
        <v>2057.427524655775</v>
      </c>
      <c r="Q110" s="22">
        <f ca="1">ts2bElec*SUMPRODUCT(tpSurvInMx,INDEX(tEIdxElec,13)*INDEX(elecInMx,1,1)*convFactor)</f>
        <v>2054.8281038541545</v>
      </c>
      <c r="R110" s="22">
        <f ca="1">ts2bElec*SUMPRODUCT(tpSurvInMx,INDEX(tEIdxElec,14)*INDEX(elecInMx,1,1)*convFactor)</f>
        <v>2052.9111832315239</v>
      </c>
      <c r="S110" s="22">
        <f ca="1">ts2bElec*SUMPRODUCT(tpSurvInMx,INDEX(tEIdxElec,15)*INDEX(elecInMx,1,1)*convFactor)</f>
        <v>2051.450515896765</v>
      </c>
      <c r="T110" s="22">
        <f ca="1">ts2bElec*SUMPRODUCT(tpSurvInMx,INDEX(tEIdxElec,16)*INDEX(elecInMx,1,1)*convFactor)</f>
        <v>2051.2674601690005</v>
      </c>
      <c r="U110" s="22">
        <f ca="1">ts2bElec*SUMPRODUCT(tpSurvInMx,INDEX(tEIdxElec,17)*INDEX(elecInMx,1,1)*convFactor)</f>
        <v>2051.6424645880475</v>
      </c>
      <c r="V110" s="22">
        <f ca="1">ts2bElec*SUMPRODUCT(tpSurvInMx,INDEX(tEIdxElec,18)*INDEX(elecInMx,1,1)*convFactor)</f>
        <v>2052.1933656556712</v>
      </c>
      <c r="W110" s="22">
        <f ca="1">ts2bElec*SUMPRODUCT(tpSurvInMx,INDEX(tEIdxElec,19)*INDEX(elecInMx,1,1)*convFactor)</f>
        <v>2052.9812305088008</v>
      </c>
      <c r="X110" s="22">
        <f ca="1">ts2bElec*SUMPRODUCT(tpSurvInMx,INDEX(tEIdxElec,20)*INDEX(elecInMx,1,1)*convFactor)</f>
        <v>2053.7257543317455</v>
      </c>
      <c r="Y110" s="22">
        <f ca="1">ts2bElec*SUMPRODUCT(tpSurvInMx,INDEX(tEIdxElec,21)*INDEX(elecInMx,1,1)*convFactor)</f>
        <v>2054.342632126079</v>
      </c>
      <c r="Z110" s="22">
        <f ca="1">ts2bElec*SUMPRODUCT(tpSurvInMx,INDEX(tEIdxElec,22)*INDEX(elecInMx,1,1)*convFactor)</f>
        <v>2054.7560274670536</v>
      </c>
      <c r="AA110" s="22">
        <f ca="1">ts2bElec*SUMPRODUCT(tpSurvInMx,INDEX(tEIdxElec,23)*INDEX(elecInMx,1,1)*convFactor)</f>
        <v>2055.0284825150811</v>
      </c>
      <c r="AB110" s="22">
        <f ca="1">ts2bElec*SUMPRODUCT(tpSurvInMx,INDEX(tEIdxElec,24)*INDEX(elecInMx,1,1)*convFactor)</f>
        <v>2055.0284825150811</v>
      </c>
      <c r="AC110" s="22">
        <f ca="1">ts2bElec*SUMPRODUCT(tpSurvInMx,INDEX(tEIdxElec,25)*INDEX(elecInMx,1,1)*convFactor)</f>
        <v>2055.0284825150811</v>
      </c>
      <c r="AD110" s="22">
        <f ca="1">ts2bElec*SUMPRODUCT(tpSurvInMx,INDEX(tEIdxElec,26)*INDEX(elecInMx,1,1)*convFactor)</f>
        <v>2055.0284825150811</v>
      </c>
      <c r="AE110" s="22">
        <f ca="1">ts2bElec*SUMPRODUCT(tpSurvInMx,INDEX(tEIdxElec,27)*INDEX(elecInMx,1,1)*convFactor)</f>
        <v>2055.0284825150811</v>
      </c>
      <c r="AF110" s="22">
        <f ca="1">ts2bElec*SUMPRODUCT(tpSurvInMx,INDEX(tEIdxElec,28)*INDEX(elecInMx,1,1)*convFactor)</f>
        <v>2055.0284825150811</v>
      </c>
      <c r="AG110" s="22">
        <f ca="1">ts2bElec*SUMPRODUCT(tpSurvInMx,INDEX(tEIdxElec,29)*INDEX(elecInMx,1,1)*convFactor)</f>
        <v>2055.0284825150811</v>
      </c>
      <c r="AH110" s="22">
        <f ca="1">ts2bElec*SUMPRODUCT(tpSurvInMx,INDEX(tEIdxElec,30)*INDEX(elecInMx,1,1)*convFactor)</f>
        <v>2055.0284825150811</v>
      </c>
      <c r="AI110" s="22">
        <f ca="1">ts2bElec*SUMPRODUCT(tpSurvInMx,INDEX(tEIdxElec,31)*INDEX(elecInMx,1,1)*convFactor)</f>
        <v>2055.0284825150811</v>
      </c>
      <c r="AJ110" s="22">
        <f ca="1">ts2bElec*SUMPRODUCT(tpSurvInMx,INDEX(tEIdxElec,32)*INDEX(elecInMx,1,1)*convFactor)</f>
        <v>2055.0284825150811</v>
      </c>
      <c r="AK110" s="25">
        <f ca="1">ts2bElec*SUMPRODUCT(tpSurvInMx,INDEX(tEIdxElec,33)*INDEX(elecInMx,1,1)*convFactor)</f>
        <v>2055.0284825150811</v>
      </c>
      <c r="AL110" s="3"/>
    </row>
    <row r="111" spans="2:38">
      <c r="B111" s="3"/>
      <c r="C111" s="30" t="str">
        <f>"EL 1: " &amp; INDEX(_doName,5,2)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(1+INDEX(vadInMx,1,2))*INDEX(mspInMx,1,2)*tPIdxAll + INDEX(instInMx,1,2) + SUMPRODUCT(dFactor,tpSurvInMx,INDEX(mrInMx,1,2)*allOnes)</f>
        <v>1413.5601219999999</v>
      </c>
      <c r="F112" s="28">
        <f ca="1"/>
        <v>1413.5601219999999</v>
      </c>
      <c r="G112" s="28">
        <f ca="1"/>
        <v>1413.5601219999999</v>
      </c>
      <c r="H112" s="28">
        <f ca="1"/>
        <v>1413.5601219999999</v>
      </c>
      <c r="I112" s="28">
        <f ca="1"/>
        <v>1413.5601219999999</v>
      </c>
      <c r="J112" s="28">
        <f ca="1"/>
        <v>1413.5601219999999</v>
      </c>
      <c r="K112" s="28">
        <f ca="1"/>
        <v>1413.5601219999999</v>
      </c>
      <c r="L112" s="28">
        <f ca="1"/>
        <v>1413.5601219999999</v>
      </c>
      <c r="M112" s="28">
        <f ca="1"/>
        <v>1413.5601219999999</v>
      </c>
      <c r="N112" s="28">
        <f ca="1"/>
        <v>1413.5601219999999</v>
      </c>
      <c r="O112" s="28">
        <f ca="1"/>
        <v>1413.5601219999999</v>
      </c>
      <c r="P112" s="28">
        <f ca="1"/>
        <v>1413.5601219999999</v>
      </c>
      <c r="Q112" s="28">
        <f ca="1"/>
        <v>1413.5601219999999</v>
      </c>
      <c r="R112" s="28">
        <f ca="1"/>
        <v>1413.5601219999999</v>
      </c>
      <c r="S112" s="28">
        <f ca="1"/>
        <v>1413.5601219999999</v>
      </c>
      <c r="T112" s="28">
        <f ca="1"/>
        <v>1413.5601219999999</v>
      </c>
      <c r="U112" s="28">
        <f ca="1"/>
        <v>1413.5601219999999</v>
      </c>
      <c r="V112" s="28">
        <f ca="1"/>
        <v>1413.5601219999999</v>
      </c>
      <c r="W112" s="28">
        <f ca="1"/>
        <v>1413.5601219999999</v>
      </c>
      <c r="X112" s="28">
        <f ca="1"/>
        <v>1413.5601219999999</v>
      </c>
      <c r="Y112" s="28">
        <f ca="1"/>
        <v>1413.5601219999999</v>
      </c>
      <c r="Z112" s="28">
        <f ca="1"/>
        <v>1413.5601219999999</v>
      </c>
      <c r="AA112" s="28">
        <f ca="1"/>
        <v>1413.5601219999999</v>
      </c>
      <c r="AB112" s="28">
        <f ca="1"/>
        <v>1413.5601219999999</v>
      </c>
      <c r="AC112" s="28">
        <f ca="1"/>
        <v>1413.5601219999999</v>
      </c>
      <c r="AD112" s="28">
        <f ca="1"/>
        <v>1413.5601219999999</v>
      </c>
      <c r="AE112" s="28">
        <f ca="1"/>
        <v>1413.5601219999999</v>
      </c>
      <c r="AF112" s="28">
        <f ca="1"/>
        <v>1413.5601219999999</v>
      </c>
      <c r="AG112" s="28">
        <f ca="1"/>
        <v>1413.5601219999999</v>
      </c>
      <c r="AH112" s="28">
        <f ca="1"/>
        <v>1413.5601219999999</v>
      </c>
      <c r="AI112" s="28">
        <f ca="1"/>
        <v>1413.5601219999999</v>
      </c>
      <c r="AJ112" s="28">
        <f ca="1"/>
        <v>1413.5601219999999</v>
      </c>
      <c r="AK112" s="29">
        <f ca="1"/>
        <v>1413.5601219999999</v>
      </c>
      <c r="AL112" s="3"/>
    </row>
    <row r="113" spans="2:38">
      <c r="B113" s="3"/>
      <c r="C113" s="23" t="s">
        <v>47</v>
      </c>
      <c r="D113" s="16" t="str">
        <f>_yearDol &amp; "$"</f>
        <v>2013$</v>
      </c>
      <c r="E113" s="141">
        <f t="array" aca="1" ref="E113:AK113" ca="1">(tlccEFubcElec1)</f>
        <v>20614.496195099036</v>
      </c>
      <c r="F113" s="28">
        <f ca="1"/>
        <v>20705.320846665698</v>
      </c>
      <c r="G113" s="28">
        <f ca="1"/>
        <v>20785.65516795154</v>
      </c>
      <c r="H113" s="28">
        <f ca="1"/>
        <v>20873.266312540905</v>
      </c>
      <c r="I113" s="28">
        <f ca="1"/>
        <v>20950.182390484693</v>
      </c>
      <c r="J113" s="28">
        <f ca="1"/>
        <v>21034.171033248422</v>
      </c>
      <c r="K113" s="28">
        <f ca="1"/>
        <v>21107.219319005195</v>
      </c>
      <c r="L113" s="28">
        <f ca="1"/>
        <v>21187.065957341147</v>
      </c>
      <c r="M113" s="28">
        <f ca="1"/>
        <v>21274.213426465667</v>
      </c>
      <c r="N113" s="28">
        <f ca="1"/>
        <v>21350.626221061408</v>
      </c>
      <c r="O113" s="28">
        <f ca="1"/>
        <v>21434.135248570419</v>
      </c>
      <c r="P113" s="28">
        <f ca="1"/>
        <v>21525.17452005548</v>
      </c>
      <c r="Q113" s="28">
        <f ca="1"/>
        <v>21605.819641716735</v>
      </c>
      <c r="R113" s="28">
        <f ca="1"/>
        <v>21693.847644469988</v>
      </c>
      <c r="S113" s="28">
        <f ca="1"/>
        <v>21771.239375230642</v>
      </c>
      <c r="T113" s="28">
        <f ca="1"/>
        <v>21855.846296703923</v>
      </c>
      <c r="U113" s="28">
        <f ca="1"/>
        <v>21948.122505296578</v>
      </c>
      <c r="V113" s="28">
        <f ca="1"/>
        <v>22030.142265263716</v>
      </c>
      <c r="W113" s="28">
        <f ca="1"/>
        <v>22119.640451444189</v>
      </c>
      <c r="X113" s="28">
        <f ca="1"/>
        <v>22198.695741468666</v>
      </c>
      <c r="Y113" s="28">
        <f ca="1"/>
        <v>22285.077213590692</v>
      </c>
      <c r="Z113" s="28">
        <f ca="1"/>
        <v>22379.326602564586</v>
      </c>
      <c r="AA113" s="28">
        <f ca="1"/>
        <v>22463.475776080948</v>
      </c>
      <c r="AB113" s="28">
        <f ca="1"/>
        <v>22555.295192778685</v>
      </c>
      <c r="AC113" s="28">
        <f ca="1"/>
        <v>22636.879671991046</v>
      </c>
      <c r="AD113" s="28">
        <f ca="1"/>
        <v>22725.948387871893</v>
      </c>
      <c r="AE113" s="28">
        <f ca="1"/>
        <v>22823.104126481143</v>
      </c>
      <c r="AF113" s="28">
        <f ca="1"/>
        <v>22910.379978479461</v>
      </c>
      <c r="AG113" s="28">
        <f ca="1"/>
        <v>23005.64398225653</v>
      </c>
      <c r="AH113" s="28">
        <f ca="1"/>
        <v>23090.925014191002</v>
      </c>
      <c r="AI113" s="28">
        <f ca="1"/>
        <v>23184.029539635594</v>
      </c>
      <c r="AJ113" s="28">
        <f ca="1"/>
        <v>23267.019167193725</v>
      </c>
      <c r="AK113" s="29">
        <f ca="1"/>
        <v>23357.714463493146</v>
      </c>
      <c r="AL113" s="3"/>
    </row>
    <row r="114" spans="2:38">
      <c r="B114" s="3"/>
      <c r="C114" s="27" t="str">
        <f>INDEX(_fuel,1)</f>
        <v>Electricity</v>
      </c>
      <c r="D114" s="16" t="str">
        <f>_yearDol &amp; "$"</f>
        <v>2013$</v>
      </c>
      <c r="E114" s="141">
        <f ca="1">SUMPRODUCT(dFactor,tpSurvInMx,INDEX(tEIdxElec,1)*INDEX(elecInMx,1,2)*allOnes,OFFSET(tPrcElec,0,0,1,_maxLT))</f>
        <v>20614.496195099036</v>
      </c>
      <c r="F114" s="28">
        <f ca="1">SUMPRODUCT(dFactor,tpSurvInMx,INDEX(tEIdxElec,2)*INDEX(elecInMx,1,2)*allOnes,OFFSET(tPrcElec,0,1,1,_maxLT))</f>
        <v>20705.320846665698</v>
      </c>
      <c r="G114" s="28">
        <f ca="1">SUMPRODUCT(dFactor,tpSurvInMx,INDEX(tEIdxElec,3)*INDEX(elecInMx,1,2)*allOnes,OFFSET(tPrcElec,0,2,1,_maxLT))</f>
        <v>20785.65516795154</v>
      </c>
      <c r="H114" s="28">
        <f ca="1">SUMPRODUCT(dFactor,tpSurvInMx,INDEX(tEIdxElec,4)*INDEX(elecInMx,1,2)*allOnes,OFFSET(tPrcElec,0,3,1,_maxLT))</f>
        <v>20873.266312540905</v>
      </c>
      <c r="I114" s="28">
        <f ca="1">SUMPRODUCT(dFactor,tpSurvInMx,INDEX(tEIdxElec,5)*INDEX(elecInMx,1,2)*allOnes,OFFSET(tPrcElec,0,4,1,_maxLT))</f>
        <v>20950.182390484693</v>
      </c>
      <c r="J114" s="28">
        <f ca="1">SUMPRODUCT(dFactor,tpSurvInMx,INDEX(tEIdxElec,6)*INDEX(elecInMx,1,2)*allOnes,OFFSET(tPrcElec,0,5,1,_maxLT))</f>
        <v>21034.171033248422</v>
      </c>
      <c r="K114" s="28">
        <f ca="1">SUMPRODUCT(dFactor,tpSurvInMx,INDEX(tEIdxElec,7)*INDEX(elecInMx,1,2)*allOnes,OFFSET(tPrcElec,0,6,1,_maxLT))</f>
        <v>21107.219319005195</v>
      </c>
      <c r="L114" s="28">
        <f ca="1">SUMPRODUCT(dFactor,tpSurvInMx,INDEX(tEIdxElec,8)*INDEX(elecInMx,1,2)*allOnes,OFFSET(tPrcElec,0,7,1,_maxLT))</f>
        <v>21187.065957341147</v>
      </c>
      <c r="M114" s="28">
        <f ca="1">SUMPRODUCT(dFactor,tpSurvInMx,INDEX(tEIdxElec,9)*INDEX(elecInMx,1,2)*allOnes,OFFSET(tPrcElec,0,8,1,_maxLT))</f>
        <v>21274.213426465667</v>
      </c>
      <c r="N114" s="28">
        <f ca="1">SUMPRODUCT(dFactor,tpSurvInMx,INDEX(tEIdxElec,10)*INDEX(elecInMx,1,2)*allOnes,OFFSET(tPrcElec,0,9,1,_maxLT))</f>
        <v>21350.626221061408</v>
      </c>
      <c r="O114" s="28">
        <f ca="1">SUMPRODUCT(dFactor,tpSurvInMx,INDEX(tEIdxElec,11)*INDEX(elecInMx,1,2)*allOnes,OFFSET(tPrcElec,0,10,1,_maxLT))</f>
        <v>21434.135248570419</v>
      </c>
      <c r="P114" s="28">
        <f ca="1">SUMPRODUCT(dFactor,tpSurvInMx,INDEX(tEIdxElec,12)*INDEX(elecInMx,1,2)*allOnes,OFFSET(tPrcElec,0,11,1,_maxLT))</f>
        <v>21525.17452005548</v>
      </c>
      <c r="Q114" s="28">
        <f ca="1">SUMPRODUCT(dFactor,tpSurvInMx,INDEX(tEIdxElec,13)*INDEX(elecInMx,1,2)*allOnes,OFFSET(tPrcElec,0,12,1,_maxLT))</f>
        <v>21605.819641716735</v>
      </c>
      <c r="R114" s="28">
        <f ca="1">SUMPRODUCT(dFactor,tpSurvInMx,INDEX(tEIdxElec,14)*INDEX(elecInMx,1,2)*allOnes,OFFSET(tPrcElec,0,13,1,_maxLT))</f>
        <v>21693.847644469988</v>
      </c>
      <c r="S114" s="28">
        <f ca="1">SUMPRODUCT(dFactor,tpSurvInMx,INDEX(tEIdxElec,15)*INDEX(elecInMx,1,2)*allOnes,OFFSET(tPrcElec,0,14,1,_maxLT))</f>
        <v>21771.239375230642</v>
      </c>
      <c r="T114" s="28">
        <f ca="1">SUMPRODUCT(dFactor,tpSurvInMx,INDEX(tEIdxElec,16)*INDEX(elecInMx,1,2)*allOnes,OFFSET(tPrcElec,0,15,1,_maxLT))</f>
        <v>21855.846296703923</v>
      </c>
      <c r="U114" s="28">
        <f ca="1">SUMPRODUCT(dFactor,tpSurvInMx,INDEX(tEIdxElec,17)*INDEX(elecInMx,1,2)*allOnes,OFFSET(tPrcElec,0,16,1,_maxLT))</f>
        <v>21948.122505296578</v>
      </c>
      <c r="V114" s="28">
        <f ca="1">SUMPRODUCT(dFactor,tpSurvInMx,INDEX(tEIdxElec,18)*INDEX(elecInMx,1,2)*allOnes,OFFSET(tPrcElec,0,17,1,_maxLT))</f>
        <v>22030.142265263716</v>
      </c>
      <c r="W114" s="28">
        <f ca="1">SUMPRODUCT(dFactor,tpSurvInMx,INDEX(tEIdxElec,19)*INDEX(elecInMx,1,2)*allOnes,OFFSET(tPrcElec,0,18,1,_maxLT))</f>
        <v>22119.640451444189</v>
      </c>
      <c r="X114" s="28">
        <f ca="1">SUMPRODUCT(dFactor,tpSurvInMx,INDEX(tEIdxElec,20)*INDEX(elecInMx,1,2)*allOnes,OFFSET(tPrcElec,0,19,1,_maxLT))</f>
        <v>22198.695741468666</v>
      </c>
      <c r="Y114" s="28">
        <f ca="1">SUMPRODUCT(dFactor,tpSurvInMx,INDEX(tEIdxElec,21)*INDEX(elecInMx,1,2)*allOnes,OFFSET(tPrcElec,0,20,1,_maxLT))</f>
        <v>22285.077213590692</v>
      </c>
      <c r="Z114" s="28">
        <f ca="1">SUMPRODUCT(dFactor,tpSurvInMx,INDEX(tEIdxElec,22)*INDEX(elecInMx,1,2)*allOnes,OFFSET(tPrcElec,0,21,1,_maxLT))</f>
        <v>22379.326602564586</v>
      </c>
      <c r="AA114" s="28">
        <f ca="1">SUMPRODUCT(dFactor,tpSurvInMx,INDEX(tEIdxElec,23)*INDEX(elecInMx,1,2)*allOnes,OFFSET(tPrcElec,0,22,1,_maxLT))</f>
        <v>22463.475776080948</v>
      </c>
      <c r="AB114" s="28">
        <f ca="1">SUMPRODUCT(dFactor,tpSurvInMx,INDEX(tEIdxElec,24)*INDEX(elecInMx,1,2)*allOnes,OFFSET(tPrcElec,0,23,1,_maxLT))</f>
        <v>22555.295192778685</v>
      </c>
      <c r="AC114" s="28">
        <f ca="1">SUMPRODUCT(dFactor,tpSurvInMx,INDEX(tEIdxElec,25)*INDEX(elecInMx,1,2)*allOnes,OFFSET(tPrcElec,0,24,1,_maxLT))</f>
        <v>22636.879671991046</v>
      </c>
      <c r="AD114" s="28">
        <f ca="1">SUMPRODUCT(dFactor,tpSurvInMx,INDEX(tEIdxElec,26)*INDEX(elecInMx,1,2)*allOnes,OFFSET(tPrcElec,0,25,1,_maxLT))</f>
        <v>22725.948387871893</v>
      </c>
      <c r="AE114" s="28">
        <f ca="1">SUMPRODUCT(dFactor,tpSurvInMx,INDEX(tEIdxElec,27)*INDEX(elecInMx,1,2)*allOnes,OFFSET(tPrcElec,0,26,1,_maxLT))</f>
        <v>22823.104126481143</v>
      </c>
      <c r="AF114" s="28">
        <f ca="1">SUMPRODUCT(dFactor,tpSurvInMx,INDEX(tEIdxElec,28)*INDEX(elecInMx,1,2)*allOnes,OFFSET(tPrcElec,0,27,1,_maxLT))</f>
        <v>22910.379978479461</v>
      </c>
      <c r="AG114" s="28">
        <f ca="1">SUMPRODUCT(dFactor,tpSurvInMx,INDEX(tEIdxElec,29)*INDEX(elecInMx,1,2)*allOnes,OFFSET(tPrcElec,0,28,1,_maxLT))</f>
        <v>23005.64398225653</v>
      </c>
      <c r="AH114" s="28">
        <f ca="1">SUMPRODUCT(dFactor,tpSurvInMx,INDEX(tEIdxElec,30)*INDEX(elecInMx,1,2)*allOnes,OFFSET(tPrcElec,0,29,1,_maxLT))</f>
        <v>23090.925014191002</v>
      </c>
      <c r="AI114" s="28">
        <f ca="1">SUMPRODUCT(dFactor,tpSurvInMx,INDEX(tEIdxElec,31)*INDEX(elecInMx,1,2)*allOnes,OFFSET(tPrcElec,0,30,1,_maxLT))</f>
        <v>23184.029539635594</v>
      </c>
      <c r="AJ114" s="28">
        <f ca="1">SUMPRODUCT(dFactor,tpSurvInMx,INDEX(tEIdxElec,32)*INDEX(elecInMx,1,2)*allOnes,OFFSET(tPrcElec,0,31,1,_maxLT))</f>
        <v>23267.019167193725</v>
      </c>
      <c r="AK114" s="29">
        <f ca="1">SUMPRODUCT(dFactor,tpSurvInMx,INDEX(tEIdxElec,33)*INDEX(elecInMx,1,2)*allOnes,OFFSET(tPrcElec,0,32,1,_maxLT))</f>
        <v>23357.714463493146</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ts2bElec*SUMPRODUCT(tpSurvInMx,INDEX(tEIdxElec,1)*INDEX(elecInMx,1,2)*convFactor)</f>
        <v>4384.3474308401665</v>
      </c>
      <c r="F116" s="22">
        <f ca="1">ts2bElec*SUMPRODUCT(tpSurvInMx,INDEX(tEIdxElec,2)*INDEX(elecInMx,1,2)*convFactor)</f>
        <v>4351.553750281154</v>
      </c>
      <c r="G116" s="22">
        <f ca="1">ts2bElec*SUMPRODUCT(tpSurvInMx,INDEX(tEIdxElec,3)*INDEX(elecInMx,1,2)*convFactor)</f>
        <v>4318.5006844435447</v>
      </c>
      <c r="H116" s="22">
        <f ca="1">ts2bElec*SUMPRODUCT(tpSurvInMx,INDEX(tEIdxElec,4)*INDEX(elecInMx,1,2)*convFactor)</f>
        <v>4289.465601067941</v>
      </c>
      <c r="I116" s="22">
        <f ca="1">ts2bElec*SUMPRODUCT(tpSurvInMx,INDEX(tEIdxElec,5)*INDEX(elecInMx,1,2)*convFactor)</f>
        <v>4261.9263270956426</v>
      </c>
      <c r="J116" s="22">
        <f ca="1">ts2bElec*SUMPRODUCT(tpSurvInMx,INDEX(tEIdxElec,6)*INDEX(elecInMx,1,2)*convFactor)</f>
        <v>4237.9372846417082</v>
      </c>
      <c r="K116" s="22">
        <f ca="1">ts2bElec*SUMPRODUCT(tpSurvInMx,INDEX(tEIdxElec,7)*INDEX(elecInMx,1,2)*convFactor)</f>
        <v>4219.3256736787007</v>
      </c>
      <c r="L116" s="22">
        <f ca="1">ts2bElec*SUMPRODUCT(tpSurvInMx,INDEX(tEIdxElec,8)*INDEX(elecInMx,1,2)*convFactor)</f>
        <v>4203.8942502630289</v>
      </c>
      <c r="M116" s="22">
        <f ca="1">ts2bElec*SUMPRODUCT(tpSurvInMx,INDEX(tEIdxElec,9)*INDEX(elecInMx,1,2)*convFactor)</f>
        <v>4188.3934348930106</v>
      </c>
      <c r="N116" s="22">
        <f ca="1">ts2bElec*SUMPRODUCT(tpSurvInMx,INDEX(tEIdxElec,10)*INDEX(elecInMx,1,2)*convFactor)</f>
        <v>4175.9952118394958</v>
      </c>
      <c r="O116" s="22">
        <f ca="1">ts2bElec*SUMPRODUCT(tpSurvInMx,INDEX(tEIdxElec,11)*INDEX(elecInMx,1,2)*convFactor)</f>
        <v>4167.4551951655649</v>
      </c>
      <c r="P116" s="22">
        <f ca="1">ts2bElec*SUMPRODUCT(tpSurvInMx,INDEX(tEIdxElec,12)*INDEX(elecInMx,1,2)*convFactor)</f>
        <v>4161.2060965732326</v>
      </c>
      <c r="Q116" s="22">
        <f ca="1">ts2bElec*SUMPRODUCT(tpSurvInMx,INDEX(tEIdxElec,13)*INDEX(elecInMx,1,2)*convFactor)</f>
        <v>4155.9486935504574</v>
      </c>
      <c r="R116" s="22">
        <f ca="1">ts2bElec*SUMPRODUCT(tpSurvInMx,INDEX(tEIdxElec,14)*INDEX(elecInMx,1,2)*convFactor)</f>
        <v>4152.0716666875687</v>
      </c>
      <c r="S116" s="22">
        <f ca="1">ts2bElec*SUMPRODUCT(tpSurvInMx,INDEX(tEIdxElec,15)*INDEX(elecInMx,1,2)*convFactor)</f>
        <v>4149.117425167211</v>
      </c>
      <c r="T116" s="22">
        <f ca="1">ts2bElec*SUMPRODUCT(tpSurvInMx,INDEX(tEIdxElec,16)*INDEX(elecInMx,1,2)*convFactor)</f>
        <v>4148.7471897148034</v>
      </c>
      <c r="U116" s="22">
        <f ca="1">ts2bElec*SUMPRODUCT(tpSurvInMx,INDEX(tEIdxElec,17)*INDEX(elecInMx,1,2)*convFactor)</f>
        <v>4149.5056468930416</v>
      </c>
      <c r="V116" s="22">
        <f ca="1">ts2bElec*SUMPRODUCT(tpSurvInMx,INDEX(tEIdxElec,18)*INDEX(elecInMx,1,2)*convFactor)</f>
        <v>4150.619860080983</v>
      </c>
      <c r="W116" s="22">
        <f ca="1">ts2bElec*SUMPRODUCT(tpSurvInMx,INDEX(tEIdxElec,19)*INDEX(elecInMx,1,2)*convFactor)</f>
        <v>4152.2133393121248</v>
      </c>
      <c r="X116" s="22">
        <f ca="1">ts2bElec*SUMPRODUCT(tpSurvInMx,INDEX(tEIdxElec,20)*INDEX(elecInMx,1,2)*convFactor)</f>
        <v>4153.7191600683636</v>
      </c>
      <c r="Y116" s="22">
        <f ca="1">ts2bElec*SUMPRODUCT(tpSurvInMx,INDEX(tEIdxElec,21)*INDEX(elecInMx,1,2)*convFactor)</f>
        <v>4154.9668130757518</v>
      </c>
      <c r="Z116" s="22">
        <f ca="1">ts2bElec*SUMPRODUCT(tpSurvInMx,INDEX(tEIdxElec,22)*INDEX(elecInMx,1,2)*convFactor)</f>
        <v>4155.8029169931651</v>
      </c>
      <c r="AA116" s="22">
        <f ca="1">ts2bElec*SUMPRODUCT(tpSurvInMx,INDEX(tEIdxElec,23)*INDEX(elecInMx,1,2)*convFactor)</f>
        <v>4156.3539651313413</v>
      </c>
      <c r="AB116" s="22">
        <f ca="1">ts2bElec*SUMPRODUCT(tpSurvInMx,INDEX(tEIdxElec,24)*INDEX(elecInMx,1,2)*convFactor)</f>
        <v>4156.3539651313413</v>
      </c>
      <c r="AC116" s="22">
        <f ca="1">ts2bElec*SUMPRODUCT(tpSurvInMx,INDEX(tEIdxElec,25)*INDEX(elecInMx,1,2)*convFactor)</f>
        <v>4156.3539651313413</v>
      </c>
      <c r="AD116" s="22">
        <f ca="1">ts2bElec*SUMPRODUCT(tpSurvInMx,INDEX(tEIdxElec,26)*INDEX(elecInMx,1,2)*convFactor)</f>
        <v>4156.3539651313413</v>
      </c>
      <c r="AE116" s="22">
        <f ca="1">ts2bElec*SUMPRODUCT(tpSurvInMx,INDEX(tEIdxElec,27)*INDEX(elecInMx,1,2)*convFactor)</f>
        <v>4156.3539651313413</v>
      </c>
      <c r="AF116" s="22">
        <f ca="1">ts2bElec*SUMPRODUCT(tpSurvInMx,INDEX(tEIdxElec,28)*INDEX(elecInMx,1,2)*convFactor)</f>
        <v>4156.3539651313413</v>
      </c>
      <c r="AG116" s="22">
        <f ca="1">ts2bElec*SUMPRODUCT(tpSurvInMx,INDEX(tEIdxElec,29)*INDEX(elecInMx,1,2)*convFactor)</f>
        <v>4156.3539651313413</v>
      </c>
      <c r="AH116" s="22">
        <f ca="1">ts2bElec*SUMPRODUCT(tpSurvInMx,INDEX(tEIdxElec,30)*INDEX(elecInMx,1,2)*convFactor)</f>
        <v>4156.3539651313413</v>
      </c>
      <c r="AI116" s="22">
        <f ca="1">ts2bElec*SUMPRODUCT(tpSurvInMx,INDEX(tEIdxElec,31)*INDEX(elecInMx,1,2)*convFactor)</f>
        <v>4156.3539651313413</v>
      </c>
      <c r="AJ116" s="22">
        <f ca="1">ts2bElec*SUMPRODUCT(tpSurvInMx,INDEX(tEIdxElec,32)*INDEX(elecInMx,1,2)*convFactor)</f>
        <v>4156.3539651313413</v>
      </c>
      <c r="AK116" s="25">
        <f ca="1">ts2bElec*SUMPRODUCT(tpSurvInMx,INDEX(tEIdxElec,33)*INDEX(elecInMx,1,2)*convFactor)</f>
        <v>4156.3539651313413</v>
      </c>
      <c r="AL116" s="3"/>
    </row>
    <row r="117" spans="2:38">
      <c r="B117" s="3"/>
      <c r="C117" s="30" t="str">
        <f>"EL 2: " &amp; INDEX(_doName,5,3)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(1+INDEX(vadInMx,1,3))*INDEX(mspInMx,1,3)*tPIdxAll + INDEX(instInMx,1,3) + SUMPRODUCT(dFactor,tpSurvInMx,INDEX(mrInMx,1,3)*allOnes)</f>
        <v>1559.4876179999999</v>
      </c>
      <c r="F118" s="28">
        <f ca="1"/>
        <v>1559.4876179999999</v>
      </c>
      <c r="G118" s="28">
        <f ca="1"/>
        <v>1559.4876179999999</v>
      </c>
      <c r="H118" s="28">
        <f ca="1"/>
        <v>1559.4876179999999</v>
      </c>
      <c r="I118" s="28">
        <f ca="1"/>
        <v>1559.4876179999999</v>
      </c>
      <c r="J118" s="28">
        <f ca="1"/>
        <v>1559.4876179999999</v>
      </c>
      <c r="K118" s="28">
        <f ca="1"/>
        <v>1559.4876179999999</v>
      </c>
      <c r="L118" s="28">
        <f ca="1"/>
        <v>1559.4876179999999</v>
      </c>
      <c r="M118" s="28">
        <f ca="1"/>
        <v>1559.4876179999999</v>
      </c>
      <c r="N118" s="28">
        <f ca="1"/>
        <v>1559.4876179999999</v>
      </c>
      <c r="O118" s="28">
        <f ca="1"/>
        <v>1559.4876179999999</v>
      </c>
      <c r="P118" s="28">
        <f ca="1"/>
        <v>1559.4876179999999</v>
      </c>
      <c r="Q118" s="28">
        <f ca="1"/>
        <v>1559.4876179999999</v>
      </c>
      <c r="R118" s="28">
        <f ca="1"/>
        <v>1559.4876179999999</v>
      </c>
      <c r="S118" s="28">
        <f ca="1"/>
        <v>1559.4876179999999</v>
      </c>
      <c r="T118" s="28">
        <f ca="1"/>
        <v>1559.4876179999999</v>
      </c>
      <c r="U118" s="28">
        <f ca="1"/>
        <v>1559.4876179999999</v>
      </c>
      <c r="V118" s="28">
        <f ca="1"/>
        <v>1559.4876179999999</v>
      </c>
      <c r="W118" s="28">
        <f ca="1"/>
        <v>1559.4876179999999</v>
      </c>
      <c r="X118" s="28">
        <f ca="1"/>
        <v>1559.4876179999999</v>
      </c>
      <c r="Y118" s="28">
        <f ca="1"/>
        <v>1559.4876179999999</v>
      </c>
      <c r="Z118" s="28">
        <f ca="1"/>
        <v>1559.4876179999999</v>
      </c>
      <c r="AA118" s="28">
        <f ca="1"/>
        <v>1559.4876179999999</v>
      </c>
      <c r="AB118" s="28">
        <f ca="1"/>
        <v>1559.4876179999999</v>
      </c>
      <c r="AC118" s="28">
        <f ca="1"/>
        <v>1559.4876179999999</v>
      </c>
      <c r="AD118" s="28">
        <f ca="1"/>
        <v>1559.4876179999999</v>
      </c>
      <c r="AE118" s="28">
        <f ca="1"/>
        <v>1559.4876179999999</v>
      </c>
      <c r="AF118" s="28">
        <f ca="1"/>
        <v>1559.4876179999999</v>
      </c>
      <c r="AG118" s="28">
        <f ca="1"/>
        <v>1559.4876179999999</v>
      </c>
      <c r="AH118" s="28">
        <f ca="1"/>
        <v>1559.4876179999999</v>
      </c>
      <c r="AI118" s="28">
        <f ca="1"/>
        <v>1559.4876179999999</v>
      </c>
      <c r="AJ118" s="28">
        <f ca="1"/>
        <v>1559.4876179999999</v>
      </c>
      <c r="AK118" s="29">
        <f ca="1"/>
        <v>1559.4876179999999</v>
      </c>
      <c r="AL118" s="3"/>
    </row>
    <row r="119" spans="2:38">
      <c r="B119" s="3"/>
      <c r="C119" s="23" t="s">
        <v>47</v>
      </c>
      <c r="D119" s="16" t="str">
        <f>_yearDol &amp; "$"</f>
        <v>2013$</v>
      </c>
      <c r="E119" s="141">
        <f t="array" aca="1" ref="E119:AK119" ca="1">(tlccEFubcElec2)</f>
        <v>12687.677868129103</v>
      </c>
      <c r="F119" s="28">
        <f ca="1"/>
        <v>12743.578041999799</v>
      </c>
      <c r="G119" s="28">
        <f ca="1"/>
        <v>12793.021694688823</v>
      </c>
      <c r="H119" s="28">
        <f ca="1"/>
        <v>12846.94403990104</v>
      </c>
      <c r="I119" s="28">
        <f ca="1"/>
        <v>12894.283854107251</v>
      </c>
      <c r="J119" s="28">
        <f ca="1"/>
        <v>12945.976645135581</v>
      </c>
      <c r="K119" s="28">
        <f ca="1"/>
        <v>12990.935935419924</v>
      </c>
      <c r="L119" s="28">
        <f ca="1"/>
        <v>13040.079432135615</v>
      </c>
      <c r="M119" s="28">
        <f ca="1"/>
        <v>13093.716397347378</v>
      </c>
      <c r="N119" s="28">
        <f ca="1"/>
        <v>13140.746453947295</v>
      </c>
      <c r="O119" s="28">
        <f ca="1"/>
        <v>13192.144054455573</v>
      </c>
      <c r="P119" s="28">
        <f ca="1"/>
        <v>13248.176321216779</v>
      </c>
      <c r="Q119" s="28">
        <f ca="1"/>
        <v>13297.811263326956</v>
      </c>
      <c r="R119" s="28">
        <f ca="1"/>
        <v>13351.990173727567</v>
      </c>
      <c r="S119" s="28">
        <f ca="1"/>
        <v>13399.622739678005</v>
      </c>
      <c r="T119" s="28">
        <f ca="1"/>
        <v>13451.696064919986</v>
      </c>
      <c r="U119" s="28">
        <f ca="1"/>
        <v>13508.489633796738</v>
      </c>
      <c r="V119" s="28">
        <f ca="1"/>
        <v>13558.970629472573</v>
      </c>
      <c r="W119" s="28">
        <f ca="1"/>
        <v>13614.054398937176</v>
      </c>
      <c r="X119" s="28">
        <f ca="1"/>
        <v>13662.710841670943</v>
      </c>
      <c r="Y119" s="28">
        <f ca="1"/>
        <v>13715.876355961782</v>
      </c>
      <c r="Z119" s="28">
        <f ca="1"/>
        <v>13773.88436524085</v>
      </c>
      <c r="AA119" s="28">
        <f ca="1"/>
        <v>13825.675958706952</v>
      </c>
      <c r="AB119" s="28">
        <f ca="1"/>
        <v>13882.188384238721</v>
      </c>
      <c r="AC119" s="28">
        <f ca="1"/>
        <v>13932.401476108096</v>
      </c>
      <c r="AD119" s="28">
        <f ca="1"/>
        <v>13987.220917947894</v>
      </c>
      <c r="AE119" s="28">
        <f ca="1"/>
        <v>14047.017708655167</v>
      </c>
      <c r="AF119" s="28">
        <f ca="1"/>
        <v>14100.733690134482</v>
      </c>
      <c r="AG119" s="28">
        <f ca="1"/>
        <v>14159.366168023458</v>
      </c>
      <c r="AH119" s="28">
        <f ca="1"/>
        <v>14211.854390447425</v>
      </c>
      <c r="AI119" s="28">
        <f ca="1"/>
        <v>14269.157766466235</v>
      </c>
      <c r="AJ119" s="28">
        <f ca="1"/>
        <v>14320.235690024889</v>
      </c>
      <c r="AK119" s="29">
        <f ca="1"/>
        <v>14376.05624914558</v>
      </c>
      <c r="AL119" s="3"/>
    </row>
    <row r="120" spans="2:38">
      <c r="B120" s="3"/>
      <c r="C120" s="27" t="str">
        <f>INDEX(_fuel,1)</f>
        <v>Electricity</v>
      </c>
      <c r="D120" s="16" t="str">
        <f>_yearDol &amp; "$"</f>
        <v>2013$</v>
      </c>
      <c r="E120" s="141">
        <f ca="1">SUMPRODUCT(dFactor,tpSurvInMx,INDEX(tEIdxElec,1)*INDEX(elecInMx,1,3)*allOnes,OFFSET(tPrcElec,0,0,1,_maxLT))</f>
        <v>12687.677868129103</v>
      </c>
      <c r="F120" s="28">
        <f ca="1">SUMPRODUCT(dFactor,tpSurvInMx,INDEX(tEIdxElec,2)*INDEX(elecInMx,1,3)*allOnes,OFFSET(tPrcElec,0,1,1,_maxLT))</f>
        <v>12743.578041999799</v>
      </c>
      <c r="G120" s="28">
        <f ca="1">SUMPRODUCT(dFactor,tpSurvInMx,INDEX(tEIdxElec,3)*INDEX(elecInMx,1,3)*allOnes,OFFSET(tPrcElec,0,2,1,_maxLT))</f>
        <v>12793.021694688823</v>
      </c>
      <c r="H120" s="28">
        <f ca="1">SUMPRODUCT(dFactor,tpSurvInMx,INDEX(tEIdxElec,4)*INDEX(elecInMx,1,3)*allOnes,OFFSET(tPrcElec,0,3,1,_maxLT))</f>
        <v>12846.94403990104</v>
      </c>
      <c r="I120" s="28">
        <f ca="1">SUMPRODUCT(dFactor,tpSurvInMx,INDEX(tEIdxElec,5)*INDEX(elecInMx,1,3)*allOnes,OFFSET(tPrcElec,0,4,1,_maxLT))</f>
        <v>12894.283854107251</v>
      </c>
      <c r="J120" s="28">
        <f ca="1">SUMPRODUCT(dFactor,tpSurvInMx,INDEX(tEIdxElec,6)*INDEX(elecInMx,1,3)*allOnes,OFFSET(tPrcElec,0,5,1,_maxLT))</f>
        <v>12945.976645135581</v>
      </c>
      <c r="K120" s="28">
        <f ca="1">SUMPRODUCT(dFactor,tpSurvInMx,INDEX(tEIdxElec,7)*INDEX(elecInMx,1,3)*allOnes,OFFSET(tPrcElec,0,6,1,_maxLT))</f>
        <v>12990.935935419924</v>
      </c>
      <c r="L120" s="28">
        <f ca="1">SUMPRODUCT(dFactor,tpSurvInMx,INDEX(tEIdxElec,8)*INDEX(elecInMx,1,3)*allOnes,OFFSET(tPrcElec,0,7,1,_maxLT))</f>
        <v>13040.079432135615</v>
      </c>
      <c r="M120" s="28">
        <f ca="1">SUMPRODUCT(dFactor,tpSurvInMx,INDEX(tEIdxElec,9)*INDEX(elecInMx,1,3)*allOnes,OFFSET(tPrcElec,0,8,1,_maxLT))</f>
        <v>13093.716397347378</v>
      </c>
      <c r="N120" s="28">
        <f ca="1">SUMPRODUCT(dFactor,tpSurvInMx,INDEX(tEIdxElec,10)*INDEX(elecInMx,1,3)*allOnes,OFFSET(tPrcElec,0,9,1,_maxLT))</f>
        <v>13140.746453947295</v>
      </c>
      <c r="O120" s="28">
        <f ca="1">SUMPRODUCT(dFactor,tpSurvInMx,INDEX(tEIdxElec,11)*INDEX(elecInMx,1,3)*allOnes,OFFSET(tPrcElec,0,10,1,_maxLT))</f>
        <v>13192.144054455573</v>
      </c>
      <c r="P120" s="28">
        <f ca="1">SUMPRODUCT(dFactor,tpSurvInMx,INDEX(tEIdxElec,12)*INDEX(elecInMx,1,3)*allOnes,OFFSET(tPrcElec,0,11,1,_maxLT))</f>
        <v>13248.176321216779</v>
      </c>
      <c r="Q120" s="28">
        <f ca="1">SUMPRODUCT(dFactor,tpSurvInMx,INDEX(tEIdxElec,13)*INDEX(elecInMx,1,3)*allOnes,OFFSET(tPrcElec,0,12,1,_maxLT))</f>
        <v>13297.811263326956</v>
      </c>
      <c r="R120" s="28">
        <f ca="1">SUMPRODUCT(dFactor,tpSurvInMx,INDEX(tEIdxElec,14)*INDEX(elecInMx,1,3)*allOnes,OFFSET(tPrcElec,0,13,1,_maxLT))</f>
        <v>13351.990173727567</v>
      </c>
      <c r="S120" s="28">
        <f ca="1">SUMPRODUCT(dFactor,tpSurvInMx,INDEX(tEIdxElec,15)*INDEX(elecInMx,1,3)*allOnes,OFFSET(tPrcElec,0,14,1,_maxLT))</f>
        <v>13399.622739678005</v>
      </c>
      <c r="T120" s="28">
        <f ca="1">SUMPRODUCT(dFactor,tpSurvInMx,INDEX(tEIdxElec,16)*INDEX(elecInMx,1,3)*allOnes,OFFSET(tPrcElec,0,15,1,_maxLT))</f>
        <v>13451.696064919986</v>
      </c>
      <c r="U120" s="28">
        <f ca="1">SUMPRODUCT(dFactor,tpSurvInMx,INDEX(tEIdxElec,17)*INDEX(elecInMx,1,3)*allOnes,OFFSET(tPrcElec,0,16,1,_maxLT))</f>
        <v>13508.489633796738</v>
      </c>
      <c r="V120" s="28">
        <f ca="1">SUMPRODUCT(dFactor,tpSurvInMx,INDEX(tEIdxElec,18)*INDEX(elecInMx,1,3)*allOnes,OFFSET(tPrcElec,0,17,1,_maxLT))</f>
        <v>13558.970629472573</v>
      </c>
      <c r="W120" s="28">
        <f ca="1">SUMPRODUCT(dFactor,tpSurvInMx,INDEX(tEIdxElec,19)*INDEX(elecInMx,1,3)*allOnes,OFFSET(tPrcElec,0,18,1,_maxLT))</f>
        <v>13614.054398937176</v>
      </c>
      <c r="X120" s="28">
        <f ca="1">SUMPRODUCT(dFactor,tpSurvInMx,INDEX(tEIdxElec,20)*INDEX(elecInMx,1,3)*allOnes,OFFSET(tPrcElec,0,19,1,_maxLT))</f>
        <v>13662.710841670943</v>
      </c>
      <c r="Y120" s="28">
        <f ca="1">SUMPRODUCT(dFactor,tpSurvInMx,INDEX(tEIdxElec,21)*INDEX(elecInMx,1,3)*allOnes,OFFSET(tPrcElec,0,20,1,_maxLT))</f>
        <v>13715.876355961782</v>
      </c>
      <c r="Z120" s="28">
        <f ca="1">SUMPRODUCT(dFactor,tpSurvInMx,INDEX(tEIdxElec,22)*INDEX(elecInMx,1,3)*allOnes,OFFSET(tPrcElec,0,21,1,_maxLT))</f>
        <v>13773.88436524085</v>
      </c>
      <c r="AA120" s="28">
        <f ca="1">SUMPRODUCT(dFactor,tpSurvInMx,INDEX(tEIdxElec,23)*INDEX(elecInMx,1,3)*allOnes,OFFSET(tPrcElec,0,22,1,_maxLT))</f>
        <v>13825.675958706952</v>
      </c>
      <c r="AB120" s="28">
        <f ca="1">SUMPRODUCT(dFactor,tpSurvInMx,INDEX(tEIdxElec,24)*INDEX(elecInMx,1,3)*allOnes,OFFSET(tPrcElec,0,23,1,_maxLT))</f>
        <v>13882.188384238721</v>
      </c>
      <c r="AC120" s="28">
        <f ca="1">SUMPRODUCT(dFactor,tpSurvInMx,INDEX(tEIdxElec,25)*INDEX(elecInMx,1,3)*allOnes,OFFSET(tPrcElec,0,24,1,_maxLT))</f>
        <v>13932.401476108096</v>
      </c>
      <c r="AD120" s="28">
        <f ca="1">SUMPRODUCT(dFactor,tpSurvInMx,INDEX(tEIdxElec,26)*INDEX(elecInMx,1,3)*allOnes,OFFSET(tPrcElec,0,25,1,_maxLT))</f>
        <v>13987.220917947894</v>
      </c>
      <c r="AE120" s="28">
        <f ca="1">SUMPRODUCT(dFactor,tpSurvInMx,INDEX(tEIdxElec,27)*INDEX(elecInMx,1,3)*allOnes,OFFSET(tPrcElec,0,26,1,_maxLT))</f>
        <v>14047.017708655167</v>
      </c>
      <c r="AF120" s="28">
        <f ca="1">SUMPRODUCT(dFactor,tpSurvInMx,INDEX(tEIdxElec,28)*INDEX(elecInMx,1,3)*allOnes,OFFSET(tPrcElec,0,27,1,_maxLT))</f>
        <v>14100.733690134482</v>
      </c>
      <c r="AG120" s="28">
        <f ca="1">SUMPRODUCT(dFactor,tpSurvInMx,INDEX(tEIdxElec,29)*INDEX(elecInMx,1,3)*allOnes,OFFSET(tPrcElec,0,28,1,_maxLT))</f>
        <v>14159.366168023458</v>
      </c>
      <c r="AH120" s="28">
        <f ca="1">SUMPRODUCT(dFactor,tpSurvInMx,INDEX(tEIdxElec,30)*INDEX(elecInMx,1,3)*allOnes,OFFSET(tPrcElec,0,29,1,_maxLT))</f>
        <v>14211.854390447425</v>
      </c>
      <c r="AI120" s="28">
        <f ca="1">SUMPRODUCT(dFactor,tpSurvInMx,INDEX(tEIdxElec,31)*INDEX(elecInMx,1,3)*allOnes,OFFSET(tPrcElec,0,30,1,_maxLT))</f>
        <v>14269.157766466235</v>
      </c>
      <c r="AJ120" s="28">
        <f ca="1">SUMPRODUCT(dFactor,tpSurvInMx,INDEX(tEIdxElec,32)*INDEX(elecInMx,1,3)*allOnes,OFFSET(tPrcElec,0,31,1,_maxLT))</f>
        <v>14320.235690024889</v>
      </c>
      <c r="AK120" s="29">
        <f ca="1">SUMPRODUCT(dFactor,tpSurvInMx,INDEX(tEIdxElec,33)*INDEX(elecInMx,1,3)*allOnes,OFFSET(tPrcElec,0,32,1,_maxLT))</f>
        <v>14376.05624914558</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ts2bElec*SUMPRODUCT(tpSurvInMx,INDEX(tEIdxElec,1)*INDEX(elecInMx,1,3)*convFactor)</f>
        <v>2698.4500294353302</v>
      </c>
      <c r="F122" s="22">
        <f ca="1">ts2bElec*SUMPRODUCT(tpSurvInMx,INDEX(tEIdxElec,2)*INDEX(elecInMx,1,3)*convFactor)</f>
        <v>2678.2663853091153</v>
      </c>
      <c r="G122" s="22">
        <f ca="1">ts2bElec*SUMPRODUCT(tpSurvInMx,INDEX(tEIdxElec,3)*INDEX(elecInMx,1,3)*convFactor)</f>
        <v>2657.9230963956888</v>
      </c>
      <c r="H122" s="22">
        <f ca="1">ts2bElec*SUMPRODUCT(tpSurvInMx,INDEX(tEIdxElec,4)*INDEX(elecInMx,1,3)*convFactor)</f>
        <v>2640.0527695510523</v>
      </c>
      <c r="I122" s="22">
        <f ca="1">ts2bElec*SUMPRODUCT(tpSurvInMx,INDEX(tEIdxElec,5)*INDEX(elecInMx,1,3)*convFactor)</f>
        <v>2623.1030738817631</v>
      </c>
      <c r="J122" s="22">
        <f ca="1">ts2bElec*SUMPRODUCT(tpSurvInMx,INDEX(tEIdxElec,6)*INDEX(elecInMx,1,3)*convFactor)</f>
        <v>2608.3384519312749</v>
      </c>
      <c r="K122" s="22">
        <f ca="1">ts2bElec*SUMPRODUCT(tpSurvInMx,INDEX(tEIdxElec,7)*INDEX(elecInMx,1,3)*convFactor)</f>
        <v>2596.883497016503</v>
      </c>
      <c r="L122" s="22">
        <f ca="1">ts2bElec*SUMPRODUCT(tpSurvInMx,INDEX(tEIdxElec,8)*INDEX(elecInMx,1,3)*convFactor)</f>
        <v>2587.3858635312235</v>
      </c>
      <c r="M122" s="22">
        <f ca="1">ts2bElec*SUMPRODUCT(tpSurvInMx,INDEX(tEIdxElec,9)*INDEX(elecInMx,1,3)*convFactor)</f>
        <v>2577.8455211310588</v>
      </c>
      <c r="N122" s="22">
        <f ca="1">ts2bElec*SUMPRODUCT(tpSurvInMx,INDEX(tEIdxElec,10)*INDEX(elecInMx,1,3)*convFactor)</f>
        <v>2570.2147423455162</v>
      </c>
      <c r="O122" s="22">
        <f ca="1">ts2bElec*SUMPRODUCT(tpSurvInMx,INDEX(tEIdxElec,11)*INDEX(elecInMx,1,3)*convFactor)</f>
        <v>2564.9585876705819</v>
      </c>
      <c r="P122" s="22">
        <f ca="1">ts2bElec*SUMPRODUCT(tpSurvInMx,INDEX(tEIdxElec,12)*INDEX(elecInMx,1,3)*convFactor)</f>
        <v>2561.1124325593769</v>
      </c>
      <c r="Q122" s="22">
        <f ca="1">ts2bElec*SUMPRODUCT(tpSurvInMx,INDEX(tEIdxElec,13)*INDEX(elecInMx,1,3)*convFactor)</f>
        <v>2557.8766398752105</v>
      </c>
      <c r="R122" s="22">
        <f ca="1">ts2bElec*SUMPRODUCT(tpSurvInMx,INDEX(tEIdxElec,14)*INDEX(elecInMx,1,3)*convFactor)</f>
        <v>2555.4904322542784</v>
      </c>
      <c r="S122" s="22">
        <f ca="1">ts2bElec*SUMPRODUCT(tpSurvInMx,INDEX(tEIdxElec,15)*INDEX(elecInMx,1,3)*convFactor)</f>
        <v>2553.6721746359394</v>
      </c>
      <c r="T122" s="22">
        <f ca="1">ts2bElec*SUMPRODUCT(tpSurvInMx,INDEX(tEIdxElec,16)*INDEX(elecInMx,1,3)*convFactor)</f>
        <v>2553.4443044948966</v>
      </c>
      <c r="U122" s="22">
        <f ca="1">ts2bElec*SUMPRODUCT(tpSurvInMx,INDEX(tEIdxElec,17)*INDEX(elecInMx,1,3)*convFactor)</f>
        <v>2553.9111148531601</v>
      </c>
      <c r="V122" s="22">
        <f ca="1">ts2bElec*SUMPRODUCT(tpSurvInMx,INDEX(tEIdxElec,18)*INDEX(elecInMx,1,3)*convFactor)</f>
        <v>2554.5968836379625</v>
      </c>
      <c r="W122" s="22">
        <f ca="1">ts2bElec*SUMPRODUCT(tpSurvInMx,INDEX(tEIdxElec,19)*INDEX(elecInMx,1,3)*convFactor)</f>
        <v>2555.577628012355</v>
      </c>
      <c r="X122" s="22">
        <f ca="1">ts2bElec*SUMPRODUCT(tpSurvInMx,INDEX(tEIdxElec,20)*INDEX(elecInMx,1,3)*convFactor)</f>
        <v>2556.5044209109774</v>
      </c>
      <c r="Y122" s="22">
        <f ca="1">ts2bElec*SUMPRODUCT(tpSurvInMx,INDEX(tEIdxElec,21)*INDEX(elecInMx,1,3)*convFactor)</f>
        <v>2557.2723183797843</v>
      </c>
      <c r="Z122" s="22">
        <f ca="1">ts2bElec*SUMPRODUCT(tpSurvInMx,INDEX(tEIdxElec,22)*INDEX(elecInMx,1,3)*convFactor)</f>
        <v>2557.7869182549412</v>
      </c>
      <c r="AA122" s="22">
        <f ca="1">ts2bElec*SUMPRODUCT(tpSurvInMx,INDEX(tEIdxElec,23)*INDEX(elecInMx,1,3)*convFactor)</f>
        <v>2558.1260738278374</v>
      </c>
      <c r="AB122" s="22">
        <f ca="1">ts2bElec*SUMPRODUCT(tpSurvInMx,INDEX(tEIdxElec,24)*INDEX(elecInMx,1,3)*convFactor)</f>
        <v>2558.1260738278374</v>
      </c>
      <c r="AC122" s="22">
        <f ca="1">ts2bElec*SUMPRODUCT(tpSurvInMx,INDEX(tEIdxElec,25)*INDEX(elecInMx,1,3)*convFactor)</f>
        <v>2558.1260738278374</v>
      </c>
      <c r="AD122" s="22">
        <f ca="1">ts2bElec*SUMPRODUCT(tpSurvInMx,INDEX(tEIdxElec,26)*INDEX(elecInMx,1,3)*convFactor)</f>
        <v>2558.1260738278374</v>
      </c>
      <c r="AE122" s="22">
        <f ca="1">ts2bElec*SUMPRODUCT(tpSurvInMx,INDEX(tEIdxElec,27)*INDEX(elecInMx,1,3)*convFactor)</f>
        <v>2558.1260738278374</v>
      </c>
      <c r="AF122" s="22">
        <f ca="1">ts2bElec*SUMPRODUCT(tpSurvInMx,INDEX(tEIdxElec,28)*INDEX(elecInMx,1,3)*convFactor)</f>
        <v>2558.1260738278374</v>
      </c>
      <c r="AG122" s="22">
        <f ca="1">ts2bElec*SUMPRODUCT(tpSurvInMx,INDEX(tEIdxElec,29)*INDEX(elecInMx,1,3)*convFactor)</f>
        <v>2558.1260738278374</v>
      </c>
      <c r="AH122" s="22">
        <f ca="1">ts2bElec*SUMPRODUCT(tpSurvInMx,INDEX(tEIdxElec,30)*INDEX(elecInMx,1,3)*convFactor)</f>
        <v>2558.1260738278374</v>
      </c>
      <c r="AI122" s="22">
        <f ca="1">ts2bElec*SUMPRODUCT(tpSurvInMx,INDEX(tEIdxElec,31)*INDEX(elecInMx,1,3)*convFactor)</f>
        <v>2558.1260738278374</v>
      </c>
      <c r="AJ122" s="22">
        <f ca="1">ts2bElec*SUMPRODUCT(tpSurvInMx,INDEX(tEIdxElec,32)*INDEX(elecInMx,1,3)*convFactor)</f>
        <v>2558.1260738278374</v>
      </c>
      <c r="AK122" s="25">
        <f ca="1">ts2bElec*SUMPRODUCT(tpSurvInMx,INDEX(tEIdxElec,33)*INDEX(elecInMx,1,3)*convFactor)</f>
        <v>2558.1260738278374</v>
      </c>
      <c r="AL122" s="3"/>
    </row>
    <row r="123" spans="2:38">
      <c r="B123" s="3"/>
      <c r="C123" s="30" t="str">
        <f>"EL 3: " &amp; INDEX(_doName,5,4)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(1+INDEX(vadInMx,1,4))*INDEX(mspInMx,1,4)*tPIdxAll + INDEX(instInMx,1,4) + SUMPRODUCT(dFactor,tpSurvInMx,INDEX(mrInMx,1,4)*allOnes)</f>
        <v>1657.1337119999998</v>
      </c>
      <c r="F124" s="28">
        <f ca="1"/>
        <v>1657.1337119999998</v>
      </c>
      <c r="G124" s="28">
        <f ca="1"/>
        <v>1657.1337119999998</v>
      </c>
      <c r="H124" s="28">
        <f ca="1"/>
        <v>1657.1337119999998</v>
      </c>
      <c r="I124" s="28">
        <f ca="1"/>
        <v>1657.1337119999998</v>
      </c>
      <c r="J124" s="28">
        <f ca="1"/>
        <v>1657.1337119999998</v>
      </c>
      <c r="K124" s="28">
        <f ca="1"/>
        <v>1657.1337119999998</v>
      </c>
      <c r="L124" s="28">
        <f ca="1"/>
        <v>1657.1337119999998</v>
      </c>
      <c r="M124" s="28">
        <f ca="1"/>
        <v>1657.1337119999998</v>
      </c>
      <c r="N124" s="28">
        <f ca="1"/>
        <v>1657.1337119999998</v>
      </c>
      <c r="O124" s="28">
        <f ca="1"/>
        <v>1657.1337119999998</v>
      </c>
      <c r="P124" s="28">
        <f ca="1"/>
        <v>1657.1337119999998</v>
      </c>
      <c r="Q124" s="28">
        <f ca="1"/>
        <v>1657.1337119999998</v>
      </c>
      <c r="R124" s="28">
        <f ca="1"/>
        <v>1657.1337119999998</v>
      </c>
      <c r="S124" s="28">
        <f ca="1"/>
        <v>1657.1337119999998</v>
      </c>
      <c r="T124" s="28">
        <f ca="1"/>
        <v>1657.1337119999998</v>
      </c>
      <c r="U124" s="28">
        <f ca="1"/>
        <v>1657.1337119999998</v>
      </c>
      <c r="V124" s="28">
        <f ca="1"/>
        <v>1657.1337119999998</v>
      </c>
      <c r="W124" s="28">
        <f ca="1"/>
        <v>1657.1337119999998</v>
      </c>
      <c r="X124" s="28">
        <f ca="1"/>
        <v>1657.1337119999998</v>
      </c>
      <c r="Y124" s="28">
        <f ca="1"/>
        <v>1657.1337119999998</v>
      </c>
      <c r="Z124" s="28">
        <f ca="1"/>
        <v>1657.1337119999998</v>
      </c>
      <c r="AA124" s="28">
        <f ca="1"/>
        <v>1657.1337119999998</v>
      </c>
      <c r="AB124" s="28">
        <f ca="1"/>
        <v>1657.1337119999998</v>
      </c>
      <c r="AC124" s="28">
        <f ca="1"/>
        <v>1657.1337119999998</v>
      </c>
      <c r="AD124" s="28">
        <f ca="1"/>
        <v>1657.1337119999998</v>
      </c>
      <c r="AE124" s="28">
        <f ca="1"/>
        <v>1657.1337119999998</v>
      </c>
      <c r="AF124" s="28">
        <f ca="1"/>
        <v>1657.1337119999998</v>
      </c>
      <c r="AG124" s="28">
        <f ca="1"/>
        <v>1657.1337119999998</v>
      </c>
      <c r="AH124" s="28">
        <f ca="1"/>
        <v>1657.1337119999998</v>
      </c>
      <c r="AI124" s="28">
        <f ca="1"/>
        <v>1657.1337119999998</v>
      </c>
      <c r="AJ124" s="28">
        <f ca="1"/>
        <v>1657.1337119999998</v>
      </c>
      <c r="AK124" s="29">
        <f ca="1"/>
        <v>1657.1337119999998</v>
      </c>
      <c r="AL124" s="3"/>
    </row>
    <row r="125" spans="2:38">
      <c r="B125" s="3"/>
      <c r="C125" s="23" t="s">
        <v>47</v>
      </c>
      <c r="D125" s="16" t="str">
        <f>_yearDol &amp; "$"</f>
        <v>2013$</v>
      </c>
      <c r="E125" s="141">
        <f t="array" aca="1" ref="E125:AK125" ca="1">(tlccEFubcElec3)</f>
        <v>49337.56830108221</v>
      </c>
      <c r="F125" s="28">
        <f ca="1"/>
        <v>49554.942880974071</v>
      </c>
      <c r="G125" s="28">
        <f ca="1"/>
        <v>49747.210498181426</v>
      </c>
      <c r="H125" s="28">
        <f ca="1"/>
        <v>49956.894052375777</v>
      </c>
      <c r="I125" s="28">
        <f ca="1"/>
        <v>50140.980639459311</v>
      </c>
      <c r="J125" s="28">
        <f ca="1"/>
        <v>50341.994302837382</v>
      </c>
      <c r="K125" s="28">
        <f ca="1"/>
        <v>50516.823935038577</v>
      </c>
      <c r="L125" s="28">
        <f ca="1"/>
        <v>50707.924359479119</v>
      </c>
      <c r="M125" s="28">
        <f ca="1"/>
        <v>50916.498179062481</v>
      </c>
      <c r="N125" s="28">
        <f ca="1"/>
        <v>51099.380236269375</v>
      </c>
      <c r="O125" s="28">
        <f ca="1"/>
        <v>51299.246015645658</v>
      </c>
      <c r="P125" s="28">
        <f ca="1"/>
        <v>51517.134254701581</v>
      </c>
      <c r="Q125" s="28">
        <f ca="1"/>
        <v>51710.145723934438</v>
      </c>
      <c r="R125" s="28">
        <f ca="1"/>
        <v>51920.826962861771</v>
      </c>
      <c r="S125" s="28">
        <f ca="1"/>
        <v>52106.05195047272</v>
      </c>
      <c r="T125" s="28">
        <f ca="1"/>
        <v>52308.545367116298</v>
      </c>
      <c r="U125" s="28">
        <f ca="1"/>
        <v>52529.394021428205</v>
      </c>
      <c r="V125" s="28">
        <f ca="1"/>
        <v>52725.695472170381</v>
      </c>
      <c r="W125" s="28">
        <f ca="1"/>
        <v>52939.895364892072</v>
      </c>
      <c r="X125" s="28">
        <f ca="1"/>
        <v>53129.101821078599</v>
      </c>
      <c r="Y125" s="28">
        <f ca="1"/>
        <v>53335.842346795733</v>
      </c>
      <c r="Z125" s="28">
        <f ca="1"/>
        <v>53561.413499339338</v>
      </c>
      <c r="AA125" s="28">
        <f ca="1"/>
        <v>53762.8113679339</v>
      </c>
      <c r="AB125" s="28">
        <f ca="1"/>
        <v>53982.566762381372</v>
      </c>
      <c r="AC125" s="28">
        <f ca="1"/>
        <v>54177.826436804273</v>
      </c>
      <c r="AD125" s="28">
        <f ca="1"/>
        <v>54390.998459621187</v>
      </c>
      <c r="AE125" s="28">
        <f ca="1"/>
        <v>54623.525504866906</v>
      </c>
      <c r="AF125" s="28">
        <f ca="1"/>
        <v>54832.406588753234</v>
      </c>
      <c r="AG125" s="28">
        <f ca="1"/>
        <v>55060.406062934067</v>
      </c>
      <c r="AH125" s="28">
        <f ca="1"/>
        <v>55264.512857397218</v>
      </c>
      <c r="AI125" s="28">
        <f ca="1"/>
        <v>55487.343958375292</v>
      </c>
      <c r="AJ125" s="28">
        <f ca="1"/>
        <v>55685.966635309982</v>
      </c>
      <c r="AK125" s="29">
        <f ca="1"/>
        <v>55903.03162362751</v>
      </c>
      <c r="AL125" s="3"/>
    </row>
    <row r="126" spans="2:38">
      <c r="B126" s="3"/>
      <c r="C126" s="27" t="str">
        <f>INDEX(_fuel,1)</f>
        <v>Electricity</v>
      </c>
      <c r="D126" s="16" t="str">
        <f>_yearDol &amp; "$"</f>
        <v>2013$</v>
      </c>
      <c r="E126" s="141">
        <f ca="1">SUMPRODUCT(dFactor,tpSurvInMx,INDEX(tEIdxElec,1)*INDEX(elecInMx,1,4)*allOnes,OFFSET(tPrcElec,0,0,1,_maxLT))</f>
        <v>49337.56830108221</v>
      </c>
      <c r="F126" s="28">
        <f ca="1">SUMPRODUCT(dFactor,tpSurvInMx,INDEX(tEIdxElec,2)*INDEX(elecInMx,1,4)*allOnes,OFFSET(tPrcElec,0,1,1,_maxLT))</f>
        <v>49554.942880974071</v>
      </c>
      <c r="G126" s="28">
        <f ca="1">SUMPRODUCT(dFactor,tpSurvInMx,INDEX(tEIdxElec,3)*INDEX(elecInMx,1,4)*allOnes,OFFSET(tPrcElec,0,2,1,_maxLT))</f>
        <v>49747.210498181426</v>
      </c>
      <c r="H126" s="28">
        <f ca="1">SUMPRODUCT(dFactor,tpSurvInMx,INDEX(tEIdxElec,4)*INDEX(elecInMx,1,4)*allOnes,OFFSET(tPrcElec,0,3,1,_maxLT))</f>
        <v>49956.894052375777</v>
      </c>
      <c r="I126" s="28">
        <f ca="1">SUMPRODUCT(dFactor,tpSurvInMx,INDEX(tEIdxElec,5)*INDEX(elecInMx,1,4)*allOnes,OFFSET(tPrcElec,0,4,1,_maxLT))</f>
        <v>50140.980639459311</v>
      </c>
      <c r="J126" s="28">
        <f ca="1">SUMPRODUCT(dFactor,tpSurvInMx,INDEX(tEIdxElec,6)*INDEX(elecInMx,1,4)*allOnes,OFFSET(tPrcElec,0,5,1,_maxLT))</f>
        <v>50341.994302837382</v>
      </c>
      <c r="K126" s="28">
        <f ca="1">SUMPRODUCT(dFactor,tpSurvInMx,INDEX(tEIdxElec,7)*INDEX(elecInMx,1,4)*allOnes,OFFSET(tPrcElec,0,6,1,_maxLT))</f>
        <v>50516.823935038577</v>
      </c>
      <c r="L126" s="28">
        <f ca="1">SUMPRODUCT(dFactor,tpSurvInMx,INDEX(tEIdxElec,8)*INDEX(elecInMx,1,4)*allOnes,OFFSET(tPrcElec,0,7,1,_maxLT))</f>
        <v>50707.924359479119</v>
      </c>
      <c r="M126" s="28">
        <f ca="1">SUMPRODUCT(dFactor,tpSurvInMx,INDEX(tEIdxElec,9)*INDEX(elecInMx,1,4)*allOnes,OFFSET(tPrcElec,0,8,1,_maxLT))</f>
        <v>50916.498179062481</v>
      </c>
      <c r="N126" s="28">
        <f ca="1">SUMPRODUCT(dFactor,tpSurvInMx,INDEX(tEIdxElec,10)*INDEX(elecInMx,1,4)*allOnes,OFFSET(tPrcElec,0,9,1,_maxLT))</f>
        <v>51099.380236269375</v>
      </c>
      <c r="O126" s="28">
        <f ca="1">SUMPRODUCT(dFactor,tpSurvInMx,INDEX(tEIdxElec,11)*INDEX(elecInMx,1,4)*allOnes,OFFSET(tPrcElec,0,10,1,_maxLT))</f>
        <v>51299.246015645658</v>
      </c>
      <c r="P126" s="28">
        <f ca="1">SUMPRODUCT(dFactor,tpSurvInMx,INDEX(tEIdxElec,12)*INDEX(elecInMx,1,4)*allOnes,OFFSET(tPrcElec,0,11,1,_maxLT))</f>
        <v>51517.134254701581</v>
      </c>
      <c r="Q126" s="28">
        <f ca="1">SUMPRODUCT(dFactor,tpSurvInMx,INDEX(tEIdxElec,13)*INDEX(elecInMx,1,4)*allOnes,OFFSET(tPrcElec,0,12,1,_maxLT))</f>
        <v>51710.145723934438</v>
      </c>
      <c r="R126" s="28">
        <f ca="1">SUMPRODUCT(dFactor,tpSurvInMx,INDEX(tEIdxElec,14)*INDEX(elecInMx,1,4)*allOnes,OFFSET(tPrcElec,0,13,1,_maxLT))</f>
        <v>51920.826962861771</v>
      </c>
      <c r="S126" s="28">
        <f ca="1">SUMPRODUCT(dFactor,tpSurvInMx,INDEX(tEIdxElec,15)*INDEX(elecInMx,1,4)*allOnes,OFFSET(tPrcElec,0,14,1,_maxLT))</f>
        <v>52106.05195047272</v>
      </c>
      <c r="T126" s="28">
        <f ca="1">SUMPRODUCT(dFactor,tpSurvInMx,INDEX(tEIdxElec,16)*INDEX(elecInMx,1,4)*allOnes,OFFSET(tPrcElec,0,15,1,_maxLT))</f>
        <v>52308.545367116298</v>
      </c>
      <c r="U126" s="28">
        <f ca="1">SUMPRODUCT(dFactor,tpSurvInMx,INDEX(tEIdxElec,17)*INDEX(elecInMx,1,4)*allOnes,OFFSET(tPrcElec,0,16,1,_maxLT))</f>
        <v>52529.394021428205</v>
      </c>
      <c r="V126" s="28">
        <f ca="1">SUMPRODUCT(dFactor,tpSurvInMx,INDEX(tEIdxElec,18)*INDEX(elecInMx,1,4)*allOnes,OFFSET(tPrcElec,0,17,1,_maxLT))</f>
        <v>52725.695472170381</v>
      </c>
      <c r="W126" s="28">
        <f ca="1">SUMPRODUCT(dFactor,tpSurvInMx,INDEX(tEIdxElec,19)*INDEX(elecInMx,1,4)*allOnes,OFFSET(tPrcElec,0,18,1,_maxLT))</f>
        <v>52939.895364892072</v>
      </c>
      <c r="X126" s="28">
        <f ca="1">SUMPRODUCT(dFactor,tpSurvInMx,INDEX(tEIdxElec,20)*INDEX(elecInMx,1,4)*allOnes,OFFSET(tPrcElec,0,19,1,_maxLT))</f>
        <v>53129.101821078599</v>
      </c>
      <c r="Y126" s="28">
        <f ca="1">SUMPRODUCT(dFactor,tpSurvInMx,INDEX(tEIdxElec,21)*INDEX(elecInMx,1,4)*allOnes,OFFSET(tPrcElec,0,20,1,_maxLT))</f>
        <v>53335.842346795733</v>
      </c>
      <c r="Z126" s="28">
        <f ca="1">SUMPRODUCT(dFactor,tpSurvInMx,INDEX(tEIdxElec,22)*INDEX(elecInMx,1,4)*allOnes,OFFSET(tPrcElec,0,21,1,_maxLT))</f>
        <v>53561.413499339338</v>
      </c>
      <c r="AA126" s="28">
        <f ca="1">SUMPRODUCT(dFactor,tpSurvInMx,INDEX(tEIdxElec,23)*INDEX(elecInMx,1,4)*allOnes,OFFSET(tPrcElec,0,22,1,_maxLT))</f>
        <v>53762.8113679339</v>
      </c>
      <c r="AB126" s="28">
        <f ca="1">SUMPRODUCT(dFactor,tpSurvInMx,INDEX(tEIdxElec,24)*INDEX(elecInMx,1,4)*allOnes,OFFSET(tPrcElec,0,23,1,_maxLT))</f>
        <v>53982.566762381372</v>
      </c>
      <c r="AC126" s="28">
        <f ca="1">SUMPRODUCT(dFactor,tpSurvInMx,INDEX(tEIdxElec,25)*INDEX(elecInMx,1,4)*allOnes,OFFSET(tPrcElec,0,24,1,_maxLT))</f>
        <v>54177.826436804273</v>
      </c>
      <c r="AD126" s="28">
        <f ca="1">SUMPRODUCT(dFactor,tpSurvInMx,INDEX(tEIdxElec,26)*INDEX(elecInMx,1,4)*allOnes,OFFSET(tPrcElec,0,25,1,_maxLT))</f>
        <v>54390.998459621187</v>
      </c>
      <c r="AE126" s="28">
        <f ca="1">SUMPRODUCT(dFactor,tpSurvInMx,INDEX(tEIdxElec,27)*INDEX(elecInMx,1,4)*allOnes,OFFSET(tPrcElec,0,26,1,_maxLT))</f>
        <v>54623.525504866906</v>
      </c>
      <c r="AF126" s="28">
        <f ca="1">SUMPRODUCT(dFactor,tpSurvInMx,INDEX(tEIdxElec,28)*INDEX(elecInMx,1,4)*allOnes,OFFSET(tPrcElec,0,27,1,_maxLT))</f>
        <v>54832.406588753234</v>
      </c>
      <c r="AG126" s="28">
        <f ca="1">SUMPRODUCT(dFactor,tpSurvInMx,INDEX(tEIdxElec,29)*INDEX(elecInMx,1,4)*allOnes,OFFSET(tPrcElec,0,28,1,_maxLT))</f>
        <v>55060.406062934067</v>
      </c>
      <c r="AH126" s="28">
        <f ca="1">SUMPRODUCT(dFactor,tpSurvInMx,INDEX(tEIdxElec,30)*INDEX(elecInMx,1,4)*allOnes,OFFSET(tPrcElec,0,29,1,_maxLT))</f>
        <v>55264.512857397218</v>
      </c>
      <c r="AI126" s="28">
        <f ca="1">SUMPRODUCT(dFactor,tpSurvInMx,INDEX(tEIdxElec,31)*INDEX(elecInMx,1,4)*allOnes,OFFSET(tPrcElec,0,30,1,_maxLT))</f>
        <v>55487.343958375292</v>
      </c>
      <c r="AJ126" s="28">
        <f ca="1">SUMPRODUCT(dFactor,tpSurvInMx,INDEX(tEIdxElec,32)*INDEX(elecInMx,1,4)*allOnes,OFFSET(tPrcElec,0,31,1,_maxLT))</f>
        <v>55685.966635309982</v>
      </c>
      <c r="AK126" s="29">
        <f ca="1">SUMPRODUCT(dFactor,tpSurvInMx,INDEX(tEIdxElec,33)*INDEX(elecInMx,1,4)*allOnes,OFFSET(tPrcElec,0,32,1,_maxLT))</f>
        <v>55903.03162362751</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ts2bElec*SUMPRODUCT(tpSurvInMx,INDEX(tEIdxElec,1)*INDEX(elecInMx,1,4)*convFactor)</f>
        <v>10493.248963133916</v>
      </c>
      <c r="F128" s="22">
        <f ca="1">ts2bElec*SUMPRODUCT(tpSurvInMx,INDEX(tEIdxElec,2)*INDEX(elecInMx,1,4)*convFactor)</f>
        <v>10414.76242438412</v>
      </c>
      <c r="G128" s="22">
        <f ca="1">ts2bElec*SUMPRODUCT(tpSurvInMx,INDEX(tEIdxElec,3)*INDEX(elecInMx,1,4)*convFactor)</f>
        <v>10335.655087591145</v>
      </c>
      <c r="H128" s="22">
        <f ca="1">ts2bElec*SUMPRODUCT(tpSurvInMx,INDEX(tEIdxElec,4)*INDEX(elecInMx,1,4)*convFactor)</f>
        <v>10266.164162583138</v>
      </c>
      <c r="I128" s="22">
        <f ca="1">ts2bElec*SUMPRODUCT(tpSurvInMx,INDEX(tEIdxElec,5)*INDEX(elecInMx,1,4)*convFactor)</f>
        <v>10200.253223130081</v>
      </c>
      <c r="J128" s="22">
        <f ca="1">ts2bElec*SUMPRODUCT(tpSurvInMx,INDEX(tEIdxElec,6)*INDEX(elecInMx,1,4)*convFactor)</f>
        <v>10142.839206830718</v>
      </c>
      <c r="K128" s="22">
        <f ca="1">ts2bElec*SUMPRODUCT(tpSurvInMx,INDEX(tEIdxElec,7)*INDEX(elecInMx,1,4)*convFactor)</f>
        <v>10098.295230669957</v>
      </c>
      <c r="L128" s="22">
        <f ca="1">ts2bElec*SUMPRODUCT(tpSurvInMx,INDEX(tEIdxElec,8)*INDEX(elecInMx,1,4)*convFactor)</f>
        <v>10061.362535369131</v>
      </c>
      <c r="M128" s="22">
        <f ca="1">ts2bElec*SUMPRODUCT(tpSurvInMx,INDEX(tEIdxElec,9)*INDEX(elecInMx,1,4)*convFactor)</f>
        <v>10024.263761292734</v>
      </c>
      <c r="N128" s="22">
        <f ca="1">ts2bElec*SUMPRODUCT(tpSurvInMx,INDEX(tEIdxElec,10)*INDEX(elecInMx,1,4)*convFactor)</f>
        <v>9994.5905560431056</v>
      </c>
      <c r="O128" s="22">
        <f ca="1">ts2bElec*SUMPRODUCT(tpSurvInMx,INDEX(tEIdxElec,11)*INDEX(elecInMx,1,4)*convFactor)</f>
        <v>9974.151363546971</v>
      </c>
      <c r="P128" s="22">
        <f ca="1">ts2bElec*SUMPRODUCT(tpSurvInMx,INDEX(tEIdxElec,12)*INDEX(elecInMx,1,4)*convFactor)</f>
        <v>9959.1951247089473</v>
      </c>
      <c r="Q128" s="22">
        <f ca="1">ts2bElec*SUMPRODUCT(tpSurvInMx,INDEX(tEIdxElec,13)*INDEX(elecInMx,1,4)*convFactor)</f>
        <v>9946.6123539117616</v>
      </c>
      <c r="R128" s="22">
        <f ca="1">ts2bElec*SUMPRODUCT(tpSurvInMx,INDEX(tEIdxElec,14)*INDEX(elecInMx,1,4)*convFactor)</f>
        <v>9937.3332972788667</v>
      </c>
      <c r="S128" s="22">
        <f ca="1">ts2bElec*SUMPRODUCT(tpSurvInMx,INDEX(tEIdxElec,15)*INDEX(elecInMx,1,4)*convFactor)</f>
        <v>9930.2627828501318</v>
      </c>
      <c r="T128" s="22">
        <f ca="1">ts2bElec*SUMPRODUCT(tpSurvInMx,INDEX(tEIdxElec,16)*INDEX(elecInMx,1,4)*convFactor)</f>
        <v>9929.3766822756734</v>
      </c>
      <c r="U128" s="22">
        <f ca="1">ts2bElec*SUMPRODUCT(tpSurvInMx,INDEX(tEIdxElec,17)*INDEX(elecInMx,1,4)*convFactor)</f>
        <v>9931.1919307532808</v>
      </c>
      <c r="V128" s="22">
        <f ca="1">ts2bElec*SUMPRODUCT(tpSurvInMx,INDEX(tEIdxElec,18)*INDEX(elecInMx,1,4)*convFactor)</f>
        <v>9933.858625526791</v>
      </c>
      <c r="W128" s="22">
        <f ca="1">ts2bElec*SUMPRODUCT(tpSurvInMx,INDEX(tEIdxElec,19)*INDEX(elecInMx,1,4)*convFactor)</f>
        <v>9937.6723685190409</v>
      </c>
      <c r="X128" s="22">
        <f ca="1">ts2bElec*SUMPRODUCT(tpSurvInMx,INDEX(tEIdxElec,20)*INDEX(elecInMx,1,4)*convFactor)</f>
        <v>9941.2763146794023</v>
      </c>
      <c r="Y128" s="22">
        <f ca="1">ts2bElec*SUMPRODUCT(tpSurvInMx,INDEX(tEIdxElec,21)*INDEX(elecInMx,1,4)*convFactor)</f>
        <v>9944.2623767633595</v>
      </c>
      <c r="Z128" s="22">
        <f ca="1">ts2bElec*SUMPRODUCT(tpSurvInMx,INDEX(tEIdxElec,22)*INDEX(elecInMx,1,4)*convFactor)</f>
        <v>9946.2634605512812</v>
      </c>
      <c r="AA128" s="22">
        <f ca="1">ts2bElec*SUMPRODUCT(tpSurvInMx,INDEX(tEIdxElec,23)*INDEX(elecInMx,1,4)*convFactor)</f>
        <v>9947.5823079728798</v>
      </c>
      <c r="AB128" s="22">
        <f ca="1">ts2bElec*SUMPRODUCT(tpSurvInMx,INDEX(tEIdxElec,24)*INDEX(elecInMx,1,4)*convFactor)</f>
        <v>9947.5823079728798</v>
      </c>
      <c r="AC128" s="22">
        <f ca="1">ts2bElec*SUMPRODUCT(tpSurvInMx,INDEX(tEIdxElec,25)*INDEX(elecInMx,1,4)*convFactor)</f>
        <v>9947.5823079728798</v>
      </c>
      <c r="AD128" s="22">
        <f ca="1">ts2bElec*SUMPRODUCT(tpSurvInMx,INDEX(tEIdxElec,26)*INDEX(elecInMx,1,4)*convFactor)</f>
        <v>9947.5823079728798</v>
      </c>
      <c r="AE128" s="22">
        <f ca="1">ts2bElec*SUMPRODUCT(tpSurvInMx,INDEX(tEIdxElec,27)*INDEX(elecInMx,1,4)*convFactor)</f>
        <v>9947.5823079728798</v>
      </c>
      <c r="AF128" s="22">
        <f ca="1">ts2bElec*SUMPRODUCT(tpSurvInMx,INDEX(tEIdxElec,28)*INDEX(elecInMx,1,4)*convFactor)</f>
        <v>9947.5823079728798</v>
      </c>
      <c r="AG128" s="22">
        <f ca="1">ts2bElec*SUMPRODUCT(tpSurvInMx,INDEX(tEIdxElec,29)*INDEX(elecInMx,1,4)*convFactor)</f>
        <v>9947.5823079728798</v>
      </c>
      <c r="AH128" s="22">
        <f ca="1">ts2bElec*SUMPRODUCT(tpSurvInMx,INDEX(tEIdxElec,30)*INDEX(elecInMx,1,4)*convFactor)</f>
        <v>9947.5823079728798</v>
      </c>
      <c r="AI128" s="22">
        <f ca="1">ts2bElec*SUMPRODUCT(tpSurvInMx,INDEX(tEIdxElec,31)*INDEX(elecInMx,1,4)*convFactor)</f>
        <v>9947.5823079728798</v>
      </c>
      <c r="AJ128" s="22">
        <f ca="1">ts2bElec*SUMPRODUCT(tpSurvInMx,INDEX(tEIdxElec,32)*INDEX(elecInMx,1,4)*convFactor)</f>
        <v>9947.5823079728798</v>
      </c>
      <c r="AK128" s="25">
        <f ca="1">ts2bElec*SUMPRODUCT(tpSurvInMx,INDEX(tEIdxElec,33)*INDEX(elecInMx,1,4)*convFactor)</f>
        <v>9947.5823079728798</v>
      </c>
      <c r="AL128" s="3"/>
    </row>
    <row r="129" spans="2:38">
      <c r="B129" s="3"/>
      <c r="C129" s="30" t="str">
        <f>"EL 4: " &amp; INDEX(_doName,5,5)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(1+INDEX(vadInMx,1,5))*INDEX(mspInMx,1,5)*tPIdxAll + INDEX(instInMx,1,5) + SUMPRODUCT(dFactor,tpSurvInMx,INDEX(mrInMx,1,5)*allOnes)</f>
        <v>1763.1461380000001</v>
      </c>
      <c r="F130" s="28">
        <f ca="1"/>
        <v>1763.1461380000001</v>
      </c>
      <c r="G130" s="28">
        <f ca="1"/>
        <v>1763.1461380000001</v>
      </c>
      <c r="H130" s="28">
        <f ca="1"/>
        <v>1763.1461380000001</v>
      </c>
      <c r="I130" s="28">
        <f ca="1"/>
        <v>1763.1461380000001</v>
      </c>
      <c r="J130" s="28">
        <f ca="1"/>
        <v>1763.1461380000001</v>
      </c>
      <c r="K130" s="28">
        <f ca="1"/>
        <v>1763.1461380000001</v>
      </c>
      <c r="L130" s="28">
        <f ca="1"/>
        <v>1763.1461380000001</v>
      </c>
      <c r="M130" s="28">
        <f ca="1"/>
        <v>1763.1461380000001</v>
      </c>
      <c r="N130" s="28">
        <f ca="1"/>
        <v>1763.1461380000001</v>
      </c>
      <c r="O130" s="28">
        <f ca="1"/>
        <v>1763.1461380000001</v>
      </c>
      <c r="P130" s="28">
        <f ca="1"/>
        <v>1763.1461380000001</v>
      </c>
      <c r="Q130" s="28">
        <f ca="1"/>
        <v>1763.1461380000001</v>
      </c>
      <c r="R130" s="28">
        <f ca="1"/>
        <v>1763.1461380000001</v>
      </c>
      <c r="S130" s="28">
        <f ca="1"/>
        <v>1763.1461380000001</v>
      </c>
      <c r="T130" s="28">
        <f ca="1"/>
        <v>1763.1461380000001</v>
      </c>
      <c r="U130" s="28">
        <f ca="1"/>
        <v>1763.1461380000001</v>
      </c>
      <c r="V130" s="28">
        <f ca="1"/>
        <v>1763.1461380000001</v>
      </c>
      <c r="W130" s="28">
        <f ca="1"/>
        <v>1763.1461380000001</v>
      </c>
      <c r="X130" s="28">
        <f ca="1"/>
        <v>1763.1461380000001</v>
      </c>
      <c r="Y130" s="28">
        <f ca="1"/>
        <v>1763.1461380000001</v>
      </c>
      <c r="Z130" s="28">
        <f ca="1"/>
        <v>1763.1461380000001</v>
      </c>
      <c r="AA130" s="28">
        <f ca="1"/>
        <v>1763.1461380000001</v>
      </c>
      <c r="AB130" s="28">
        <f ca="1"/>
        <v>1763.1461380000001</v>
      </c>
      <c r="AC130" s="28">
        <f ca="1"/>
        <v>1763.1461380000001</v>
      </c>
      <c r="AD130" s="28">
        <f ca="1"/>
        <v>1763.1461380000001</v>
      </c>
      <c r="AE130" s="28">
        <f ca="1"/>
        <v>1763.1461380000001</v>
      </c>
      <c r="AF130" s="28">
        <f ca="1"/>
        <v>1763.1461380000001</v>
      </c>
      <c r="AG130" s="28">
        <f ca="1"/>
        <v>1763.1461380000001</v>
      </c>
      <c r="AH130" s="28">
        <f ca="1"/>
        <v>1763.1461380000001</v>
      </c>
      <c r="AI130" s="28">
        <f ca="1"/>
        <v>1763.1461380000001</v>
      </c>
      <c r="AJ130" s="28">
        <f ca="1"/>
        <v>1763.1461380000001</v>
      </c>
      <c r="AK130" s="29">
        <f ca="1"/>
        <v>1763.1461380000001</v>
      </c>
      <c r="AL130" s="3"/>
    </row>
    <row r="131" spans="2:38">
      <c r="B131" s="3"/>
      <c r="C131" s="23" t="s">
        <v>47</v>
      </c>
      <c r="D131" s="16" t="str">
        <f>_yearDol &amp; "$"</f>
        <v>2013$</v>
      </c>
      <c r="E131" s="141">
        <f t="array" aca="1" ref="E131:AK131" ca="1">(tlccEFubcElec4)</f>
        <v>21728.955915898827</v>
      </c>
      <c r="F131" s="28">
        <f ca="1"/>
        <v>21824.690724612588</v>
      </c>
      <c r="G131" s="28">
        <f ca="1"/>
        <v>21909.36807540659</v>
      </c>
      <c r="H131" s="28">
        <f ca="1"/>
        <v>22001.715648711659</v>
      </c>
      <c r="I131" s="28">
        <f ca="1"/>
        <v>22082.789959286449</v>
      </c>
      <c r="J131" s="28">
        <f ca="1"/>
        <v>22171.319191278202</v>
      </c>
      <c r="K131" s="28">
        <f ca="1"/>
        <v>22248.316609304758</v>
      </c>
      <c r="L131" s="28">
        <f ca="1"/>
        <v>22332.479912060953</v>
      </c>
      <c r="M131" s="28">
        <f ca="1"/>
        <v>22424.33874270456</v>
      </c>
      <c r="N131" s="28">
        <f ca="1"/>
        <v>22504.882561455575</v>
      </c>
      <c r="O131" s="28">
        <f ca="1"/>
        <v>22592.90624926001</v>
      </c>
      <c r="P131" s="28">
        <f ca="1"/>
        <v>22688.867280662012</v>
      </c>
      <c r="Q131" s="28">
        <f ca="1"/>
        <v>22773.872234303639</v>
      </c>
      <c r="R131" s="28">
        <f ca="1"/>
        <v>22866.659201934926</v>
      </c>
      <c r="S131" s="28">
        <f ca="1"/>
        <v>22948.234880042124</v>
      </c>
      <c r="T131" s="28">
        <f ca="1"/>
        <v>23037.41581609186</v>
      </c>
      <c r="U131" s="28">
        <f ca="1"/>
        <v>23134.680655825021</v>
      </c>
      <c r="V131" s="28">
        <f ca="1"/>
        <v>23221.134563390417</v>
      </c>
      <c r="W131" s="28">
        <f ca="1"/>
        <v>23315.471195421746</v>
      </c>
      <c r="X131" s="28">
        <f ca="1"/>
        <v>23398.800368039076</v>
      </c>
      <c r="Y131" s="28">
        <f ca="1"/>
        <v>23489.851790393805</v>
      </c>
      <c r="Z131" s="28">
        <f ca="1"/>
        <v>23589.196484473749</v>
      </c>
      <c r="AA131" s="28">
        <f ca="1"/>
        <v>23677.894925822588</v>
      </c>
      <c r="AB131" s="28">
        <f ca="1"/>
        <v>23774.678278603384</v>
      </c>
      <c r="AC131" s="28">
        <f ca="1"/>
        <v>23860.673373290585</v>
      </c>
      <c r="AD131" s="28">
        <f ca="1"/>
        <v>23954.557317023377</v>
      </c>
      <c r="AE131" s="28">
        <f ca="1"/>
        <v>24056.965483647338</v>
      </c>
      <c r="AF131" s="28">
        <f ca="1"/>
        <v>24148.959637792377</v>
      </c>
      <c r="AG131" s="28">
        <f ca="1"/>
        <v>24249.373798723278</v>
      </c>
      <c r="AH131" s="28">
        <f ca="1"/>
        <v>24339.265288955638</v>
      </c>
      <c r="AI131" s="28">
        <f ca="1"/>
        <v>24437.40322595926</v>
      </c>
      <c r="AJ131" s="28">
        <f ca="1"/>
        <v>24524.879434042195</v>
      </c>
      <c r="AK131" s="29">
        <f ca="1"/>
        <v>24620.477894291649</v>
      </c>
      <c r="AL131" s="3"/>
    </row>
    <row r="132" spans="2:38">
      <c r="B132" s="3"/>
      <c r="C132" s="27" t="str">
        <f>INDEX(_fuel,1)</f>
        <v>Electricity</v>
      </c>
      <c r="D132" s="16" t="str">
        <f>_yearDol &amp; "$"</f>
        <v>2013$</v>
      </c>
      <c r="E132" s="141">
        <f ca="1">SUMPRODUCT(dFactor,tpSurvInMx,INDEX(tEIdxElec,1)*INDEX(elecInMx,1,5)*allOnes,OFFSET(tPrcElec,0,0,1,_maxLT))</f>
        <v>21728.955915898827</v>
      </c>
      <c r="F132" s="28">
        <f ca="1">SUMPRODUCT(dFactor,tpSurvInMx,INDEX(tEIdxElec,2)*INDEX(elecInMx,1,5)*allOnes,OFFSET(tPrcElec,0,1,1,_maxLT))</f>
        <v>21824.690724612588</v>
      </c>
      <c r="G132" s="28">
        <f ca="1">SUMPRODUCT(dFactor,tpSurvInMx,INDEX(tEIdxElec,3)*INDEX(elecInMx,1,5)*allOnes,OFFSET(tPrcElec,0,2,1,_maxLT))</f>
        <v>21909.36807540659</v>
      </c>
      <c r="H132" s="28">
        <f ca="1">SUMPRODUCT(dFactor,tpSurvInMx,INDEX(tEIdxElec,4)*INDEX(elecInMx,1,5)*allOnes,OFFSET(tPrcElec,0,3,1,_maxLT))</f>
        <v>22001.715648711659</v>
      </c>
      <c r="I132" s="28">
        <f ca="1">SUMPRODUCT(dFactor,tpSurvInMx,INDEX(tEIdxElec,5)*INDEX(elecInMx,1,5)*allOnes,OFFSET(tPrcElec,0,4,1,_maxLT))</f>
        <v>22082.789959286449</v>
      </c>
      <c r="J132" s="28">
        <f ca="1">SUMPRODUCT(dFactor,tpSurvInMx,INDEX(tEIdxElec,6)*INDEX(elecInMx,1,5)*allOnes,OFFSET(tPrcElec,0,5,1,_maxLT))</f>
        <v>22171.319191278202</v>
      </c>
      <c r="K132" s="28">
        <f ca="1">SUMPRODUCT(dFactor,tpSurvInMx,INDEX(tEIdxElec,7)*INDEX(elecInMx,1,5)*allOnes,OFFSET(tPrcElec,0,6,1,_maxLT))</f>
        <v>22248.316609304758</v>
      </c>
      <c r="L132" s="28">
        <f ca="1">SUMPRODUCT(dFactor,tpSurvInMx,INDEX(tEIdxElec,8)*INDEX(elecInMx,1,5)*allOnes,OFFSET(tPrcElec,0,7,1,_maxLT))</f>
        <v>22332.479912060953</v>
      </c>
      <c r="M132" s="28">
        <f ca="1">SUMPRODUCT(dFactor,tpSurvInMx,INDEX(tEIdxElec,9)*INDEX(elecInMx,1,5)*allOnes,OFFSET(tPrcElec,0,8,1,_maxLT))</f>
        <v>22424.33874270456</v>
      </c>
      <c r="N132" s="28">
        <f ca="1">SUMPRODUCT(dFactor,tpSurvInMx,INDEX(tEIdxElec,10)*INDEX(elecInMx,1,5)*allOnes,OFFSET(tPrcElec,0,9,1,_maxLT))</f>
        <v>22504.882561455575</v>
      </c>
      <c r="O132" s="28">
        <f ca="1">SUMPRODUCT(dFactor,tpSurvInMx,INDEX(tEIdxElec,11)*INDEX(elecInMx,1,5)*allOnes,OFFSET(tPrcElec,0,10,1,_maxLT))</f>
        <v>22592.90624926001</v>
      </c>
      <c r="P132" s="28">
        <f ca="1">SUMPRODUCT(dFactor,tpSurvInMx,INDEX(tEIdxElec,12)*INDEX(elecInMx,1,5)*allOnes,OFFSET(tPrcElec,0,11,1,_maxLT))</f>
        <v>22688.867280662012</v>
      </c>
      <c r="Q132" s="28">
        <f ca="1">SUMPRODUCT(dFactor,tpSurvInMx,INDEX(tEIdxElec,13)*INDEX(elecInMx,1,5)*allOnes,OFFSET(tPrcElec,0,12,1,_maxLT))</f>
        <v>22773.872234303639</v>
      </c>
      <c r="R132" s="28">
        <f ca="1">SUMPRODUCT(dFactor,tpSurvInMx,INDEX(tEIdxElec,14)*INDEX(elecInMx,1,5)*allOnes,OFFSET(tPrcElec,0,13,1,_maxLT))</f>
        <v>22866.659201934926</v>
      </c>
      <c r="S132" s="28">
        <f ca="1">SUMPRODUCT(dFactor,tpSurvInMx,INDEX(tEIdxElec,15)*INDEX(elecInMx,1,5)*allOnes,OFFSET(tPrcElec,0,14,1,_maxLT))</f>
        <v>22948.234880042124</v>
      </c>
      <c r="T132" s="28">
        <f ca="1">SUMPRODUCT(dFactor,tpSurvInMx,INDEX(tEIdxElec,16)*INDEX(elecInMx,1,5)*allOnes,OFFSET(tPrcElec,0,15,1,_maxLT))</f>
        <v>23037.41581609186</v>
      </c>
      <c r="U132" s="28">
        <f ca="1">SUMPRODUCT(dFactor,tpSurvInMx,INDEX(tEIdxElec,17)*INDEX(elecInMx,1,5)*allOnes,OFFSET(tPrcElec,0,16,1,_maxLT))</f>
        <v>23134.680655825021</v>
      </c>
      <c r="V132" s="28">
        <f ca="1">SUMPRODUCT(dFactor,tpSurvInMx,INDEX(tEIdxElec,18)*INDEX(elecInMx,1,5)*allOnes,OFFSET(tPrcElec,0,17,1,_maxLT))</f>
        <v>23221.134563390417</v>
      </c>
      <c r="W132" s="28">
        <f ca="1">SUMPRODUCT(dFactor,tpSurvInMx,INDEX(tEIdxElec,19)*INDEX(elecInMx,1,5)*allOnes,OFFSET(tPrcElec,0,18,1,_maxLT))</f>
        <v>23315.471195421746</v>
      </c>
      <c r="X132" s="28">
        <f ca="1">SUMPRODUCT(dFactor,tpSurvInMx,INDEX(tEIdxElec,20)*INDEX(elecInMx,1,5)*allOnes,OFFSET(tPrcElec,0,19,1,_maxLT))</f>
        <v>23398.800368039076</v>
      </c>
      <c r="Y132" s="28">
        <f ca="1">SUMPRODUCT(dFactor,tpSurvInMx,INDEX(tEIdxElec,21)*INDEX(elecInMx,1,5)*allOnes,OFFSET(tPrcElec,0,20,1,_maxLT))</f>
        <v>23489.851790393805</v>
      </c>
      <c r="Z132" s="28">
        <f ca="1">SUMPRODUCT(dFactor,tpSurvInMx,INDEX(tEIdxElec,22)*INDEX(elecInMx,1,5)*allOnes,OFFSET(tPrcElec,0,21,1,_maxLT))</f>
        <v>23589.196484473749</v>
      </c>
      <c r="AA132" s="28">
        <f ca="1">SUMPRODUCT(dFactor,tpSurvInMx,INDEX(tEIdxElec,23)*INDEX(elecInMx,1,5)*allOnes,OFFSET(tPrcElec,0,22,1,_maxLT))</f>
        <v>23677.894925822588</v>
      </c>
      <c r="AB132" s="28">
        <f ca="1">SUMPRODUCT(dFactor,tpSurvInMx,INDEX(tEIdxElec,24)*INDEX(elecInMx,1,5)*allOnes,OFFSET(tPrcElec,0,23,1,_maxLT))</f>
        <v>23774.678278603384</v>
      </c>
      <c r="AC132" s="28">
        <f ca="1">SUMPRODUCT(dFactor,tpSurvInMx,INDEX(tEIdxElec,25)*INDEX(elecInMx,1,5)*allOnes,OFFSET(tPrcElec,0,24,1,_maxLT))</f>
        <v>23860.673373290585</v>
      </c>
      <c r="AD132" s="28">
        <f ca="1">SUMPRODUCT(dFactor,tpSurvInMx,INDEX(tEIdxElec,26)*INDEX(elecInMx,1,5)*allOnes,OFFSET(tPrcElec,0,25,1,_maxLT))</f>
        <v>23954.557317023377</v>
      </c>
      <c r="AE132" s="28">
        <f ca="1">SUMPRODUCT(dFactor,tpSurvInMx,INDEX(tEIdxElec,27)*INDEX(elecInMx,1,5)*allOnes,OFFSET(tPrcElec,0,26,1,_maxLT))</f>
        <v>24056.965483647338</v>
      </c>
      <c r="AF132" s="28">
        <f ca="1">SUMPRODUCT(dFactor,tpSurvInMx,INDEX(tEIdxElec,28)*INDEX(elecInMx,1,5)*allOnes,OFFSET(tPrcElec,0,27,1,_maxLT))</f>
        <v>24148.959637792377</v>
      </c>
      <c r="AG132" s="28">
        <f ca="1">SUMPRODUCT(dFactor,tpSurvInMx,INDEX(tEIdxElec,29)*INDEX(elecInMx,1,5)*allOnes,OFFSET(tPrcElec,0,28,1,_maxLT))</f>
        <v>24249.373798723278</v>
      </c>
      <c r="AH132" s="28">
        <f ca="1">SUMPRODUCT(dFactor,tpSurvInMx,INDEX(tEIdxElec,30)*INDEX(elecInMx,1,5)*allOnes,OFFSET(tPrcElec,0,29,1,_maxLT))</f>
        <v>24339.265288955638</v>
      </c>
      <c r="AI132" s="28">
        <f ca="1">SUMPRODUCT(dFactor,tpSurvInMx,INDEX(tEIdxElec,31)*INDEX(elecInMx,1,5)*allOnes,OFFSET(tPrcElec,0,30,1,_maxLT))</f>
        <v>24437.40322595926</v>
      </c>
      <c r="AJ132" s="28">
        <f ca="1">SUMPRODUCT(dFactor,tpSurvInMx,INDEX(tEIdxElec,32)*INDEX(elecInMx,1,5)*allOnes,OFFSET(tPrcElec,0,31,1,_maxLT))</f>
        <v>24524.879434042195</v>
      </c>
      <c r="AK132" s="29">
        <f ca="1">SUMPRODUCT(dFactor,tpSurvInMx,INDEX(tEIdxElec,33)*INDEX(elecInMx,1,5)*allOnes,OFFSET(tPrcElec,0,32,1,_maxLT))</f>
        <v>24620.477894291649</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ts2bElec*SUMPRODUCT(tpSurvInMx,INDEX(tEIdxElec,1)*INDEX(elecInMx,1,5)*convFactor)</f>
        <v>4621.3737722758151</v>
      </c>
      <c r="F134" s="22">
        <f ca="1">ts2bElec*SUMPRODUCT(tpSurvInMx,INDEX(tEIdxElec,2)*INDEX(elecInMx,1,5)*convFactor)</f>
        <v>4586.807201623642</v>
      </c>
      <c r="G134" s="22">
        <f ca="1">ts2bElec*SUMPRODUCT(tpSurvInMx,INDEX(tEIdxElec,3)*INDEX(elecInMx,1,5)*convFactor)</f>
        <v>4551.9672228206946</v>
      </c>
      <c r="H134" s="22">
        <f ca="1">ts2bElec*SUMPRODUCT(tpSurvInMx,INDEX(tEIdxElec,4)*INDEX(elecInMx,1,5)*convFactor)</f>
        <v>4521.3624464190789</v>
      </c>
      <c r="I134" s="22">
        <f ca="1">ts2bElec*SUMPRODUCT(tpSurvInMx,INDEX(tEIdxElec,5)*INDEX(elecInMx,1,5)*convFactor)</f>
        <v>4492.3343457836536</v>
      </c>
      <c r="J134" s="22">
        <f ca="1">ts2bElec*SUMPRODUCT(tpSurvInMx,INDEX(tEIdxElec,6)*INDEX(elecInMx,1,5)*convFactor)</f>
        <v>4467.0484090810105</v>
      </c>
      <c r="K134" s="22">
        <f ca="1">ts2bElec*SUMPRODUCT(tpSurvInMx,INDEX(tEIdxElec,7)*INDEX(elecInMx,1,5)*convFactor)</f>
        <v>4447.4306182647006</v>
      </c>
      <c r="L134" s="22">
        <f ca="1">ts2bElec*SUMPRODUCT(tpSurvInMx,INDEX(tEIdxElec,8)*INDEX(elecInMx,1,5)*convFactor)</f>
        <v>4431.164942114031</v>
      </c>
      <c r="M134" s="22">
        <f ca="1">ts2bElec*SUMPRODUCT(tpSurvInMx,INDEX(tEIdxElec,9)*INDEX(elecInMx,1,5)*convFactor)</f>
        <v>4414.8261225451251</v>
      </c>
      <c r="N134" s="22">
        <f ca="1">ts2bElec*SUMPRODUCT(tpSurvInMx,INDEX(tEIdxElec,10)*INDEX(elecInMx,1,5)*convFactor)</f>
        <v>4401.7576274620687</v>
      </c>
      <c r="O134" s="22">
        <f ca="1">ts2bElec*SUMPRODUCT(tpSurvInMx,INDEX(tEIdxElec,11)*INDEX(elecInMx,1,5)*convFactor)</f>
        <v>4392.7559208924458</v>
      </c>
      <c r="P134" s="22">
        <f ca="1">ts2bElec*SUMPRODUCT(tpSurvInMx,INDEX(tEIdxElec,12)*INDEX(elecInMx,1,5)*convFactor)</f>
        <v>4386.1689838874472</v>
      </c>
      <c r="Q134" s="22">
        <f ca="1">ts2bElec*SUMPRODUCT(tpSurvInMx,INDEX(tEIdxElec,13)*INDEX(elecInMx,1,5)*convFactor)</f>
        <v>4380.6273554414838</v>
      </c>
      <c r="R134" s="22">
        <f ca="1">ts2bElec*SUMPRODUCT(tpSurvInMx,INDEX(tEIdxElec,14)*INDEX(elecInMx,1,5)*convFactor)</f>
        <v>4376.5407289728491</v>
      </c>
      <c r="S134" s="22">
        <f ca="1">ts2bElec*SUMPRODUCT(tpSurvInMx,INDEX(tEIdxElec,15)*INDEX(elecInMx,1,5)*convFactor)</f>
        <v>4373.4267754154471</v>
      </c>
      <c r="T134" s="22">
        <f ca="1">ts2bElec*SUMPRODUCT(tpSurvInMx,INDEX(tEIdxElec,16)*INDEX(elecInMx,1,5)*convFactor)</f>
        <v>4373.03652431507</v>
      </c>
      <c r="U134" s="22">
        <f ca="1">ts2bElec*SUMPRODUCT(tpSurvInMx,INDEX(tEIdxElec,17)*INDEX(elecInMx,1,5)*convFactor)</f>
        <v>4373.835985162139</v>
      </c>
      <c r="V134" s="22">
        <f ca="1">ts2bElec*SUMPRODUCT(tpSurvInMx,INDEX(tEIdxElec,18)*INDEX(elecInMx,1,5)*convFactor)</f>
        <v>4375.0104348800733</v>
      </c>
      <c r="W134" s="22">
        <f ca="1">ts2bElec*SUMPRODUCT(tpSurvInMx,INDEX(tEIdxElec,19)*INDEX(elecInMx,1,5)*convFactor)</f>
        <v>4376.6900606947765</v>
      </c>
      <c r="X134" s="22">
        <f ca="1">ts2bElec*SUMPRODUCT(tpSurvInMx,INDEX(tEIdxElec,20)*INDEX(elecInMx,1,5)*convFactor)</f>
        <v>4378.2772890470915</v>
      </c>
      <c r="Y134" s="22">
        <f ca="1">ts2bElec*SUMPRODUCT(tpSurvInMx,INDEX(tEIdxElec,21)*INDEX(elecInMx,1,5)*convFactor)</f>
        <v>4379.5923926004025</v>
      </c>
      <c r="Z134" s="22">
        <f ca="1">ts2bElec*SUMPRODUCT(tpSurvInMx,INDEX(tEIdxElec,22)*INDEX(elecInMx,1,5)*convFactor)</f>
        <v>4380.4736979202426</v>
      </c>
      <c r="AA134" s="22">
        <f ca="1">ts2bElec*SUMPRODUCT(tpSurvInMx,INDEX(tEIdxElec,23)*INDEX(elecInMx,1,5)*convFactor)</f>
        <v>4381.0545367915229</v>
      </c>
      <c r="AB134" s="22">
        <f ca="1">ts2bElec*SUMPRODUCT(tpSurvInMx,INDEX(tEIdxElec,24)*INDEX(elecInMx,1,5)*convFactor)</f>
        <v>4381.0545367915229</v>
      </c>
      <c r="AC134" s="22">
        <f ca="1">ts2bElec*SUMPRODUCT(tpSurvInMx,INDEX(tEIdxElec,25)*INDEX(elecInMx,1,5)*convFactor)</f>
        <v>4381.0545367915229</v>
      </c>
      <c r="AD134" s="22">
        <f ca="1">ts2bElec*SUMPRODUCT(tpSurvInMx,INDEX(tEIdxElec,26)*INDEX(elecInMx,1,5)*convFactor)</f>
        <v>4381.0545367915229</v>
      </c>
      <c r="AE134" s="22">
        <f ca="1">ts2bElec*SUMPRODUCT(tpSurvInMx,INDEX(tEIdxElec,27)*INDEX(elecInMx,1,5)*convFactor)</f>
        <v>4381.0545367915229</v>
      </c>
      <c r="AF134" s="22">
        <f ca="1">ts2bElec*SUMPRODUCT(tpSurvInMx,INDEX(tEIdxElec,28)*INDEX(elecInMx,1,5)*convFactor)</f>
        <v>4381.0545367915229</v>
      </c>
      <c r="AG134" s="22">
        <f ca="1">ts2bElec*SUMPRODUCT(tpSurvInMx,INDEX(tEIdxElec,29)*INDEX(elecInMx,1,5)*convFactor)</f>
        <v>4381.0545367915229</v>
      </c>
      <c r="AH134" s="22">
        <f ca="1">ts2bElec*SUMPRODUCT(tpSurvInMx,INDEX(tEIdxElec,30)*INDEX(elecInMx,1,5)*convFactor)</f>
        <v>4381.0545367915229</v>
      </c>
      <c r="AI134" s="22">
        <f ca="1">ts2bElec*SUMPRODUCT(tpSurvInMx,INDEX(tEIdxElec,31)*INDEX(elecInMx,1,5)*convFactor)</f>
        <v>4381.0545367915229</v>
      </c>
      <c r="AJ134" s="22">
        <f ca="1">ts2bElec*SUMPRODUCT(tpSurvInMx,INDEX(tEIdxElec,32)*INDEX(elecInMx,1,5)*convFactor)</f>
        <v>4381.0545367915229</v>
      </c>
      <c r="AK134" s="25">
        <f ca="1">ts2bElec*SUMPRODUCT(tpSurvInMx,INDEX(tEIdxElec,33)*INDEX(elecInMx,1,5)*convFactor)</f>
        <v>4381.0545367915229</v>
      </c>
      <c r="AL134" s="3"/>
    </row>
    <row r="135" spans="2:38">
      <c r="B135" s="3"/>
      <c r="C135" s="30" t="str">
        <f>"EL 5: " &amp; INDEX(_doName,5,6)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(1+INDEX(vadInMx,1,6))*INDEX(mspInMx,1,6)*tPIdxAll + INDEX(instInMx,1,6) + SUMPRODUCT(dFactor,tpSurvInMx,INDEX(mrInMx,1,6)*allOnes)</f>
        <v>2469.3678879999998</v>
      </c>
      <c r="F136" s="28">
        <f ca="1"/>
        <v>2469.3678879999998</v>
      </c>
      <c r="G136" s="28">
        <f ca="1"/>
        <v>2469.3678879999998</v>
      </c>
      <c r="H136" s="28">
        <f ca="1"/>
        <v>2469.3678879999998</v>
      </c>
      <c r="I136" s="28">
        <f ca="1"/>
        <v>2469.3678879999998</v>
      </c>
      <c r="J136" s="28">
        <f ca="1"/>
        <v>2469.3678879999998</v>
      </c>
      <c r="K136" s="28">
        <f ca="1"/>
        <v>2469.3678879999998</v>
      </c>
      <c r="L136" s="28">
        <f ca="1"/>
        <v>2469.3678879999998</v>
      </c>
      <c r="M136" s="28">
        <f ca="1"/>
        <v>2469.3678879999998</v>
      </c>
      <c r="N136" s="28">
        <f ca="1"/>
        <v>2469.3678879999998</v>
      </c>
      <c r="O136" s="28">
        <f ca="1"/>
        <v>2469.3678879999998</v>
      </c>
      <c r="P136" s="28">
        <f ca="1"/>
        <v>2469.3678879999998</v>
      </c>
      <c r="Q136" s="28">
        <f ca="1"/>
        <v>2469.3678879999998</v>
      </c>
      <c r="R136" s="28">
        <f ca="1"/>
        <v>2469.3678879999998</v>
      </c>
      <c r="S136" s="28">
        <f ca="1"/>
        <v>2469.3678879999998</v>
      </c>
      <c r="T136" s="28">
        <f ca="1"/>
        <v>2469.3678879999998</v>
      </c>
      <c r="U136" s="28">
        <f ca="1"/>
        <v>2469.3678879999998</v>
      </c>
      <c r="V136" s="28">
        <f ca="1"/>
        <v>2469.3678879999998</v>
      </c>
      <c r="W136" s="28">
        <f ca="1"/>
        <v>2469.3678879999998</v>
      </c>
      <c r="X136" s="28">
        <f ca="1"/>
        <v>2469.3678879999998</v>
      </c>
      <c r="Y136" s="28">
        <f ca="1"/>
        <v>2469.3678879999998</v>
      </c>
      <c r="Z136" s="28">
        <f ca="1"/>
        <v>2469.3678879999998</v>
      </c>
      <c r="AA136" s="28">
        <f ca="1"/>
        <v>2469.3678879999998</v>
      </c>
      <c r="AB136" s="28">
        <f ca="1"/>
        <v>2469.3678879999998</v>
      </c>
      <c r="AC136" s="28">
        <f ca="1"/>
        <v>2469.3678879999998</v>
      </c>
      <c r="AD136" s="28">
        <f ca="1"/>
        <v>2469.3678879999998</v>
      </c>
      <c r="AE136" s="28">
        <f ca="1"/>
        <v>2469.3678879999998</v>
      </c>
      <c r="AF136" s="28">
        <f ca="1"/>
        <v>2469.3678879999998</v>
      </c>
      <c r="AG136" s="28">
        <f ca="1"/>
        <v>2469.3678879999998</v>
      </c>
      <c r="AH136" s="28">
        <f ca="1"/>
        <v>2469.3678879999998</v>
      </c>
      <c r="AI136" s="28">
        <f ca="1"/>
        <v>2469.3678879999998</v>
      </c>
      <c r="AJ136" s="28">
        <f ca="1"/>
        <v>2469.3678879999998</v>
      </c>
      <c r="AK136" s="29">
        <f ca="1"/>
        <v>2469.3678879999998</v>
      </c>
      <c r="AL136" s="3"/>
    </row>
    <row r="137" spans="2:38">
      <c r="B137" s="3"/>
      <c r="C137" s="23" t="s">
        <v>47</v>
      </c>
      <c r="D137" s="16" t="str">
        <f>_yearDol &amp; "$"</f>
        <v>2013$</v>
      </c>
      <c r="E137" s="141">
        <f t="array" aca="1" ref="E137:AK137" ca="1">(tlccEFubcElec5)</f>
        <v>31939.409223037495</v>
      </c>
      <c r="F137" s="28">
        <f ca="1"/>
        <v>32080.129892923022</v>
      </c>
      <c r="G137" s="28">
        <f ca="1"/>
        <v>32204.597196800853</v>
      </c>
      <c r="H137" s="28">
        <f ca="1"/>
        <v>32340.338966721185</v>
      </c>
      <c r="I137" s="28">
        <f ca="1"/>
        <v>32459.510158974801</v>
      </c>
      <c r="J137" s="28">
        <f ca="1"/>
        <v>32589.639346025018</v>
      </c>
      <c r="K137" s="28">
        <f ca="1"/>
        <v>32702.81791074697</v>
      </c>
      <c r="L137" s="28">
        <f ca="1"/>
        <v>32826.529615013686</v>
      </c>
      <c r="M137" s="28">
        <f ca="1"/>
        <v>32961.552981715307</v>
      </c>
      <c r="N137" s="28">
        <f ca="1"/>
        <v>33079.944403624009</v>
      </c>
      <c r="O137" s="28">
        <f ca="1"/>
        <v>33209.330490879554</v>
      </c>
      <c r="P137" s="28">
        <f ca="1"/>
        <v>33350.383685670677</v>
      </c>
      <c r="Q137" s="28">
        <f ca="1"/>
        <v>33475.33253322939</v>
      </c>
      <c r="R137" s="28">
        <f ca="1"/>
        <v>33611.720169212029</v>
      </c>
      <c r="S137" s="28">
        <f ca="1"/>
        <v>33731.628321991979</v>
      </c>
      <c r="T137" s="28">
        <f ca="1"/>
        <v>33862.715449344563</v>
      </c>
      <c r="U137" s="28">
        <f ca="1"/>
        <v>34005.685113017083</v>
      </c>
      <c r="V137" s="28">
        <f ca="1"/>
        <v>34132.763779076762</v>
      </c>
      <c r="W137" s="28">
        <f ca="1"/>
        <v>34271.429267967877</v>
      </c>
      <c r="X137" s="28">
        <f ca="1"/>
        <v>34393.914883693877</v>
      </c>
      <c r="Y137" s="28">
        <f ca="1"/>
        <v>34527.751440322885</v>
      </c>
      <c r="Z137" s="28">
        <f ca="1"/>
        <v>34673.778283519445</v>
      </c>
      <c r="AA137" s="28">
        <f ca="1"/>
        <v>34804.156191535403</v>
      </c>
      <c r="AB137" s="28">
        <f ca="1"/>
        <v>34946.418117161666</v>
      </c>
      <c r="AC137" s="28">
        <f ca="1"/>
        <v>35072.822373814364</v>
      </c>
      <c r="AD137" s="28">
        <f ca="1"/>
        <v>35210.822455822927</v>
      </c>
      <c r="AE137" s="28">
        <f ca="1"/>
        <v>35361.35229969777</v>
      </c>
      <c r="AF137" s="28">
        <f ca="1"/>
        <v>35496.574578519547</v>
      </c>
      <c r="AG137" s="28">
        <f ca="1"/>
        <v>35644.173431873256</v>
      </c>
      <c r="AH137" s="28">
        <f ca="1"/>
        <v>35776.305003372217</v>
      </c>
      <c r="AI137" s="28">
        <f ca="1"/>
        <v>35920.558033402536</v>
      </c>
      <c r="AJ137" s="28">
        <f ca="1"/>
        <v>36049.139379789085</v>
      </c>
      <c r="AK137" s="29">
        <f ca="1"/>
        <v>36189.659630960756</v>
      </c>
      <c r="AL137" s="3"/>
    </row>
    <row r="138" spans="2:38">
      <c r="B138" s="3"/>
      <c r="C138" s="27" t="str">
        <f>INDEX(_fuel,1)</f>
        <v>Electricity</v>
      </c>
      <c r="D138" s="16" t="str">
        <f>_yearDol &amp; "$"</f>
        <v>2013$</v>
      </c>
      <c r="E138" s="141">
        <f ca="1">SUMPRODUCT(dFactor,tpSurvInMx,INDEX(tEIdxElec,1)*INDEX(elecInMx,1,6)*allOnes,OFFSET(tPrcElec,0,0,1,_maxLT))</f>
        <v>31939.409223037495</v>
      </c>
      <c r="F138" s="28">
        <f ca="1">SUMPRODUCT(dFactor,tpSurvInMx,INDEX(tEIdxElec,2)*INDEX(elecInMx,1,6)*allOnes,OFFSET(tPrcElec,0,1,1,_maxLT))</f>
        <v>32080.129892923022</v>
      </c>
      <c r="G138" s="28">
        <f ca="1">SUMPRODUCT(dFactor,tpSurvInMx,INDEX(tEIdxElec,3)*INDEX(elecInMx,1,6)*allOnes,OFFSET(tPrcElec,0,2,1,_maxLT))</f>
        <v>32204.597196800853</v>
      </c>
      <c r="H138" s="28">
        <f ca="1">SUMPRODUCT(dFactor,tpSurvInMx,INDEX(tEIdxElec,4)*INDEX(elecInMx,1,6)*allOnes,OFFSET(tPrcElec,0,3,1,_maxLT))</f>
        <v>32340.338966721185</v>
      </c>
      <c r="I138" s="28">
        <f ca="1">SUMPRODUCT(dFactor,tpSurvInMx,INDEX(tEIdxElec,5)*INDEX(elecInMx,1,6)*allOnes,OFFSET(tPrcElec,0,4,1,_maxLT))</f>
        <v>32459.510158974801</v>
      </c>
      <c r="J138" s="28">
        <f ca="1">SUMPRODUCT(dFactor,tpSurvInMx,INDEX(tEIdxElec,6)*INDEX(elecInMx,1,6)*allOnes,OFFSET(tPrcElec,0,5,1,_maxLT))</f>
        <v>32589.639346025018</v>
      </c>
      <c r="K138" s="28">
        <f ca="1">SUMPRODUCT(dFactor,tpSurvInMx,INDEX(tEIdxElec,7)*INDEX(elecInMx,1,6)*allOnes,OFFSET(tPrcElec,0,6,1,_maxLT))</f>
        <v>32702.81791074697</v>
      </c>
      <c r="L138" s="28">
        <f ca="1">SUMPRODUCT(dFactor,tpSurvInMx,INDEX(tEIdxElec,8)*INDEX(elecInMx,1,6)*allOnes,OFFSET(tPrcElec,0,7,1,_maxLT))</f>
        <v>32826.529615013686</v>
      </c>
      <c r="M138" s="28">
        <f ca="1">SUMPRODUCT(dFactor,tpSurvInMx,INDEX(tEIdxElec,9)*INDEX(elecInMx,1,6)*allOnes,OFFSET(tPrcElec,0,8,1,_maxLT))</f>
        <v>32961.552981715307</v>
      </c>
      <c r="N138" s="28">
        <f ca="1">SUMPRODUCT(dFactor,tpSurvInMx,INDEX(tEIdxElec,10)*INDEX(elecInMx,1,6)*allOnes,OFFSET(tPrcElec,0,9,1,_maxLT))</f>
        <v>33079.944403624009</v>
      </c>
      <c r="O138" s="28">
        <f ca="1">SUMPRODUCT(dFactor,tpSurvInMx,INDEX(tEIdxElec,11)*INDEX(elecInMx,1,6)*allOnes,OFFSET(tPrcElec,0,10,1,_maxLT))</f>
        <v>33209.330490879554</v>
      </c>
      <c r="P138" s="28">
        <f ca="1">SUMPRODUCT(dFactor,tpSurvInMx,INDEX(tEIdxElec,12)*INDEX(elecInMx,1,6)*allOnes,OFFSET(tPrcElec,0,11,1,_maxLT))</f>
        <v>33350.383685670677</v>
      </c>
      <c r="Q138" s="28">
        <f ca="1">SUMPRODUCT(dFactor,tpSurvInMx,INDEX(tEIdxElec,13)*INDEX(elecInMx,1,6)*allOnes,OFFSET(tPrcElec,0,12,1,_maxLT))</f>
        <v>33475.33253322939</v>
      </c>
      <c r="R138" s="28">
        <f ca="1">SUMPRODUCT(dFactor,tpSurvInMx,INDEX(tEIdxElec,14)*INDEX(elecInMx,1,6)*allOnes,OFFSET(tPrcElec,0,13,1,_maxLT))</f>
        <v>33611.720169212029</v>
      </c>
      <c r="S138" s="28">
        <f ca="1">SUMPRODUCT(dFactor,tpSurvInMx,INDEX(tEIdxElec,15)*INDEX(elecInMx,1,6)*allOnes,OFFSET(tPrcElec,0,14,1,_maxLT))</f>
        <v>33731.628321991979</v>
      </c>
      <c r="T138" s="28">
        <f ca="1">SUMPRODUCT(dFactor,tpSurvInMx,INDEX(tEIdxElec,16)*INDEX(elecInMx,1,6)*allOnes,OFFSET(tPrcElec,0,15,1,_maxLT))</f>
        <v>33862.715449344563</v>
      </c>
      <c r="U138" s="28">
        <f ca="1">SUMPRODUCT(dFactor,tpSurvInMx,INDEX(tEIdxElec,17)*INDEX(elecInMx,1,6)*allOnes,OFFSET(tPrcElec,0,16,1,_maxLT))</f>
        <v>34005.685113017083</v>
      </c>
      <c r="V138" s="28">
        <f ca="1">SUMPRODUCT(dFactor,tpSurvInMx,INDEX(tEIdxElec,18)*INDEX(elecInMx,1,6)*allOnes,OFFSET(tPrcElec,0,17,1,_maxLT))</f>
        <v>34132.763779076762</v>
      </c>
      <c r="W138" s="28">
        <f ca="1">SUMPRODUCT(dFactor,tpSurvInMx,INDEX(tEIdxElec,19)*INDEX(elecInMx,1,6)*allOnes,OFFSET(tPrcElec,0,18,1,_maxLT))</f>
        <v>34271.429267967877</v>
      </c>
      <c r="X138" s="28">
        <f ca="1">SUMPRODUCT(dFactor,tpSurvInMx,INDEX(tEIdxElec,20)*INDEX(elecInMx,1,6)*allOnes,OFFSET(tPrcElec,0,19,1,_maxLT))</f>
        <v>34393.914883693877</v>
      </c>
      <c r="Y138" s="28">
        <f ca="1">SUMPRODUCT(dFactor,tpSurvInMx,INDEX(tEIdxElec,21)*INDEX(elecInMx,1,6)*allOnes,OFFSET(tPrcElec,0,20,1,_maxLT))</f>
        <v>34527.751440322885</v>
      </c>
      <c r="Z138" s="28">
        <f ca="1">SUMPRODUCT(dFactor,tpSurvInMx,INDEX(tEIdxElec,22)*INDEX(elecInMx,1,6)*allOnes,OFFSET(tPrcElec,0,21,1,_maxLT))</f>
        <v>34673.778283519445</v>
      </c>
      <c r="AA138" s="28">
        <f ca="1">SUMPRODUCT(dFactor,tpSurvInMx,INDEX(tEIdxElec,23)*INDEX(elecInMx,1,6)*allOnes,OFFSET(tPrcElec,0,22,1,_maxLT))</f>
        <v>34804.156191535403</v>
      </c>
      <c r="AB138" s="28">
        <f ca="1">SUMPRODUCT(dFactor,tpSurvInMx,INDEX(tEIdxElec,24)*INDEX(elecInMx,1,6)*allOnes,OFFSET(tPrcElec,0,23,1,_maxLT))</f>
        <v>34946.418117161666</v>
      </c>
      <c r="AC138" s="28">
        <f ca="1">SUMPRODUCT(dFactor,tpSurvInMx,INDEX(tEIdxElec,25)*INDEX(elecInMx,1,6)*allOnes,OFFSET(tPrcElec,0,24,1,_maxLT))</f>
        <v>35072.822373814364</v>
      </c>
      <c r="AD138" s="28">
        <f ca="1">SUMPRODUCT(dFactor,tpSurvInMx,INDEX(tEIdxElec,26)*INDEX(elecInMx,1,6)*allOnes,OFFSET(tPrcElec,0,25,1,_maxLT))</f>
        <v>35210.822455822927</v>
      </c>
      <c r="AE138" s="28">
        <f ca="1">SUMPRODUCT(dFactor,tpSurvInMx,INDEX(tEIdxElec,27)*INDEX(elecInMx,1,6)*allOnes,OFFSET(tPrcElec,0,26,1,_maxLT))</f>
        <v>35361.35229969777</v>
      </c>
      <c r="AF138" s="28">
        <f ca="1">SUMPRODUCT(dFactor,tpSurvInMx,INDEX(tEIdxElec,28)*INDEX(elecInMx,1,6)*allOnes,OFFSET(tPrcElec,0,27,1,_maxLT))</f>
        <v>35496.574578519547</v>
      </c>
      <c r="AG138" s="28">
        <f ca="1">SUMPRODUCT(dFactor,tpSurvInMx,INDEX(tEIdxElec,29)*INDEX(elecInMx,1,6)*allOnes,OFFSET(tPrcElec,0,28,1,_maxLT))</f>
        <v>35644.173431873256</v>
      </c>
      <c r="AH138" s="28">
        <f ca="1">SUMPRODUCT(dFactor,tpSurvInMx,INDEX(tEIdxElec,30)*INDEX(elecInMx,1,6)*allOnes,OFFSET(tPrcElec,0,29,1,_maxLT))</f>
        <v>35776.305003372217</v>
      </c>
      <c r="AI138" s="28">
        <f ca="1">SUMPRODUCT(dFactor,tpSurvInMx,INDEX(tEIdxElec,31)*INDEX(elecInMx,1,6)*allOnes,OFFSET(tPrcElec,0,30,1,_maxLT))</f>
        <v>35920.558033402536</v>
      </c>
      <c r="AJ138" s="28">
        <f ca="1">SUMPRODUCT(dFactor,tpSurvInMx,INDEX(tEIdxElec,32)*INDEX(elecInMx,1,6)*allOnes,OFFSET(tPrcElec,0,31,1,_maxLT))</f>
        <v>36049.139379789085</v>
      </c>
      <c r="AK138" s="29">
        <f ca="1">SUMPRODUCT(dFactor,tpSurvInMx,INDEX(tEIdxElec,33)*INDEX(elecInMx,1,6)*allOnes,OFFSET(tPrcElec,0,32,1,_maxLT))</f>
        <v>36189.659630960756</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ts2bElec*SUMPRODUCT(tpSurvInMx,INDEX(tEIdxElec,1)*INDEX(elecInMx,1,6)*convFactor)</f>
        <v>6792.9609069402895</v>
      </c>
      <c r="F140" s="22">
        <f ca="1">ts2bElec*SUMPRODUCT(tpSurvInMx,INDEX(tEIdxElec,2)*INDEX(elecInMx,1,6)*convFactor)</f>
        <v>6742.1514778186165</v>
      </c>
      <c r="G140" s="22">
        <f ca="1">ts2bElec*SUMPRODUCT(tpSurvInMx,INDEX(tEIdxElec,3)*INDEX(elecInMx,1,6)*convFactor)</f>
        <v>6690.9401658431952</v>
      </c>
      <c r="H140" s="22">
        <f ca="1">ts2bElec*SUMPRODUCT(tpSurvInMx,INDEX(tEIdxElec,4)*INDEX(elecInMx,1,6)*convFactor)</f>
        <v>6645.9541811758181</v>
      </c>
      <c r="I140" s="22">
        <f ca="1">ts2bElec*SUMPRODUCT(tpSurvInMx,INDEX(tEIdxElec,5)*INDEX(elecInMx,1,6)*convFactor)</f>
        <v>6603.2857534450604</v>
      </c>
      <c r="J140" s="22">
        <f ca="1">ts2bElec*SUMPRODUCT(tpSurvInMx,INDEX(tEIdxElec,6)*INDEX(elecInMx,1,6)*convFactor)</f>
        <v>6566.1179353934504</v>
      </c>
      <c r="K140" s="22">
        <f ca="1">ts2bElec*SUMPRODUCT(tpSurvInMx,INDEX(tEIdxElec,7)*INDEX(elecInMx,1,6)*convFactor)</f>
        <v>6537.281729394449</v>
      </c>
      <c r="L140" s="22">
        <f ca="1">ts2bElec*SUMPRODUCT(tpSurvInMx,INDEX(tEIdxElec,8)*INDEX(elecInMx,1,6)*convFactor)</f>
        <v>6513.3727993530601</v>
      </c>
      <c r="M140" s="22">
        <f ca="1">ts2bElec*SUMPRODUCT(tpSurvInMx,INDEX(tEIdxElec,9)*INDEX(elecInMx,1,6)*convFactor)</f>
        <v>6489.356355744244</v>
      </c>
      <c r="N140" s="22">
        <f ca="1">ts2bElec*SUMPRODUCT(tpSurvInMx,INDEX(tEIdxElec,10)*INDEX(elecInMx,1,6)*convFactor)</f>
        <v>6470.1469646440701</v>
      </c>
      <c r="O140" s="22">
        <f ca="1">ts2bElec*SUMPRODUCT(tpSurvInMx,INDEX(tEIdxElec,11)*INDEX(elecInMx,1,6)*convFactor)</f>
        <v>6456.915349146956</v>
      </c>
      <c r="P140" s="22">
        <f ca="1">ts2bElec*SUMPRODUCT(tpSurvInMx,INDEX(tEIdxElec,12)*INDEX(elecInMx,1,6)*convFactor)</f>
        <v>6447.2332053134787</v>
      </c>
      <c r="Q140" s="22">
        <f ca="1">ts2bElec*SUMPRODUCT(tpSurvInMx,INDEX(tEIdxElec,13)*INDEX(elecInMx,1,6)*convFactor)</f>
        <v>6439.0875613450016</v>
      </c>
      <c r="R140" s="22">
        <f ca="1">ts2bElec*SUMPRODUCT(tpSurvInMx,INDEX(tEIdxElec,14)*INDEX(elecInMx,1,6)*convFactor)</f>
        <v>6433.0806259161373</v>
      </c>
      <c r="S140" s="22">
        <f ca="1">ts2bElec*SUMPRODUCT(tpSurvInMx,INDEX(tEIdxElec,15)*INDEX(elecInMx,1,6)*convFactor)</f>
        <v>6428.5034231570016</v>
      </c>
      <c r="T140" s="22">
        <f ca="1">ts2bElec*SUMPRODUCT(tpSurvInMx,INDEX(tEIdxElec,16)*INDEX(elecInMx,1,6)*convFactor)</f>
        <v>6427.929792760634</v>
      </c>
      <c r="U140" s="22">
        <f ca="1">ts2bElec*SUMPRODUCT(tpSurvInMx,INDEX(tEIdxElec,17)*INDEX(elecInMx,1,6)*convFactor)</f>
        <v>6429.1049208823506</v>
      </c>
      <c r="V140" s="22">
        <f ca="1">ts2bElec*SUMPRODUCT(tpSurvInMx,INDEX(tEIdxElec,18)*INDEX(elecInMx,1,6)*convFactor)</f>
        <v>6430.8312454373909</v>
      </c>
      <c r="W140" s="22">
        <f ca="1">ts2bElec*SUMPRODUCT(tpSurvInMx,INDEX(tEIdxElec,19)*INDEX(elecInMx,1,6)*convFactor)</f>
        <v>6433.3001287304951</v>
      </c>
      <c r="X140" s="22">
        <f ca="1">ts2bElec*SUMPRODUCT(tpSurvInMx,INDEX(tEIdxElec,20)*INDEX(elecInMx,1,6)*convFactor)</f>
        <v>6435.6331969216781</v>
      </c>
      <c r="Y140" s="22">
        <f ca="1">ts2bElec*SUMPRODUCT(tpSurvInMx,INDEX(tEIdxElec,21)*INDEX(elecInMx,1,6)*convFactor)</f>
        <v>6437.5662686588776</v>
      </c>
      <c r="Z140" s="22">
        <f ca="1">ts2bElec*SUMPRODUCT(tpSurvInMx,INDEX(tEIdxElec,22)*INDEX(elecInMx,1,6)*convFactor)</f>
        <v>6438.8617000348613</v>
      </c>
      <c r="AA140" s="22">
        <f ca="1">ts2bElec*SUMPRODUCT(tpSurvInMx,INDEX(tEIdxElec,23)*INDEX(elecInMx,1,6)*convFactor)</f>
        <v>6439.715475544107</v>
      </c>
      <c r="AB140" s="22">
        <f ca="1">ts2bElec*SUMPRODUCT(tpSurvInMx,INDEX(tEIdxElec,24)*INDEX(elecInMx,1,6)*convFactor)</f>
        <v>6439.715475544107</v>
      </c>
      <c r="AC140" s="22">
        <f ca="1">ts2bElec*SUMPRODUCT(tpSurvInMx,INDEX(tEIdxElec,25)*INDEX(elecInMx,1,6)*convFactor)</f>
        <v>6439.715475544107</v>
      </c>
      <c r="AD140" s="22">
        <f ca="1">ts2bElec*SUMPRODUCT(tpSurvInMx,INDEX(tEIdxElec,26)*INDEX(elecInMx,1,6)*convFactor)</f>
        <v>6439.715475544107</v>
      </c>
      <c r="AE140" s="22">
        <f ca="1">ts2bElec*SUMPRODUCT(tpSurvInMx,INDEX(tEIdxElec,27)*INDEX(elecInMx,1,6)*convFactor)</f>
        <v>6439.715475544107</v>
      </c>
      <c r="AF140" s="22">
        <f ca="1">ts2bElec*SUMPRODUCT(tpSurvInMx,INDEX(tEIdxElec,28)*INDEX(elecInMx,1,6)*convFactor)</f>
        <v>6439.715475544107</v>
      </c>
      <c r="AG140" s="22">
        <f ca="1">ts2bElec*SUMPRODUCT(tpSurvInMx,INDEX(tEIdxElec,29)*INDEX(elecInMx,1,6)*convFactor)</f>
        <v>6439.715475544107</v>
      </c>
      <c r="AH140" s="22">
        <f ca="1">ts2bElec*SUMPRODUCT(tpSurvInMx,INDEX(tEIdxElec,30)*INDEX(elecInMx,1,6)*convFactor)</f>
        <v>6439.715475544107</v>
      </c>
      <c r="AI140" s="22">
        <f ca="1">ts2bElec*SUMPRODUCT(tpSurvInMx,INDEX(tEIdxElec,31)*INDEX(elecInMx,1,6)*convFactor)</f>
        <v>6439.715475544107</v>
      </c>
      <c r="AJ140" s="22">
        <f ca="1">ts2bElec*SUMPRODUCT(tpSurvInMx,INDEX(tEIdxElec,32)*INDEX(elecInMx,1,6)*convFactor)</f>
        <v>6439.715475544107</v>
      </c>
      <c r="AK140" s="25">
        <f ca="1">ts2bElec*SUMPRODUCT(tpSurvInMx,INDEX(tEIdxElec,33)*INDEX(elecInMx,1,6)*convFactor)</f>
        <v>6439.715475544107</v>
      </c>
      <c r="AL140" s="3"/>
    </row>
    <row r="141" spans="2:38">
      <c r="B141" s="3"/>
      <c r="C141" s="30" t="str">
        <f>"EL 6: " &amp; INDEX(_doName,5,7)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(1+INDEX(vadInMx,1,7))*INDEX(mspInMx,1,7)*tPIdxAll + INDEX(instInMx,1,7) + SUMPRODUCT(dFactor,tpSurvInMx,INDEX(mrInMx,1,7)*allOnes)</f>
        <v>2713.0914720000001</v>
      </c>
      <c r="F142" s="28">
        <f ca="1"/>
        <v>2713.0914720000001</v>
      </c>
      <c r="G142" s="28">
        <f ca="1"/>
        <v>2713.0914720000001</v>
      </c>
      <c r="H142" s="28">
        <f ca="1"/>
        <v>2713.0914720000001</v>
      </c>
      <c r="I142" s="28">
        <f ca="1"/>
        <v>2713.0914720000001</v>
      </c>
      <c r="J142" s="28">
        <f ca="1"/>
        <v>2713.0914720000001</v>
      </c>
      <c r="K142" s="28">
        <f ca="1"/>
        <v>2713.0914720000001</v>
      </c>
      <c r="L142" s="28">
        <f ca="1"/>
        <v>2713.0914720000001</v>
      </c>
      <c r="M142" s="28">
        <f ca="1"/>
        <v>2713.0914720000001</v>
      </c>
      <c r="N142" s="28">
        <f ca="1"/>
        <v>2713.0914720000001</v>
      </c>
      <c r="O142" s="28">
        <f ca="1"/>
        <v>2713.0914720000001</v>
      </c>
      <c r="P142" s="28">
        <f ca="1"/>
        <v>2713.0914720000001</v>
      </c>
      <c r="Q142" s="28">
        <f ca="1"/>
        <v>2713.0914720000001</v>
      </c>
      <c r="R142" s="28">
        <f ca="1"/>
        <v>2713.0914720000001</v>
      </c>
      <c r="S142" s="28">
        <f ca="1"/>
        <v>2713.0914720000001</v>
      </c>
      <c r="T142" s="28">
        <f ca="1"/>
        <v>2713.0914720000001</v>
      </c>
      <c r="U142" s="28">
        <f ca="1"/>
        <v>2713.0914720000001</v>
      </c>
      <c r="V142" s="28">
        <f ca="1"/>
        <v>2713.0914720000001</v>
      </c>
      <c r="W142" s="28">
        <f ca="1"/>
        <v>2713.0914720000001</v>
      </c>
      <c r="X142" s="28">
        <f ca="1"/>
        <v>2713.0914720000001</v>
      </c>
      <c r="Y142" s="28">
        <f ca="1"/>
        <v>2713.0914720000001</v>
      </c>
      <c r="Z142" s="28">
        <f ca="1"/>
        <v>2713.0914720000001</v>
      </c>
      <c r="AA142" s="28">
        <f ca="1"/>
        <v>2713.0914720000001</v>
      </c>
      <c r="AB142" s="28">
        <f ca="1"/>
        <v>2713.0914720000001</v>
      </c>
      <c r="AC142" s="28">
        <f ca="1"/>
        <v>2713.0914720000001</v>
      </c>
      <c r="AD142" s="28">
        <f ca="1"/>
        <v>2713.0914720000001</v>
      </c>
      <c r="AE142" s="28">
        <f ca="1"/>
        <v>2713.0914720000001</v>
      </c>
      <c r="AF142" s="28">
        <f ca="1"/>
        <v>2713.0914720000001</v>
      </c>
      <c r="AG142" s="28">
        <f ca="1"/>
        <v>2713.0914720000001</v>
      </c>
      <c r="AH142" s="28">
        <f ca="1"/>
        <v>2713.0914720000001</v>
      </c>
      <c r="AI142" s="28">
        <f ca="1"/>
        <v>2713.0914720000001</v>
      </c>
      <c r="AJ142" s="28">
        <f ca="1"/>
        <v>2713.0914720000001</v>
      </c>
      <c r="AK142" s="29">
        <f ca="1"/>
        <v>2713.0914720000001</v>
      </c>
      <c r="AL142" s="3"/>
    </row>
    <row r="143" spans="2:38">
      <c r="B143" s="3"/>
      <c r="C143" s="23" t="s">
        <v>47</v>
      </c>
      <c r="D143" s="16" t="str">
        <f>_yearDol &amp; "$"</f>
        <v>2013$</v>
      </c>
      <c r="E143" s="141">
        <f t="array" aca="1" ref="E143:AK143" ca="1">(tlccEFubcElec6)</f>
        <v>32913.576968420624</v>
      </c>
      <c r="F143" s="28">
        <f ca="1"/>
        <v>33058.589688192049</v>
      </c>
      <c r="G143" s="28">
        <f ca="1"/>
        <v>33186.853306270488</v>
      </c>
      <c r="H143" s="28">
        <f ca="1"/>
        <v>33326.735267170377</v>
      </c>
      <c r="I143" s="28">
        <f ca="1"/>
        <v>33449.541239606086</v>
      </c>
      <c r="J143" s="28">
        <f ca="1"/>
        <v>33583.639431088166</v>
      </c>
      <c r="K143" s="28">
        <f ca="1"/>
        <v>33700.269997894757</v>
      </c>
      <c r="L143" s="28">
        <f ca="1"/>
        <v>33827.754970201015</v>
      </c>
      <c r="M143" s="28">
        <f ca="1"/>
        <v>33966.89661622946</v>
      </c>
      <c r="N143" s="28">
        <f ca="1"/>
        <v>34088.899034939903</v>
      </c>
      <c r="O143" s="28">
        <f ca="1"/>
        <v>34222.231461716816</v>
      </c>
      <c r="P143" s="28">
        <f ca="1"/>
        <v>34367.586848567582</v>
      </c>
      <c r="Q143" s="28">
        <f ca="1"/>
        <v>34496.346697646819</v>
      </c>
      <c r="R143" s="28">
        <f ca="1"/>
        <v>34636.894223842719</v>
      </c>
      <c r="S143" s="28">
        <f ca="1"/>
        <v>34760.459634464583</v>
      </c>
      <c r="T143" s="28">
        <f ca="1"/>
        <v>34895.544983901033</v>
      </c>
      <c r="U143" s="28">
        <f ca="1"/>
        <v>35042.875292879922</v>
      </c>
      <c r="V143" s="28">
        <f ca="1"/>
        <v>35173.82992097563</v>
      </c>
      <c r="W143" s="28">
        <f ca="1"/>
        <v>35316.724775717987</v>
      </c>
      <c r="X143" s="28">
        <f ca="1"/>
        <v>35442.946263177895</v>
      </c>
      <c r="Y143" s="28">
        <f ca="1"/>
        <v>35580.864900840716</v>
      </c>
      <c r="Z143" s="28">
        <f ca="1"/>
        <v>35731.345634828074</v>
      </c>
      <c r="AA143" s="28">
        <f ca="1"/>
        <v>35865.700133388113</v>
      </c>
      <c r="AB143" s="28">
        <f ca="1"/>
        <v>36012.301117961062</v>
      </c>
      <c r="AC143" s="28">
        <f ca="1"/>
        <v>36142.560766830029</v>
      </c>
      <c r="AD143" s="28">
        <f ca="1"/>
        <v>36284.76991945145</v>
      </c>
      <c r="AE143" s="28">
        <f ca="1"/>
        <v>36439.890997860297</v>
      </c>
      <c r="AF143" s="28">
        <f ca="1"/>
        <v>36579.237622926703</v>
      </c>
      <c r="AG143" s="28">
        <f ca="1"/>
        <v>36731.338314156863</v>
      </c>
      <c r="AH143" s="28">
        <f ca="1"/>
        <v>36867.499963801696</v>
      </c>
      <c r="AI143" s="28">
        <f ca="1"/>
        <v>37016.152782445788</v>
      </c>
      <c r="AJ143" s="28">
        <f ca="1"/>
        <v>37148.655923360013</v>
      </c>
      <c r="AK143" s="29">
        <f ca="1"/>
        <v>37293.46211154788</v>
      </c>
      <c r="AL143" s="3"/>
    </row>
    <row r="144" spans="2:38">
      <c r="B144" s="3"/>
      <c r="C144" s="27" t="str">
        <f>INDEX(_fuel,1)</f>
        <v>Electricity</v>
      </c>
      <c r="D144" s="16" t="str">
        <f>_yearDol &amp; "$"</f>
        <v>2013$</v>
      </c>
      <c r="E144" s="141">
        <f ca="1">SUMPRODUCT(dFactor,tpSurvInMx,INDEX(tEIdxElec,1)*INDEX(elecInMx,1,7)*allOnes,OFFSET(tPrcElec,0,0,1,_maxLT))</f>
        <v>32913.576968420624</v>
      </c>
      <c r="F144" s="28">
        <f ca="1">SUMPRODUCT(dFactor,tpSurvInMx,INDEX(tEIdxElec,2)*INDEX(elecInMx,1,7)*allOnes,OFFSET(tPrcElec,0,1,1,_maxLT))</f>
        <v>33058.589688192049</v>
      </c>
      <c r="G144" s="28">
        <f ca="1">SUMPRODUCT(dFactor,tpSurvInMx,INDEX(tEIdxElec,3)*INDEX(elecInMx,1,7)*allOnes,OFFSET(tPrcElec,0,2,1,_maxLT))</f>
        <v>33186.853306270488</v>
      </c>
      <c r="H144" s="28">
        <f ca="1">SUMPRODUCT(dFactor,tpSurvInMx,INDEX(tEIdxElec,4)*INDEX(elecInMx,1,7)*allOnes,OFFSET(tPrcElec,0,3,1,_maxLT))</f>
        <v>33326.735267170377</v>
      </c>
      <c r="I144" s="28">
        <f ca="1">SUMPRODUCT(dFactor,tpSurvInMx,INDEX(tEIdxElec,5)*INDEX(elecInMx,1,7)*allOnes,OFFSET(tPrcElec,0,4,1,_maxLT))</f>
        <v>33449.541239606086</v>
      </c>
      <c r="J144" s="28">
        <f ca="1">SUMPRODUCT(dFactor,tpSurvInMx,INDEX(tEIdxElec,6)*INDEX(elecInMx,1,7)*allOnes,OFFSET(tPrcElec,0,5,1,_maxLT))</f>
        <v>33583.639431088166</v>
      </c>
      <c r="K144" s="28">
        <f ca="1">SUMPRODUCT(dFactor,tpSurvInMx,INDEX(tEIdxElec,7)*INDEX(elecInMx,1,7)*allOnes,OFFSET(tPrcElec,0,6,1,_maxLT))</f>
        <v>33700.269997894757</v>
      </c>
      <c r="L144" s="28">
        <f ca="1">SUMPRODUCT(dFactor,tpSurvInMx,INDEX(tEIdxElec,8)*INDEX(elecInMx,1,7)*allOnes,OFFSET(tPrcElec,0,7,1,_maxLT))</f>
        <v>33827.754970201015</v>
      </c>
      <c r="M144" s="28">
        <f ca="1">SUMPRODUCT(dFactor,tpSurvInMx,INDEX(tEIdxElec,9)*INDEX(elecInMx,1,7)*allOnes,OFFSET(tPrcElec,0,8,1,_maxLT))</f>
        <v>33966.89661622946</v>
      </c>
      <c r="N144" s="28">
        <f ca="1">SUMPRODUCT(dFactor,tpSurvInMx,INDEX(tEIdxElec,10)*INDEX(elecInMx,1,7)*allOnes,OFFSET(tPrcElec,0,9,1,_maxLT))</f>
        <v>34088.899034939903</v>
      </c>
      <c r="O144" s="28">
        <f ca="1">SUMPRODUCT(dFactor,tpSurvInMx,INDEX(tEIdxElec,11)*INDEX(elecInMx,1,7)*allOnes,OFFSET(tPrcElec,0,10,1,_maxLT))</f>
        <v>34222.231461716816</v>
      </c>
      <c r="P144" s="28">
        <f ca="1">SUMPRODUCT(dFactor,tpSurvInMx,INDEX(tEIdxElec,12)*INDEX(elecInMx,1,7)*allOnes,OFFSET(tPrcElec,0,11,1,_maxLT))</f>
        <v>34367.586848567582</v>
      </c>
      <c r="Q144" s="28">
        <f ca="1">SUMPRODUCT(dFactor,tpSurvInMx,INDEX(tEIdxElec,13)*INDEX(elecInMx,1,7)*allOnes,OFFSET(tPrcElec,0,12,1,_maxLT))</f>
        <v>34496.346697646819</v>
      </c>
      <c r="R144" s="28">
        <f ca="1">SUMPRODUCT(dFactor,tpSurvInMx,INDEX(tEIdxElec,14)*INDEX(elecInMx,1,7)*allOnes,OFFSET(tPrcElec,0,13,1,_maxLT))</f>
        <v>34636.894223842719</v>
      </c>
      <c r="S144" s="28">
        <f ca="1">SUMPRODUCT(dFactor,tpSurvInMx,INDEX(tEIdxElec,15)*INDEX(elecInMx,1,7)*allOnes,OFFSET(tPrcElec,0,14,1,_maxLT))</f>
        <v>34760.459634464583</v>
      </c>
      <c r="T144" s="28">
        <f ca="1">SUMPRODUCT(dFactor,tpSurvInMx,INDEX(tEIdxElec,16)*INDEX(elecInMx,1,7)*allOnes,OFFSET(tPrcElec,0,15,1,_maxLT))</f>
        <v>34895.544983901033</v>
      </c>
      <c r="U144" s="28">
        <f ca="1">SUMPRODUCT(dFactor,tpSurvInMx,INDEX(tEIdxElec,17)*INDEX(elecInMx,1,7)*allOnes,OFFSET(tPrcElec,0,16,1,_maxLT))</f>
        <v>35042.875292879922</v>
      </c>
      <c r="V144" s="28">
        <f ca="1">SUMPRODUCT(dFactor,tpSurvInMx,INDEX(tEIdxElec,18)*INDEX(elecInMx,1,7)*allOnes,OFFSET(tPrcElec,0,17,1,_maxLT))</f>
        <v>35173.82992097563</v>
      </c>
      <c r="W144" s="28">
        <f ca="1">SUMPRODUCT(dFactor,tpSurvInMx,INDEX(tEIdxElec,19)*INDEX(elecInMx,1,7)*allOnes,OFFSET(tPrcElec,0,18,1,_maxLT))</f>
        <v>35316.724775717987</v>
      </c>
      <c r="X144" s="28">
        <f ca="1">SUMPRODUCT(dFactor,tpSurvInMx,INDEX(tEIdxElec,20)*INDEX(elecInMx,1,7)*allOnes,OFFSET(tPrcElec,0,19,1,_maxLT))</f>
        <v>35442.946263177895</v>
      </c>
      <c r="Y144" s="28">
        <f ca="1">SUMPRODUCT(dFactor,tpSurvInMx,INDEX(tEIdxElec,21)*INDEX(elecInMx,1,7)*allOnes,OFFSET(tPrcElec,0,20,1,_maxLT))</f>
        <v>35580.864900840716</v>
      </c>
      <c r="Z144" s="28">
        <f ca="1">SUMPRODUCT(dFactor,tpSurvInMx,INDEX(tEIdxElec,22)*INDEX(elecInMx,1,7)*allOnes,OFFSET(tPrcElec,0,21,1,_maxLT))</f>
        <v>35731.345634828074</v>
      </c>
      <c r="AA144" s="28">
        <f ca="1">SUMPRODUCT(dFactor,tpSurvInMx,INDEX(tEIdxElec,23)*INDEX(elecInMx,1,7)*allOnes,OFFSET(tPrcElec,0,22,1,_maxLT))</f>
        <v>35865.700133388113</v>
      </c>
      <c r="AB144" s="28">
        <f ca="1">SUMPRODUCT(dFactor,tpSurvInMx,INDEX(tEIdxElec,24)*INDEX(elecInMx,1,7)*allOnes,OFFSET(tPrcElec,0,23,1,_maxLT))</f>
        <v>36012.301117961062</v>
      </c>
      <c r="AC144" s="28">
        <f ca="1">SUMPRODUCT(dFactor,tpSurvInMx,INDEX(tEIdxElec,25)*INDEX(elecInMx,1,7)*allOnes,OFFSET(tPrcElec,0,24,1,_maxLT))</f>
        <v>36142.560766830029</v>
      </c>
      <c r="AD144" s="28">
        <f ca="1">SUMPRODUCT(dFactor,tpSurvInMx,INDEX(tEIdxElec,26)*INDEX(elecInMx,1,7)*allOnes,OFFSET(tPrcElec,0,25,1,_maxLT))</f>
        <v>36284.76991945145</v>
      </c>
      <c r="AE144" s="28">
        <f ca="1">SUMPRODUCT(dFactor,tpSurvInMx,INDEX(tEIdxElec,27)*INDEX(elecInMx,1,7)*allOnes,OFFSET(tPrcElec,0,26,1,_maxLT))</f>
        <v>36439.890997860297</v>
      </c>
      <c r="AF144" s="28">
        <f ca="1">SUMPRODUCT(dFactor,tpSurvInMx,INDEX(tEIdxElec,28)*INDEX(elecInMx,1,7)*allOnes,OFFSET(tPrcElec,0,27,1,_maxLT))</f>
        <v>36579.237622926703</v>
      </c>
      <c r="AG144" s="28">
        <f ca="1">SUMPRODUCT(dFactor,tpSurvInMx,INDEX(tEIdxElec,29)*INDEX(elecInMx,1,7)*allOnes,OFFSET(tPrcElec,0,28,1,_maxLT))</f>
        <v>36731.338314156863</v>
      </c>
      <c r="AH144" s="28">
        <f ca="1">SUMPRODUCT(dFactor,tpSurvInMx,INDEX(tEIdxElec,30)*INDEX(elecInMx,1,7)*allOnes,OFFSET(tPrcElec,0,29,1,_maxLT))</f>
        <v>36867.499963801696</v>
      </c>
      <c r="AI144" s="28">
        <f ca="1">SUMPRODUCT(dFactor,tpSurvInMx,INDEX(tEIdxElec,31)*INDEX(elecInMx,1,7)*allOnes,OFFSET(tPrcElec,0,30,1,_maxLT))</f>
        <v>37016.152782445788</v>
      </c>
      <c r="AJ144" s="28">
        <f ca="1">SUMPRODUCT(dFactor,tpSurvInMx,INDEX(tEIdxElec,32)*INDEX(elecInMx,1,7)*allOnes,OFFSET(tPrcElec,0,31,1,_maxLT))</f>
        <v>37148.655923360013</v>
      </c>
      <c r="AK144" s="29">
        <f ca="1">SUMPRODUCT(dFactor,tpSurvInMx,INDEX(tEIdxElec,33)*INDEX(elecInMx,1,7)*allOnes,OFFSET(tPrcElec,0,32,1,_maxLT))</f>
        <v>37293.46211154788</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ts2bElec*SUMPRODUCT(tpSurvInMx,INDEX(tEIdxElec,1)*INDEX(elecInMx,1,7)*convFactor)</f>
        <v>7000.1495673497184</v>
      </c>
      <c r="F146" s="22">
        <f ca="1">ts2bElec*SUMPRODUCT(tpSurvInMx,INDEX(tEIdxElec,2)*INDEX(elecInMx,1,7)*convFactor)</f>
        <v>6947.7904255622288</v>
      </c>
      <c r="G146" s="22">
        <f ca="1">ts2bElec*SUMPRODUCT(tpSurvInMx,INDEX(tEIdxElec,3)*INDEX(elecInMx,1,7)*convFactor)</f>
        <v>6895.0171432955958</v>
      </c>
      <c r="H146" s="22">
        <f ca="1">ts2bElec*SUMPRODUCT(tpSurvInMx,INDEX(tEIdxElec,4)*INDEX(elecInMx,1,7)*convFactor)</f>
        <v>6848.6590638924881</v>
      </c>
      <c r="I146" s="22">
        <f ca="1">ts2bElec*SUMPRODUCT(tpSurvInMx,INDEX(tEIdxElec,5)*INDEX(elecInMx,1,7)*convFactor)</f>
        <v>6804.6892280564252</v>
      </c>
      <c r="J146" s="22">
        <f ca="1">ts2bElec*SUMPRODUCT(tpSurvInMx,INDEX(tEIdxElec,6)*INDEX(elecInMx,1,7)*convFactor)</f>
        <v>6766.387773209618</v>
      </c>
      <c r="K146" s="22">
        <f ca="1">ts2bElec*SUMPRODUCT(tpSurvInMx,INDEX(tEIdxElec,7)*INDEX(elecInMx,1,7)*convFactor)</f>
        <v>6736.672048695189</v>
      </c>
      <c r="L146" s="22">
        <f ca="1">ts2bElec*SUMPRODUCT(tpSurvInMx,INDEX(tEIdxElec,8)*INDEX(elecInMx,1,7)*convFactor)</f>
        <v>6712.0338844869993</v>
      </c>
      <c r="M146" s="22">
        <f ca="1">ts2bElec*SUMPRODUCT(tpSurvInMx,INDEX(tEIdxElec,9)*INDEX(elecInMx,1,7)*convFactor)</f>
        <v>6687.2849274945065</v>
      </c>
      <c r="N146" s="22">
        <f ca="1">ts2bElec*SUMPRODUCT(tpSurvInMx,INDEX(tEIdxElec,10)*INDEX(elecInMx,1,7)*convFactor)</f>
        <v>6667.4896404847505</v>
      </c>
      <c r="O146" s="22">
        <f ca="1">ts2bElec*SUMPRODUCT(tpSurvInMx,INDEX(tEIdxElec,11)*INDEX(elecInMx,1,7)*convFactor)</f>
        <v>6653.8544541843521</v>
      </c>
      <c r="P146" s="22">
        <f ca="1">ts2bElec*SUMPRODUCT(tpSurvInMx,INDEX(tEIdxElec,12)*INDEX(elecInMx,1,7)*convFactor)</f>
        <v>6643.8770001852154</v>
      </c>
      <c r="Q146" s="22">
        <f ca="1">ts2bElec*SUMPRODUCT(tpSurvInMx,INDEX(tEIdxElec,13)*INDEX(elecInMx,1,7)*convFactor)</f>
        <v>6635.4829100553188</v>
      </c>
      <c r="R146" s="22">
        <f ca="1">ts2bElec*SUMPRODUCT(tpSurvInMx,INDEX(tEIdxElec,14)*INDEX(elecInMx,1,7)*convFactor)</f>
        <v>6629.2927601310794</v>
      </c>
      <c r="S146" s="22">
        <f ca="1">ts2bElec*SUMPRODUCT(tpSurvInMx,INDEX(tEIdxElec,15)*INDEX(elecInMx,1,7)*convFactor)</f>
        <v>6624.5759504286561</v>
      </c>
      <c r="T146" s="22">
        <f ca="1">ts2bElec*SUMPRODUCT(tpSurvInMx,INDEX(tEIdxElec,16)*INDEX(elecInMx,1,7)*convFactor)</f>
        <v>6623.9848240220772</v>
      </c>
      <c r="U146" s="22">
        <f ca="1">ts2bElec*SUMPRODUCT(tpSurvInMx,INDEX(tEIdxElec,17)*INDEX(elecInMx,1,7)*convFactor)</f>
        <v>6625.1957941315059</v>
      </c>
      <c r="V146" s="22">
        <f ca="1">ts2bElec*SUMPRODUCT(tpSurvInMx,INDEX(tEIdxElec,18)*INDEX(elecInMx,1,7)*convFactor)</f>
        <v>6626.974772437522</v>
      </c>
      <c r="W146" s="22">
        <f ca="1">ts2bElec*SUMPRODUCT(tpSurvInMx,INDEX(tEIdxElec,19)*INDEX(elecInMx,1,7)*convFactor)</f>
        <v>6629.5189578896134</v>
      </c>
      <c r="X146" s="22">
        <f ca="1">ts2bElec*SUMPRODUCT(tpSurvInMx,INDEX(tEIdxElec,20)*INDEX(elecInMx,1,7)*convFactor)</f>
        <v>6631.9231858121411</v>
      </c>
      <c r="Y146" s="22">
        <f ca="1">ts2bElec*SUMPRODUCT(tpSurvInMx,INDEX(tEIdxElec,21)*INDEX(elecInMx,1,7)*convFactor)</f>
        <v>6633.9152171914156</v>
      </c>
      <c r="Z146" s="22">
        <f ca="1">ts2bElec*SUMPRODUCT(tpSurvInMx,INDEX(tEIdxElec,22)*INDEX(elecInMx,1,7)*convFactor)</f>
        <v>6635.2501598637436</v>
      </c>
      <c r="AA146" s="22">
        <f ca="1">ts2bElec*SUMPRODUCT(tpSurvInMx,INDEX(tEIdxElec,23)*INDEX(elecInMx,1,7)*convFactor)</f>
        <v>6636.1299759474123</v>
      </c>
      <c r="AB146" s="22">
        <f ca="1">ts2bElec*SUMPRODUCT(tpSurvInMx,INDEX(tEIdxElec,24)*INDEX(elecInMx,1,7)*convFactor)</f>
        <v>6636.1299759474123</v>
      </c>
      <c r="AC146" s="22">
        <f ca="1">ts2bElec*SUMPRODUCT(tpSurvInMx,INDEX(tEIdxElec,25)*INDEX(elecInMx,1,7)*convFactor)</f>
        <v>6636.1299759474123</v>
      </c>
      <c r="AD146" s="22">
        <f ca="1">ts2bElec*SUMPRODUCT(tpSurvInMx,INDEX(tEIdxElec,26)*INDEX(elecInMx,1,7)*convFactor)</f>
        <v>6636.1299759474123</v>
      </c>
      <c r="AE146" s="22">
        <f ca="1">ts2bElec*SUMPRODUCT(tpSurvInMx,INDEX(tEIdxElec,27)*INDEX(elecInMx,1,7)*convFactor)</f>
        <v>6636.1299759474123</v>
      </c>
      <c r="AF146" s="22">
        <f ca="1">ts2bElec*SUMPRODUCT(tpSurvInMx,INDEX(tEIdxElec,28)*INDEX(elecInMx,1,7)*convFactor)</f>
        <v>6636.1299759474123</v>
      </c>
      <c r="AG146" s="22">
        <f ca="1">ts2bElec*SUMPRODUCT(tpSurvInMx,INDEX(tEIdxElec,29)*INDEX(elecInMx,1,7)*convFactor)</f>
        <v>6636.1299759474123</v>
      </c>
      <c r="AH146" s="22">
        <f ca="1">ts2bElec*SUMPRODUCT(tpSurvInMx,INDEX(tEIdxElec,30)*INDEX(elecInMx,1,7)*convFactor)</f>
        <v>6636.1299759474123</v>
      </c>
      <c r="AI146" s="22">
        <f ca="1">ts2bElec*SUMPRODUCT(tpSurvInMx,INDEX(tEIdxElec,31)*INDEX(elecInMx,1,7)*convFactor)</f>
        <v>6636.1299759474123</v>
      </c>
      <c r="AJ146" s="22">
        <f ca="1">ts2bElec*SUMPRODUCT(tpSurvInMx,INDEX(tEIdxElec,32)*INDEX(elecInMx,1,7)*convFactor)</f>
        <v>6636.1299759474123</v>
      </c>
      <c r="AK146" s="25">
        <f ca="1">ts2bElec*SUMPRODUCT(tpSurvInMx,INDEX(tEIdxElec,33)*INDEX(elecInMx,1,7)*convFactor)</f>
        <v>6636.1299759474123</v>
      </c>
      <c r="AL146" s="3"/>
    </row>
    <row r="147" spans="2:38">
      <c r="B147" s="3"/>
      <c r="C147" s="33" t="str">
        <f>"Std (CSL " &amp; stdCSL &amp; "): " &amp; INDEX(_doName,5,stdCSL+1)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INDEX(_doName,5,1)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(1+INDEX(vadInMx,stdCSL+1,1))*INDEX(mspInMx,stdCSL+1,1)*tPIdxAll + INDEX(instInMx,stdCSL+1,1) + SUMPRODUCT(dFactor,tpSurvInMx,INDEX(mrInMx,stdCSL+1,1)*allOnes)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SUMPRODUCT(dFactor,tpSurvInMx,INDEX(tEIdxElec,1)*INDEX(elecInMx,stdCSL+1,1)*allOnes,OFFSET(tPrcElec,0,0,1,_maxLT))</f>
        <v>0</v>
      </c>
      <c r="F151" s="28">
        <f ca="1">SUMPRODUCT(dFactor,tpSurvInMx,INDEX(tEIdxElec,2)*INDEX(elecInMx,stdCSL+1,1)*allOnes,OFFSET(tPrcElec,0,1,1,_maxLT))</f>
        <v>0</v>
      </c>
      <c r="G151" s="28">
        <f ca="1">SUMPRODUCT(dFactor,tpSurvInMx,INDEX(tEIdxElec,3)*INDEX(elecInMx,stdCSL+1,1)*allOnes,OFFSET(tPrcElec,0,2,1,_maxLT))</f>
        <v>0</v>
      </c>
      <c r="H151" s="28">
        <f ca="1">SUMPRODUCT(dFactor,tpSurvInMx,INDEX(tEIdxElec,4)*INDEX(elecInMx,stdCSL+1,1)*allOnes,OFFSET(tPrcElec,0,3,1,_maxLT))</f>
        <v>0</v>
      </c>
      <c r="I151" s="28">
        <f ca="1">SUMPRODUCT(dFactor,tpSurvInMx,INDEX(tEIdxElec,5)*INDEX(elecInMx,stdCSL+1,1)*allOnes,OFFSET(tPrcElec,0,4,1,_maxLT))</f>
        <v>0</v>
      </c>
      <c r="J151" s="28">
        <f ca="1">SUMPRODUCT(dFactor,tpSurvInMx,INDEX(tEIdxElec,6)*INDEX(elecInMx,stdCSL+1,1)*allOnes,OFFSET(tPrcElec,0,5,1,_maxLT))</f>
        <v>0</v>
      </c>
      <c r="K151" s="28">
        <f ca="1">SUMPRODUCT(dFactor,tpSurvInMx,INDEX(tEIdxElec,7)*INDEX(elecInMx,stdCSL+1,1)*allOnes,OFFSET(tPrcElec,0,6,1,_maxLT))</f>
        <v>0</v>
      </c>
      <c r="L151" s="28">
        <f ca="1">SUMPRODUCT(dFactor,tpSurvInMx,INDEX(tEIdxElec,8)*INDEX(elecInMx,stdCSL+1,1)*allOnes,OFFSET(tPrcElec,0,7,1,_maxLT))</f>
        <v>0</v>
      </c>
      <c r="M151" s="28">
        <f ca="1">SUMPRODUCT(dFactor,tpSurvInMx,INDEX(tEIdxElec,9)*INDEX(elecInMx,stdCSL+1,1)*allOnes,OFFSET(tPrcElec,0,8,1,_maxLT))</f>
        <v>0</v>
      </c>
      <c r="N151" s="28">
        <f ca="1">SUMPRODUCT(dFactor,tpSurvInMx,INDEX(tEIdxElec,10)*INDEX(elecInMx,stdCSL+1,1)*allOnes,OFFSET(tPrcElec,0,9,1,_maxLT))</f>
        <v>0</v>
      </c>
      <c r="O151" s="28">
        <f ca="1">SUMPRODUCT(dFactor,tpSurvInMx,INDEX(tEIdxElec,11)*INDEX(elecInMx,stdCSL+1,1)*allOnes,OFFSET(tPrcElec,0,10,1,_maxLT))</f>
        <v>0</v>
      </c>
      <c r="P151" s="28">
        <f ca="1">SUMPRODUCT(dFactor,tpSurvInMx,INDEX(tEIdxElec,12)*INDEX(elecInMx,stdCSL+1,1)*allOnes,OFFSET(tPrcElec,0,11,1,_maxLT))</f>
        <v>0</v>
      </c>
      <c r="Q151" s="28">
        <f ca="1">SUMPRODUCT(dFactor,tpSurvInMx,INDEX(tEIdxElec,13)*INDEX(elecInMx,stdCSL+1,1)*allOnes,OFFSET(tPrcElec,0,12,1,_maxLT))</f>
        <v>0</v>
      </c>
      <c r="R151" s="28">
        <f ca="1">SUMPRODUCT(dFactor,tpSurvInMx,INDEX(tEIdxElec,14)*INDEX(elecInMx,stdCSL+1,1)*allOnes,OFFSET(tPrcElec,0,13,1,_maxLT))</f>
        <v>0</v>
      </c>
      <c r="S151" s="28">
        <f ca="1">SUMPRODUCT(dFactor,tpSurvInMx,INDEX(tEIdxElec,15)*INDEX(elecInMx,stdCSL+1,1)*allOnes,OFFSET(tPrcElec,0,14,1,_maxLT))</f>
        <v>0</v>
      </c>
      <c r="T151" s="28">
        <f ca="1">SUMPRODUCT(dFactor,tpSurvInMx,INDEX(tEIdxElec,16)*INDEX(elecInMx,stdCSL+1,1)*allOnes,OFFSET(tPrcElec,0,15,1,_maxLT))</f>
        <v>0</v>
      </c>
      <c r="U151" s="28">
        <f ca="1">SUMPRODUCT(dFactor,tpSurvInMx,INDEX(tEIdxElec,17)*INDEX(elecInMx,stdCSL+1,1)*allOnes,OFFSET(tPrcElec,0,16,1,_maxLT))</f>
        <v>0</v>
      </c>
      <c r="V151" s="28">
        <f ca="1">SUMPRODUCT(dFactor,tpSurvInMx,INDEX(tEIdxElec,18)*INDEX(elecInMx,stdCSL+1,1)*allOnes,OFFSET(tPrcElec,0,17,1,_maxLT))</f>
        <v>0</v>
      </c>
      <c r="W151" s="28">
        <f ca="1">SUMPRODUCT(dFactor,tpSurvInMx,INDEX(tEIdxElec,19)*INDEX(elecInMx,stdCSL+1,1)*allOnes,OFFSET(tPrcElec,0,18,1,_maxLT))</f>
        <v>0</v>
      </c>
      <c r="X151" s="28">
        <f ca="1">SUMPRODUCT(dFactor,tpSurvInMx,INDEX(tEIdxElec,20)*INDEX(elecInMx,stdCSL+1,1)*allOnes,OFFSET(tPrcElec,0,19,1,_maxLT))</f>
        <v>0</v>
      </c>
      <c r="Y151" s="28">
        <f ca="1">SUMPRODUCT(dFactor,tpSurvInMx,INDEX(tEIdxElec,21)*INDEX(elecInMx,stdCSL+1,1)*allOnes,OFFSET(tPrcElec,0,20,1,_maxLT))</f>
        <v>0</v>
      </c>
      <c r="Z151" s="28">
        <f ca="1">SUMPRODUCT(dFactor,tpSurvInMx,INDEX(tEIdxElec,22)*INDEX(elecInMx,stdCSL+1,1)*allOnes,OFFSET(tPrcElec,0,21,1,_maxLT))</f>
        <v>0</v>
      </c>
      <c r="AA151" s="28">
        <f ca="1">SUMPRODUCT(dFactor,tpSurvInMx,INDEX(tEIdxElec,23)*INDEX(elecInMx,stdCSL+1,1)*allOnes,OFFSET(tPrcElec,0,22,1,_maxLT))</f>
        <v>0</v>
      </c>
      <c r="AB151" s="28">
        <f ca="1">SUMPRODUCT(dFactor,tpSurvInMx,INDEX(tEIdxElec,24)*INDEX(elecInMx,stdCSL+1,1)*allOnes,OFFSET(tPrcElec,0,23,1,_maxLT))</f>
        <v>0</v>
      </c>
      <c r="AC151" s="28">
        <f ca="1">SUMPRODUCT(dFactor,tpSurvInMx,INDEX(tEIdxElec,25)*INDEX(elecInMx,stdCSL+1,1)*allOnes,OFFSET(tPrcElec,0,24,1,_maxLT))</f>
        <v>0</v>
      </c>
      <c r="AD151" s="28">
        <f ca="1">SUMPRODUCT(dFactor,tpSurvInMx,INDEX(tEIdxElec,26)*INDEX(elecInMx,stdCSL+1,1)*allOnes,OFFSET(tPrcElec,0,25,1,_maxLT))</f>
        <v>0</v>
      </c>
      <c r="AE151" s="28">
        <f ca="1">SUMPRODUCT(dFactor,tpSurvInMx,INDEX(tEIdxElec,27)*INDEX(elecInMx,stdCSL+1,1)*allOnes,OFFSET(tPrcElec,0,26,1,_maxLT))</f>
        <v>0</v>
      </c>
      <c r="AF151" s="28">
        <f ca="1">SUMPRODUCT(dFactor,tpSurvInMx,INDEX(tEIdxElec,28)*INDEX(elecInMx,stdCSL+1,1)*allOnes,OFFSET(tPrcElec,0,27,1,_maxLT))</f>
        <v>0</v>
      </c>
      <c r="AG151" s="28">
        <f ca="1">SUMPRODUCT(dFactor,tpSurvInMx,INDEX(tEIdxElec,29)*INDEX(elecInMx,stdCSL+1,1)*allOnes,OFFSET(tPrcElec,0,28,1,_maxLT))</f>
        <v>0</v>
      </c>
      <c r="AH151" s="28">
        <f ca="1">SUMPRODUCT(dFactor,tpSurvInMx,INDEX(tEIdxElec,30)*INDEX(elecInMx,stdCSL+1,1)*allOnes,OFFSET(tPrcElec,0,29,1,_maxLT))</f>
        <v>0</v>
      </c>
      <c r="AI151" s="28">
        <f ca="1">SUMPRODUCT(dFactor,tpSurvInMx,INDEX(tEIdxElec,31)*INDEX(elecInMx,stdCSL+1,1)*allOnes,OFFSET(tPrcElec,0,30,1,_maxLT))</f>
        <v>0</v>
      </c>
      <c r="AJ151" s="28">
        <f ca="1">SUMPRODUCT(dFactor,tpSurvInMx,INDEX(tEIdxElec,32)*INDEX(elecInMx,stdCSL+1,1)*allOnes,OFFSET(tPrcElec,0,31,1,_maxLT))</f>
        <v>0</v>
      </c>
      <c r="AK151" s="29">
        <f ca="1">SUMPRODUCT(dFactor,tpSurvInMx,INDEX(tEIdxElec,33)*INDEX(elecInMx,stdCSL+1,1)*allOnes,OFFSET(tPrcElec,0,32,1,_maxLT))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ts2bElec*SUMPRODUCT(tpSurvInMx,INDEX(tEIdxElec,1)*INDEX(elecInMx,stdCSL+1,1)*convFactor)</f>
        <v>0</v>
      </c>
      <c r="F153" s="22">
        <f ca="1">ts2bElec*SUMPRODUCT(tpSurvInMx,INDEX(tEIdxElec,2)*INDEX(elecInMx,stdCSL+1,1)*convFactor)</f>
        <v>0</v>
      </c>
      <c r="G153" s="22">
        <f ca="1">ts2bElec*SUMPRODUCT(tpSurvInMx,INDEX(tEIdxElec,3)*INDEX(elecInMx,stdCSL+1,1)*convFactor)</f>
        <v>0</v>
      </c>
      <c r="H153" s="22">
        <f ca="1">ts2bElec*SUMPRODUCT(tpSurvInMx,INDEX(tEIdxElec,4)*INDEX(elecInMx,stdCSL+1,1)*convFactor)</f>
        <v>0</v>
      </c>
      <c r="I153" s="22">
        <f ca="1">ts2bElec*SUMPRODUCT(tpSurvInMx,INDEX(tEIdxElec,5)*INDEX(elecInMx,stdCSL+1,1)*convFactor)</f>
        <v>0</v>
      </c>
      <c r="J153" s="22">
        <f ca="1">ts2bElec*SUMPRODUCT(tpSurvInMx,INDEX(tEIdxElec,6)*INDEX(elecInMx,stdCSL+1,1)*convFactor)</f>
        <v>0</v>
      </c>
      <c r="K153" s="22">
        <f ca="1">ts2bElec*SUMPRODUCT(tpSurvInMx,INDEX(tEIdxElec,7)*INDEX(elecInMx,stdCSL+1,1)*convFactor)</f>
        <v>0</v>
      </c>
      <c r="L153" s="22">
        <f ca="1">ts2bElec*SUMPRODUCT(tpSurvInMx,INDEX(tEIdxElec,8)*INDEX(elecInMx,stdCSL+1,1)*convFactor)</f>
        <v>0</v>
      </c>
      <c r="M153" s="22">
        <f ca="1">ts2bElec*SUMPRODUCT(tpSurvInMx,INDEX(tEIdxElec,9)*INDEX(elecInMx,stdCSL+1,1)*convFactor)</f>
        <v>0</v>
      </c>
      <c r="N153" s="22">
        <f ca="1">ts2bElec*SUMPRODUCT(tpSurvInMx,INDEX(tEIdxElec,10)*INDEX(elecInMx,stdCSL+1,1)*convFactor)</f>
        <v>0</v>
      </c>
      <c r="O153" s="22">
        <f ca="1">ts2bElec*SUMPRODUCT(tpSurvInMx,INDEX(tEIdxElec,11)*INDEX(elecInMx,stdCSL+1,1)*convFactor)</f>
        <v>0</v>
      </c>
      <c r="P153" s="22">
        <f ca="1">ts2bElec*SUMPRODUCT(tpSurvInMx,INDEX(tEIdxElec,12)*INDEX(elecInMx,stdCSL+1,1)*convFactor)</f>
        <v>0</v>
      </c>
      <c r="Q153" s="22">
        <f ca="1">ts2bElec*SUMPRODUCT(tpSurvInMx,INDEX(tEIdxElec,13)*INDEX(elecInMx,stdCSL+1,1)*convFactor)</f>
        <v>0</v>
      </c>
      <c r="R153" s="22">
        <f ca="1">ts2bElec*SUMPRODUCT(tpSurvInMx,INDEX(tEIdxElec,14)*INDEX(elecInMx,stdCSL+1,1)*convFactor)</f>
        <v>0</v>
      </c>
      <c r="S153" s="22">
        <f ca="1">ts2bElec*SUMPRODUCT(tpSurvInMx,INDEX(tEIdxElec,15)*INDEX(elecInMx,stdCSL+1,1)*convFactor)</f>
        <v>0</v>
      </c>
      <c r="T153" s="22">
        <f ca="1">ts2bElec*SUMPRODUCT(tpSurvInMx,INDEX(tEIdxElec,16)*INDEX(elecInMx,stdCSL+1,1)*convFactor)</f>
        <v>0</v>
      </c>
      <c r="U153" s="22">
        <f ca="1">ts2bElec*SUMPRODUCT(tpSurvInMx,INDEX(tEIdxElec,17)*INDEX(elecInMx,stdCSL+1,1)*convFactor)</f>
        <v>0</v>
      </c>
      <c r="V153" s="22">
        <f ca="1">ts2bElec*SUMPRODUCT(tpSurvInMx,INDEX(tEIdxElec,18)*INDEX(elecInMx,stdCSL+1,1)*convFactor)</f>
        <v>0</v>
      </c>
      <c r="W153" s="22">
        <f ca="1">ts2bElec*SUMPRODUCT(tpSurvInMx,INDEX(tEIdxElec,19)*INDEX(elecInMx,stdCSL+1,1)*convFactor)</f>
        <v>0</v>
      </c>
      <c r="X153" s="22">
        <f ca="1">ts2bElec*SUMPRODUCT(tpSurvInMx,INDEX(tEIdxElec,20)*INDEX(elecInMx,stdCSL+1,1)*convFactor)</f>
        <v>0</v>
      </c>
      <c r="Y153" s="22">
        <f ca="1">ts2bElec*SUMPRODUCT(tpSurvInMx,INDEX(tEIdxElec,21)*INDEX(elecInMx,stdCSL+1,1)*convFactor)</f>
        <v>0</v>
      </c>
      <c r="Z153" s="22">
        <f ca="1">ts2bElec*SUMPRODUCT(tpSurvInMx,INDEX(tEIdxElec,22)*INDEX(elecInMx,stdCSL+1,1)*convFactor)</f>
        <v>0</v>
      </c>
      <c r="AA153" s="22">
        <f ca="1">ts2bElec*SUMPRODUCT(tpSurvInMx,INDEX(tEIdxElec,23)*INDEX(elecInMx,stdCSL+1,1)*convFactor)</f>
        <v>0</v>
      </c>
      <c r="AB153" s="22">
        <f ca="1">ts2bElec*SUMPRODUCT(tpSurvInMx,INDEX(tEIdxElec,24)*INDEX(elecInMx,stdCSL+1,1)*convFactor)</f>
        <v>0</v>
      </c>
      <c r="AC153" s="22">
        <f ca="1">ts2bElec*SUMPRODUCT(tpSurvInMx,INDEX(tEIdxElec,25)*INDEX(elecInMx,stdCSL+1,1)*convFactor)</f>
        <v>0</v>
      </c>
      <c r="AD153" s="22">
        <f ca="1">ts2bElec*SUMPRODUCT(tpSurvInMx,INDEX(tEIdxElec,26)*INDEX(elecInMx,stdCSL+1,1)*convFactor)</f>
        <v>0</v>
      </c>
      <c r="AE153" s="22">
        <f ca="1">ts2bElec*SUMPRODUCT(tpSurvInMx,INDEX(tEIdxElec,27)*INDEX(elecInMx,stdCSL+1,1)*convFactor)</f>
        <v>0</v>
      </c>
      <c r="AF153" s="22">
        <f ca="1">ts2bElec*SUMPRODUCT(tpSurvInMx,INDEX(tEIdxElec,28)*INDEX(elecInMx,stdCSL+1,1)*convFactor)</f>
        <v>0</v>
      </c>
      <c r="AG153" s="22">
        <f ca="1">ts2bElec*SUMPRODUCT(tpSurvInMx,INDEX(tEIdxElec,29)*INDEX(elecInMx,stdCSL+1,1)*convFactor)</f>
        <v>0</v>
      </c>
      <c r="AH153" s="22">
        <f ca="1">ts2bElec*SUMPRODUCT(tpSurvInMx,INDEX(tEIdxElec,30)*INDEX(elecInMx,stdCSL+1,1)*convFactor)</f>
        <v>0</v>
      </c>
      <c r="AI153" s="22">
        <f ca="1">ts2bElec*SUMPRODUCT(tpSurvInMx,INDEX(tEIdxElec,31)*INDEX(elecInMx,stdCSL+1,1)*convFactor)</f>
        <v>0</v>
      </c>
      <c r="AJ153" s="22">
        <f ca="1">ts2bElec*SUMPRODUCT(tpSurvInMx,INDEX(tEIdxElec,32)*INDEX(elecInMx,stdCSL+1,1)*convFactor)</f>
        <v>0</v>
      </c>
      <c r="AK153" s="25">
        <f ca="1">ts2bElec*SUMPRODUCT(tpSurvInMx,INDEX(tEIdxElec,33)*INDEX(elecInMx,stdCSL+1,1)*convFactor)</f>
        <v>0</v>
      </c>
      <c r="AL153" s="3"/>
    </row>
    <row r="154" spans="2:38">
      <c r="B154" s="3"/>
      <c r="C154" s="30" t="str">
        <f>"EL 1: " &amp; INDEX(_doName,5,2)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(1+INDEX(vadInMx,stdCSL+1,2))*INDEX(mspInMx,stdCSL+1,2)*tPIdxAll + INDEX(instInMx,stdCSL+1,2) + SUMPRODUCT(dFactor,tpSurvInMx,INDEX(mrInMx,stdCSL+1,2)*allOnes)</f>
        <v>1523.8763919999999</v>
      </c>
      <c r="F155" s="28">
        <f ca="1"/>
        <v>1523.8763919999999</v>
      </c>
      <c r="G155" s="28">
        <f ca="1"/>
        <v>1523.8763919999999</v>
      </c>
      <c r="H155" s="28">
        <f ca="1"/>
        <v>1523.8763919999999</v>
      </c>
      <c r="I155" s="28">
        <f ca="1"/>
        <v>1523.8763919999999</v>
      </c>
      <c r="J155" s="28">
        <f ca="1"/>
        <v>1523.8763919999999</v>
      </c>
      <c r="K155" s="28">
        <f ca="1"/>
        <v>1523.8763919999999</v>
      </c>
      <c r="L155" s="28">
        <f ca="1"/>
        <v>1523.8763919999999</v>
      </c>
      <c r="M155" s="28">
        <f ca="1"/>
        <v>1523.8763919999999</v>
      </c>
      <c r="N155" s="28">
        <f ca="1"/>
        <v>1523.8763919999999</v>
      </c>
      <c r="O155" s="28">
        <f ca="1"/>
        <v>1523.8763919999999</v>
      </c>
      <c r="P155" s="28">
        <f ca="1"/>
        <v>1523.8763919999999</v>
      </c>
      <c r="Q155" s="28">
        <f ca="1"/>
        <v>1523.8763919999999</v>
      </c>
      <c r="R155" s="28">
        <f ca="1"/>
        <v>1523.8763919999999</v>
      </c>
      <c r="S155" s="28">
        <f ca="1"/>
        <v>1523.8763919999999</v>
      </c>
      <c r="T155" s="28">
        <f ca="1"/>
        <v>1523.8763919999999</v>
      </c>
      <c r="U155" s="28">
        <f ca="1"/>
        <v>1523.8763919999999</v>
      </c>
      <c r="V155" s="28">
        <f ca="1"/>
        <v>1523.8763919999999</v>
      </c>
      <c r="W155" s="28">
        <f ca="1"/>
        <v>1523.8763919999999</v>
      </c>
      <c r="X155" s="28">
        <f ca="1"/>
        <v>1523.8763919999999</v>
      </c>
      <c r="Y155" s="28">
        <f ca="1"/>
        <v>1523.8763919999999</v>
      </c>
      <c r="Z155" s="28">
        <f ca="1"/>
        <v>1523.8763919999999</v>
      </c>
      <c r="AA155" s="28">
        <f ca="1"/>
        <v>1523.8763919999999</v>
      </c>
      <c r="AB155" s="28">
        <f ca="1"/>
        <v>1523.8763919999999</v>
      </c>
      <c r="AC155" s="28">
        <f ca="1"/>
        <v>1523.8763919999999</v>
      </c>
      <c r="AD155" s="28">
        <f ca="1"/>
        <v>1523.8763919999999</v>
      </c>
      <c r="AE155" s="28">
        <f ca="1"/>
        <v>1523.8763919999999</v>
      </c>
      <c r="AF155" s="28">
        <f ca="1"/>
        <v>1523.8763919999999</v>
      </c>
      <c r="AG155" s="28">
        <f ca="1"/>
        <v>1523.8763919999999</v>
      </c>
      <c r="AH155" s="28">
        <f ca="1"/>
        <v>1523.8763919999999</v>
      </c>
      <c r="AI155" s="28">
        <f ca="1"/>
        <v>1523.8763919999999</v>
      </c>
      <c r="AJ155" s="28">
        <f ca="1"/>
        <v>1523.8763919999999</v>
      </c>
      <c r="AK155" s="29">
        <f ca="1"/>
        <v>1523.8763919999999</v>
      </c>
      <c r="AL155" s="3"/>
    </row>
    <row r="156" spans="2:38">
      <c r="B156" s="3"/>
      <c r="C156" s="23" t="s">
        <v>47</v>
      </c>
      <c r="D156" s="16" t="str">
        <f>_yearDol &amp; "$"</f>
        <v>2013$</v>
      </c>
      <c r="E156" s="141">
        <f t="array" aca="1" ref="E156:AK156" ca="1">(tlccEFupolElec1)</f>
        <v>14821.571956921825</v>
      </c>
      <c r="F156" s="28">
        <f ca="1"/>
        <v>14886.873776375334</v>
      </c>
      <c r="G156" s="28">
        <f ca="1"/>
        <v>14944.633175988101</v>
      </c>
      <c r="H156" s="28">
        <f ca="1"/>
        <v>15007.624523022252</v>
      </c>
      <c r="I156" s="28">
        <f ca="1"/>
        <v>15062.926247260319</v>
      </c>
      <c r="J156" s="28">
        <f ca="1"/>
        <v>15123.31305955519</v>
      </c>
      <c r="K156" s="28">
        <f ca="1"/>
        <v>15175.833888268487</v>
      </c>
      <c r="L156" s="28">
        <f ca="1"/>
        <v>15233.242649773701</v>
      </c>
      <c r="M156" s="28">
        <f ca="1"/>
        <v>15295.900619789956</v>
      </c>
      <c r="N156" s="28">
        <f ca="1"/>
        <v>15350.840489423992</v>
      </c>
      <c r="O156" s="28">
        <f ca="1"/>
        <v>15410.882464185994</v>
      </c>
      <c r="P156" s="28">
        <f ca="1"/>
        <v>15476.338592749664</v>
      </c>
      <c r="Q156" s="28">
        <f ca="1"/>
        <v>15534.321454050989</v>
      </c>
      <c r="R156" s="28">
        <f ca="1"/>
        <v>15597.612517033242</v>
      </c>
      <c r="S156" s="28">
        <f ca="1"/>
        <v>15653.256229859584</v>
      </c>
      <c r="T156" s="28">
        <f ca="1"/>
        <v>15714.087577024296</v>
      </c>
      <c r="U156" s="28">
        <f ca="1"/>
        <v>15780.433048319064</v>
      </c>
      <c r="V156" s="28">
        <f ca="1"/>
        <v>15839.404257837698</v>
      </c>
      <c r="W156" s="28">
        <f ca="1"/>
        <v>15903.752364817061</v>
      </c>
      <c r="X156" s="28">
        <f ca="1"/>
        <v>15960.592156514314</v>
      </c>
      <c r="Y156" s="28">
        <f ca="1"/>
        <v>16022.699384005322</v>
      </c>
      <c r="Z156" s="28">
        <f ca="1"/>
        <v>16090.463547987387</v>
      </c>
      <c r="AA156" s="28">
        <f ca="1"/>
        <v>16150.965779940303</v>
      </c>
      <c r="AB156" s="28">
        <f ca="1"/>
        <v>16216.982823420212</v>
      </c>
      <c r="AC156" s="28">
        <f ca="1"/>
        <v>16275.641071372031</v>
      </c>
      <c r="AD156" s="28">
        <f ca="1"/>
        <v>16339.68039443113</v>
      </c>
      <c r="AE156" s="28">
        <f ca="1"/>
        <v>16409.534188440761</v>
      </c>
      <c r="AF156" s="28">
        <f ca="1"/>
        <v>16472.284464181303</v>
      </c>
      <c r="AG156" s="28">
        <f ca="1"/>
        <v>16540.778123862492</v>
      </c>
      <c r="AH156" s="28">
        <f ca="1"/>
        <v>16602.094148247215</v>
      </c>
      <c r="AI156" s="28">
        <f ca="1"/>
        <v>16669.035169280756</v>
      </c>
      <c r="AJ156" s="28">
        <f ca="1"/>
        <v>16728.703701797363</v>
      </c>
      <c r="AK156" s="29">
        <f ca="1"/>
        <v>16793.912516387558</v>
      </c>
      <c r="AL156" s="3"/>
    </row>
    <row r="157" spans="2:38">
      <c r="B157" s="3"/>
      <c r="C157" s="27" t="str">
        <f>INDEX(_fuel,1)</f>
        <v>Electricity</v>
      </c>
      <c r="D157" s="16" t="str">
        <f>_yearDol &amp; "$"</f>
        <v>2013$</v>
      </c>
      <c r="E157" s="141">
        <f ca="1">SUMPRODUCT(dFactor,tpSurvInMx,INDEX(tEIdxElec,1)*INDEX(elecInMx,stdCSL+1,2)*allOnes,OFFSET(tPrcElec,0,0,1,_maxLT))</f>
        <v>14821.571956921825</v>
      </c>
      <c r="F157" s="28">
        <f ca="1">SUMPRODUCT(dFactor,tpSurvInMx,INDEX(tEIdxElec,2)*INDEX(elecInMx,stdCSL+1,2)*allOnes,OFFSET(tPrcElec,0,1,1,_maxLT))</f>
        <v>14886.873776375334</v>
      </c>
      <c r="G157" s="28">
        <f ca="1">SUMPRODUCT(dFactor,tpSurvInMx,INDEX(tEIdxElec,3)*INDEX(elecInMx,stdCSL+1,2)*allOnes,OFFSET(tPrcElec,0,2,1,_maxLT))</f>
        <v>14944.633175988101</v>
      </c>
      <c r="H157" s="28">
        <f ca="1">SUMPRODUCT(dFactor,tpSurvInMx,INDEX(tEIdxElec,4)*INDEX(elecInMx,stdCSL+1,2)*allOnes,OFFSET(tPrcElec,0,3,1,_maxLT))</f>
        <v>15007.624523022252</v>
      </c>
      <c r="I157" s="28">
        <f ca="1">SUMPRODUCT(dFactor,tpSurvInMx,INDEX(tEIdxElec,5)*INDEX(elecInMx,stdCSL+1,2)*allOnes,OFFSET(tPrcElec,0,4,1,_maxLT))</f>
        <v>15062.926247260319</v>
      </c>
      <c r="J157" s="28">
        <f ca="1">SUMPRODUCT(dFactor,tpSurvInMx,INDEX(tEIdxElec,6)*INDEX(elecInMx,stdCSL+1,2)*allOnes,OFFSET(tPrcElec,0,5,1,_maxLT))</f>
        <v>15123.31305955519</v>
      </c>
      <c r="K157" s="28">
        <f ca="1">SUMPRODUCT(dFactor,tpSurvInMx,INDEX(tEIdxElec,7)*INDEX(elecInMx,stdCSL+1,2)*allOnes,OFFSET(tPrcElec,0,6,1,_maxLT))</f>
        <v>15175.833888268487</v>
      </c>
      <c r="L157" s="28">
        <f ca="1">SUMPRODUCT(dFactor,tpSurvInMx,INDEX(tEIdxElec,8)*INDEX(elecInMx,stdCSL+1,2)*allOnes,OFFSET(tPrcElec,0,7,1,_maxLT))</f>
        <v>15233.242649773701</v>
      </c>
      <c r="M157" s="28">
        <f ca="1">SUMPRODUCT(dFactor,tpSurvInMx,INDEX(tEIdxElec,9)*INDEX(elecInMx,stdCSL+1,2)*allOnes,OFFSET(tPrcElec,0,8,1,_maxLT))</f>
        <v>15295.900619789956</v>
      </c>
      <c r="N157" s="28">
        <f ca="1">SUMPRODUCT(dFactor,tpSurvInMx,INDEX(tEIdxElec,10)*INDEX(elecInMx,stdCSL+1,2)*allOnes,OFFSET(tPrcElec,0,9,1,_maxLT))</f>
        <v>15350.840489423992</v>
      </c>
      <c r="O157" s="28">
        <f ca="1">SUMPRODUCT(dFactor,tpSurvInMx,INDEX(tEIdxElec,11)*INDEX(elecInMx,stdCSL+1,2)*allOnes,OFFSET(tPrcElec,0,10,1,_maxLT))</f>
        <v>15410.882464185994</v>
      </c>
      <c r="P157" s="28">
        <f ca="1">SUMPRODUCT(dFactor,tpSurvInMx,INDEX(tEIdxElec,12)*INDEX(elecInMx,stdCSL+1,2)*allOnes,OFFSET(tPrcElec,0,11,1,_maxLT))</f>
        <v>15476.338592749664</v>
      </c>
      <c r="Q157" s="28">
        <f ca="1">SUMPRODUCT(dFactor,tpSurvInMx,INDEX(tEIdxElec,13)*INDEX(elecInMx,stdCSL+1,2)*allOnes,OFFSET(tPrcElec,0,12,1,_maxLT))</f>
        <v>15534.321454050989</v>
      </c>
      <c r="R157" s="28">
        <f ca="1">SUMPRODUCT(dFactor,tpSurvInMx,INDEX(tEIdxElec,14)*INDEX(elecInMx,stdCSL+1,2)*allOnes,OFFSET(tPrcElec,0,13,1,_maxLT))</f>
        <v>15597.612517033242</v>
      </c>
      <c r="S157" s="28">
        <f ca="1">SUMPRODUCT(dFactor,tpSurvInMx,INDEX(tEIdxElec,15)*INDEX(elecInMx,stdCSL+1,2)*allOnes,OFFSET(tPrcElec,0,14,1,_maxLT))</f>
        <v>15653.256229859584</v>
      </c>
      <c r="T157" s="28">
        <f ca="1">SUMPRODUCT(dFactor,tpSurvInMx,INDEX(tEIdxElec,16)*INDEX(elecInMx,stdCSL+1,2)*allOnes,OFFSET(tPrcElec,0,15,1,_maxLT))</f>
        <v>15714.087577024296</v>
      </c>
      <c r="U157" s="28">
        <f ca="1">SUMPRODUCT(dFactor,tpSurvInMx,INDEX(tEIdxElec,17)*INDEX(elecInMx,stdCSL+1,2)*allOnes,OFFSET(tPrcElec,0,16,1,_maxLT))</f>
        <v>15780.433048319064</v>
      </c>
      <c r="V157" s="28">
        <f ca="1">SUMPRODUCT(dFactor,tpSurvInMx,INDEX(tEIdxElec,18)*INDEX(elecInMx,stdCSL+1,2)*allOnes,OFFSET(tPrcElec,0,17,1,_maxLT))</f>
        <v>15839.404257837698</v>
      </c>
      <c r="W157" s="28">
        <f ca="1">SUMPRODUCT(dFactor,tpSurvInMx,INDEX(tEIdxElec,19)*INDEX(elecInMx,stdCSL+1,2)*allOnes,OFFSET(tPrcElec,0,18,1,_maxLT))</f>
        <v>15903.752364817061</v>
      </c>
      <c r="X157" s="28">
        <f ca="1">SUMPRODUCT(dFactor,tpSurvInMx,INDEX(tEIdxElec,20)*INDEX(elecInMx,stdCSL+1,2)*allOnes,OFFSET(tPrcElec,0,19,1,_maxLT))</f>
        <v>15960.592156514314</v>
      </c>
      <c r="Y157" s="28">
        <f ca="1">SUMPRODUCT(dFactor,tpSurvInMx,INDEX(tEIdxElec,21)*INDEX(elecInMx,stdCSL+1,2)*allOnes,OFFSET(tPrcElec,0,20,1,_maxLT))</f>
        <v>16022.699384005322</v>
      </c>
      <c r="Z157" s="28">
        <f ca="1">SUMPRODUCT(dFactor,tpSurvInMx,INDEX(tEIdxElec,22)*INDEX(elecInMx,stdCSL+1,2)*allOnes,OFFSET(tPrcElec,0,21,1,_maxLT))</f>
        <v>16090.463547987387</v>
      </c>
      <c r="AA157" s="28">
        <f ca="1">SUMPRODUCT(dFactor,tpSurvInMx,INDEX(tEIdxElec,23)*INDEX(elecInMx,stdCSL+1,2)*allOnes,OFFSET(tPrcElec,0,22,1,_maxLT))</f>
        <v>16150.965779940303</v>
      </c>
      <c r="AB157" s="28">
        <f ca="1">SUMPRODUCT(dFactor,tpSurvInMx,INDEX(tEIdxElec,24)*INDEX(elecInMx,stdCSL+1,2)*allOnes,OFFSET(tPrcElec,0,23,1,_maxLT))</f>
        <v>16216.982823420212</v>
      </c>
      <c r="AC157" s="28">
        <f ca="1">SUMPRODUCT(dFactor,tpSurvInMx,INDEX(tEIdxElec,25)*INDEX(elecInMx,stdCSL+1,2)*allOnes,OFFSET(tPrcElec,0,24,1,_maxLT))</f>
        <v>16275.641071372031</v>
      </c>
      <c r="AD157" s="28">
        <f ca="1">SUMPRODUCT(dFactor,tpSurvInMx,INDEX(tEIdxElec,26)*INDEX(elecInMx,stdCSL+1,2)*allOnes,OFFSET(tPrcElec,0,25,1,_maxLT))</f>
        <v>16339.68039443113</v>
      </c>
      <c r="AE157" s="28">
        <f ca="1">SUMPRODUCT(dFactor,tpSurvInMx,INDEX(tEIdxElec,27)*INDEX(elecInMx,stdCSL+1,2)*allOnes,OFFSET(tPrcElec,0,26,1,_maxLT))</f>
        <v>16409.534188440761</v>
      </c>
      <c r="AF157" s="28">
        <f ca="1">SUMPRODUCT(dFactor,tpSurvInMx,INDEX(tEIdxElec,28)*INDEX(elecInMx,stdCSL+1,2)*allOnes,OFFSET(tPrcElec,0,27,1,_maxLT))</f>
        <v>16472.284464181303</v>
      </c>
      <c r="AG157" s="28">
        <f ca="1">SUMPRODUCT(dFactor,tpSurvInMx,INDEX(tEIdxElec,29)*INDEX(elecInMx,stdCSL+1,2)*allOnes,OFFSET(tPrcElec,0,28,1,_maxLT))</f>
        <v>16540.778123862492</v>
      </c>
      <c r="AH157" s="28">
        <f ca="1">SUMPRODUCT(dFactor,tpSurvInMx,INDEX(tEIdxElec,30)*INDEX(elecInMx,stdCSL+1,2)*allOnes,OFFSET(tPrcElec,0,29,1,_maxLT))</f>
        <v>16602.094148247215</v>
      </c>
      <c r="AI157" s="28">
        <f ca="1">SUMPRODUCT(dFactor,tpSurvInMx,INDEX(tEIdxElec,31)*INDEX(elecInMx,stdCSL+1,2)*allOnes,OFFSET(tPrcElec,0,30,1,_maxLT))</f>
        <v>16669.035169280756</v>
      </c>
      <c r="AJ157" s="28">
        <f ca="1">SUMPRODUCT(dFactor,tpSurvInMx,INDEX(tEIdxElec,32)*INDEX(elecInMx,stdCSL+1,2)*allOnes,OFFSET(tPrcElec,0,31,1,_maxLT))</f>
        <v>16728.703701797363</v>
      </c>
      <c r="AK157" s="29">
        <f ca="1">SUMPRODUCT(dFactor,tpSurvInMx,INDEX(tEIdxElec,33)*INDEX(elecInMx,stdCSL+1,2)*allOnes,OFFSET(tPrcElec,0,32,1,_maxLT))</f>
        <v>16793.912516387558</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ts2bElec*SUMPRODUCT(tpSurvInMx,INDEX(tEIdxElec,1)*INDEX(elecInMx,stdCSL+1,2)*convFactor)</f>
        <v>3152.2924603799979</v>
      </c>
      <c r="F159" s="22">
        <f ca="1">ts2bElec*SUMPRODUCT(tpSurvInMx,INDEX(tEIdxElec,2)*INDEX(elecInMx,stdCSL+1,2)*convFactor)</f>
        <v>3128.7142030441105</v>
      </c>
      <c r="G159" s="22">
        <f ca="1">ts2bElec*SUMPRODUCT(tpSurvInMx,INDEX(tEIdxElec,3)*INDEX(elecInMx,stdCSL+1,2)*convFactor)</f>
        <v>3104.9494508487378</v>
      </c>
      <c r="H159" s="22">
        <f ca="1">ts2bElec*SUMPRODUCT(tpSurvInMx,INDEX(tEIdxElec,4)*INDEX(elecInMx,stdCSL+1,2)*convFactor)</f>
        <v>3084.0735791585507</v>
      </c>
      <c r="I159" s="22">
        <f ca="1">ts2bElec*SUMPRODUCT(tpSurvInMx,INDEX(tEIdxElec,5)*INDEX(elecInMx,stdCSL+1,2)*convFactor)</f>
        <v>3064.273176230497</v>
      </c>
      <c r="J159" s="22">
        <f ca="1">ts2bElec*SUMPRODUCT(tpSurvInMx,INDEX(tEIdxElec,6)*INDEX(elecInMx,stdCSL+1,2)*convFactor)</f>
        <v>3047.0253465700671</v>
      </c>
      <c r="K159" s="22">
        <f ca="1">ts2bElec*SUMPRODUCT(tpSurvInMx,INDEX(tEIdxElec,7)*INDEX(elecInMx,stdCSL+1,2)*convFactor)</f>
        <v>3033.6438247268097</v>
      </c>
      <c r="L159" s="22">
        <f ca="1">ts2bElec*SUMPRODUCT(tpSurvInMx,INDEX(tEIdxElec,8)*INDEX(elecInMx,stdCSL+1,2)*convFactor)</f>
        <v>3022.5488190381679</v>
      </c>
      <c r="M159" s="22">
        <f ca="1">ts2bElec*SUMPRODUCT(tpSurvInMx,INDEX(tEIdxElec,9)*INDEX(elecInMx,stdCSL+1,2)*convFactor)</f>
        <v>3011.4039213786118</v>
      </c>
      <c r="N159" s="22">
        <f ca="1">ts2bElec*SUMPRODUCT(tpSurvInMx,INDEX(tEIdxElec,10)*INDEX(elecInMx,stdCSL+1,2)*convFactor)</f>
        <v>3002.4897498467685</v>
      </c>
      <c r="O159" s="22">
        <f ca="1">ts2bElec*SUMPRODUCT(tpSurvInMx,INDEX(tEIdxElec,11)*INDEX(elecInMx,stdCSL+1,2)*convFactor)</f>
        <v>2996.3495817607754</v>
      </c>
      <c r="P159" s="22">
        <f ca="1">ts2bElec*SUMPRODUCT(tpSurvInMx,INDEX(tEIdxElec,12)*INDEX(elecInMx,stdCSL+1,2)*convFactor)</f>
        <v>2991.8565559028757</v>
      </c>
      <c r="Q159" s="22">
        <f ca="1">ts2bElec*SUMPRODUCT(tpSurvInMx,INDEX(tEIdxElec,13)*INDEX(elecInMx,stdCSL+1,2)*convFactor)</f>
        <v>2988.0765470939723</v>
      </c>
      <c r="R159" s="22">
        <f ca="1">ts2bElec*SUMPRODUCT(tpSurvInMx,INDEX(tEIdxElec,14)*INDEX(elecInMx,stdCSL+1,2)*convFactor)</f>
        <v>2985.2890119496069</v>
      </c>
      <c r="S159" s="22">
        <f ca="1">ts2bElec*SUMPRODUCT(tpSurvInMx,INDEX(tEIdxElec,15)*INDEX(elecInMx,stdCSL+1,2)*convFactor)</f>
        <v>2983.1649482394041</v>
      </c>
      <c r="T159" s="22">
        <f ca="1">ts2bElec*SUMPRODUCT(tpSurvInMx,INDEX(tEIdxElec,16)*INDEX(elecInMx,stdCSL+1,2)*convFactor)</f>
        <v>2982.8987534536127</v>
      </c>
      <c r="U159" s="22">
        <f ca="1">ts2bElec*SUMPRODUCT(tpSurvInMx,INDEX(tEIdxElec,17)*INDEX(elecInMx,stdCSL+1,2)*convFactor)</f>
        <v>2983.4440749369569</v>
      </c>
      <c r="V159" s="22">
        <f ca="1">ts2bElec*SUMPRODUCT(tpSurvInMx,INDEX(tEIdxElec,18)*INDEX(elecInMx,stdCSL+1,2)*convFactor)</f>
        <v>2984.2451806629529</v>
      </c>
      <c r="W159" s="22">
        <f ca="1">ts2bElec*SUMPRODUCT(tpSurvInMx,INDEX(tEIdxElec,19)*INDEX(elecInMx,stdCSL+1,2)*convFactor)</f>
        <v>2985.3908728429951</v>
      </c>
      <c r="X159" s="22">
        <f ca="1">ts2bElec*SUMPRODUCT(tpSurvInMx,INDEX(tEIdxElec,20)*INDEX(elecInMx,stdCSL+1,2)*convFactor)</f>
        <v>2986.4735396460828</v>
      </c>
      <c r="Y159" s="22">
        <f ca="1">ts2bElec*SUMPRODUCT(tpSurvInMx,INDEX(tEIdxElec,21)*INDEX(elecInMx,stdCSL+1,2)*convFactor)</f>
        <v>2987.3705869787595</v>
      </c>
      <c r="Z159" s="22">
        <f ca="1">ts2bElec*SUMPRODUCT(tpSurvInMx,INDEX(tEIdxElec,22)*INDEX(elecInMx,stdCSL+1,2)*convFactor)</f>
        <v>2987.9717355228768</v>
      </c>
      <c r="AA159" s="22">
        <f ca="1">ts2bElec*SUMPRODUCT(tpSurvInMx,INDEX(tEIdxElec,23)*INDEX(elecInMx,stdCSL+1,2)*convFactor)</f>
        <v>2988.3679324298696</v>
      </c>
      <c r="AB159" s="22">
        <f ca="1">ts2bElec*SUMPRODUCT(tpSurvInMx,INDEX(tEIdxElec,24)*INDEX(elecInMx,stdCSL+1,2)*convFactor)</f>
        <v>2988.3679324298696</v>
      </c>
      <c r="AC159" s="22">
        <f ca="1">ts2bElec*SUMPRODUCT(tpSurvInMx,INDEX(tEIdxElec,25)*INDEX(elecInMx,stdCSL+1,2)*convFactor)</f>
        <v>2988.3679324298696</v>
      </c>
      <c r="AD159" s="22">
        <f ca="1">ts2bElec*SUMPRODUCT(tpSurvInMx,INDEX(tEIdxElec,26)*INDEX(elecInMx,stdCSL+1,2)*convFactor)</f>
        <v>2988.3679324298696</v>
      </c>
      <c r="AE159" s="22">
        <f ca="1">ts2bElec*SUMPRODUCT(tpSurvInMx,INDEX(tEIdxElec,27)*INDEX(elecInMx,stdCSL+1,2)*convFactor)</f>
        <v>2988.3679324298696</v>
      </c>
      <c r="AF159" s="22">
        <f ca="1">ts2bElec*SUMPRODUCT(tpSurvInMx,INDEX(tEIdxElec,28)*INDEX(elecInMx,stdCSL+1,2)*convFactor)</f>
        <v>2988.3679324298696</v>
      </c>
      <c r="AG159" s="22">
        <f ca="1">ts2bElec*SUMPRODUCT(tpSurvInMx,INDEX(tEIdxElec,29)*INDEX(elecInMx,stdCSL+1,2)*convFactor)</f>
        <v>2988.3679324298696</v>
      </c>
      <c r="AH159" s="22">
        <f ca="1">ts2bElec*SUMPRODUCT(tpSurvInMx,INDEX(tEIdxElec,30)*INDEX(elecInMx,stdCSL+1,2)*convFactor)</f>
        <v>2988.3679324298696</v>
      </c>
      <c r="AI159" s="22">
        <f ca="1">ts2bElec*SUMPRODUCT(tpSurvInMx,INDEX(tEIdxElec,31)*INDEX(elecInMx,stdCSL+1,2)*convFactor)</f>
        <v>2988.3679324298696</v>
      </c>
      <c r="AJ159" s="22">
        <f ca="1">ts2bElec*SUMPRODUCT(tpSurvInMx,INDEX(tEIdxElec,32)*INDEX(elecInMx,stdCSL+1,2)*convFactor)</f>
        <v>2988.3679324298696</v>
      </c>
      <c r="AK159" s="25">
        <f ca="1">ts2bElec*SUMPRODUCT(tpSurvInMx,INDEX(tEIdxElec,33)*INDEX(elecInMx,stdCSL+1,2)*convFactor)</f>
        <v>2988.3679324298696</v>
      </c>
      <c r="AL159" s="3"/>
    </row>
    <row r="160" spans="2:38">
      <c r="B160" s="3"/>
      <c r="C160" s="30" t="str">
        <f>"EL 2: " &amp; INDEX(_doName,5,3)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(1+INDEX(vadInMx,stdCSL+1,3))*INDEX(mspInMx,stdCSL+1,3)*tPIdxAll + INDEX(instInMx,stdCSL+1,3) + SUMPRODUCT(dFactor,tpSurvInMx,INDEX(mrInMx,stdCSL+1,3)*allOnes)</f>
        <v>1559.4876179999999</v>
      </c>
      <c r="F161" s="28">
        <f ca="1"/>
        <v>1559.4876179999999</v>
      </c>
      <c r="G161" s="28">
        <f ca="1"/>
        <v>1559.4876179999999</v>
      </c>
      <c r="H161" s="28">
        <f ca="1"/>
        <v>1559.4876179999999</v>
      </c>
      <c r="I161" s="28">
        <f ca="1"/>
        <v>1559.4876179999999</v>
      </c>
      <c r="J161" s="28">
        <f ca="1"/>
        <v>1559.4876179999999</v>
      </c>
      <c r="K161" s="28">
        <f ca="1"/>
        <v>1559.4876179999999</v>
      </c>
      <c r="L161" s="28">
        <f ca="1"/>
        <v>1559.4876179999999</v>
      </c>
      <c r="M161" s="28">
        <f ca="1"/>
        <v>1559.4876179999999</v>
      </c>
      <c r="N161" s="28">
        <f ca="1"/>
        <v>1559.4876179999999</v>
      </c>
      <c r="O161" s="28">
        <f ca="1"/>
        <v>1559.4876179999999</v>
      </c>
      <c r="P161" s="28">
        <f ca="1"/>
        <v>1559.4876179999999</v>
      </c>
      <c r="Q161" s="28">
        <f ca="1"/>
        <v>1559.4876179999999</v>
      </c>
      <c r="R161" s="28">
        <f ca="1"/>
        <v>1559.4876179999999</v>
      </c>
      <c r="S161" s="28">
        <f ca="1"/>
        <v>1559.4876179999999</v>
      </c>
      <c r="T161" s="28">
        <f ca="1"/>
        <v>1559.4876179999999</v>
      </c>
      <c r="U161" s="28">
        <f ca="1"/>
        <v>1559.4876179999999</v>
      </c>
      <c r="V161" s="28">
        <f ca="1"/>
        <v>1559.4876179999999</v>
      </c>
      <c r="W161" s="28">
        <f ca="1"/>
        <v>1559.4876179999999</v>
      </c>
      <c r="X161" s="28">
        <f ca="1"/>
        <v>1559.4876179999999</v>
      </c>
      <c r="Y161" s="28">
        <f ca="1"/>
        <v>1559.4876179999999</v>
      </c>
      <c r="Z161" s="28">
        <f ca="1"/>
        <v>1559.4876179999999</v>
      </c>
      <c r="AA161" s="28">
        <f ca="1"/>
        <v>1559.4876179999999</v>
      </c>
      <c r="AB161" s="28">
        <f ca="1"/>
        <v>1559.4876179999999</v>
      </c>
      <c r="AC161" s="28">
        <f ca="1"/>
        <v>1559.4876179999999</v>
      </c>
      <c r="AD161" s="28">
        <f ca="1"/>
        <v>1559.4876179999999</v>
      </c>
      <c r="AE161" s="28">
        <f ca="1"/>
        <v>1559.4876179999999</v>
      </c>
      <c r="AF161" s="28">
        <f ca="1"/>
        <v>1559.4876179999999</v>
      </c>
      <c r="AG161" s="28">
        <f ca="1"/>
        <v>1559.4876179999999</v>
      </c>
      <c r="AH161" s="28">
        <f ca="1"/>
        <v>1559.4876179999999</v>
      </c>
      <c r="AI161" s="28">
        <f ca="1"/>
        <v>1559.4876179999999</v>
      </c>
      <c r="AJ161" s="28">
        <f ca="1"/>
        <v>1559.4876179999999</v>
      </c>
      <c r="AK161" s="29">
        <f ca="1"/>
        <v>1559.4876179999999</v>
      </c>
      <c r="AL161" s="3"/>
    </row>
    <row r="162" spans="2:38">
      <c r="B162" s="3"/>
      <c r="C162" s="23" t="s">
        <v>47</v>
      </c>
      <c r="D162" s="16" t="str">
        <f>_yearDol &amp; "$"</f>
        <v>2013$</v>
      </c>
      <c r="E162" s="141">
        <f t="array" aca="1" ref="E162:AK162" ca="1">(tlccEFupolElec2)</f>
        <v>12687.677868129103</v>
      </c>
      <c r="F162" s="28">
        <f ca="1"/>
        <v>12743.578041999799</v>
      </c>
      <c r="G162" s="28">
        <f ca="1"/>
        <v>12793.021694688823</v>
      </c>
      <c r="H162" s="28">
        <f ca="1"/>
        <v>12846.94403990104</v>
      </c>
      <c r="I162" s="28">
        <f ca="1"/>
        <v>12894.283854107251</v>
      </c>
      <c r="J162" s="28">
        <f ca="1"/>
        <v>12945.976645135581</v>
      </c>
      <c r="K162" s="28">
        <f ca="1"/>
        <v>12990.935935419924</v>
      </c>
      <c r="L162" s="28">
        <f ca="1"/>
        <v>13040.079432135615</v>
      </c>
      <c r="M162" s="28">
        <f ca="1"/>
        <v>13093.716397347378</v>
      </c>
      <c r="N162" s="28">
        <f ca="1"/>
        <v>13140.746453947295</v>
      </c>
      <c r="O162" s="28">
        <f ca="1"/>
        <v>13192.144054455573</v>
      </c>
      <c r="P162" s="28">
        <f ca="1"/>
        <v>13248.176321216779</v>
      </c>
      <c r="Q162" s="28">
        <f ca="1"/>
        <v>13297.811263326956</v>
      </c>
      <c r="R162" s="28">
        <f ca="1"/>
        <v>13351.990173727567</v>
      </c>
      <c r="S162" s="28">
        <f ca="1"/>
        <v>13399.622739678005</v>
      </c>
      <c r="T162" s="28">
        <f ca="1"/>
        <v>13451.696064919986</v>
      </c>
      <c r="U162" s="28">
        <f ca="1"/>
        <v>13508.489633796738</v>
      </c>
      <c r="V162" s="28">
        <f ca="1"/>
        <v>13558.970629472573</v>
      </c>
      <c r="W162" s="28">
        <f ca="1"/>
        <v>13614.054398937176</v>
      </c>
      <c r="X162" s="28">
        <f ca="1"/>
        <v>13662.710841670943</v>
      </c>
      <c r="Y162" s="28">
        <f ca="1"/>
        <v>13715.876355961782</v>
      </c>
      <c r="Z162" s="28">
        <f ca="1"/>
        <v>13773.88436524085</v>
      </c>
      <c r="AA162" s="28">
        <f ca="1"/>
        <v>13825.675958706952</v>
      </c>
      <c r="AB162" s="28">
        <f ca="1"/>
        <v>13882.188384238721</v>
      </c>
      <c r="AC162" s="28">
        <f ca="1"/>
        <v>13932.401476108096</v>
      </c>
      <c r="AD162" s="28">
        <f ca="1"/>
        <v>13987.220917947894</v>
      </c>
      <c r="AE162" s="28">
        <f ca="1"/>
        <v>14047.017708655167</v>
      </c>
      <c r="AF162" s="28">
        <f ca="1"/>
        <v>14100.733690134482</v>
      </c>
      <c r="AG162" s="28">
        <f ca="1"/>
        <v>14159.366168023458</v>
      </c>
      <c r="AH162" s="28">
        <f ca="1"/>
        <v>14211.854390447425</v>
      </c>
      <c r="AI162" s="28">
        <f ca="1"/>
        <v>14269.157766466235</v>
      </c>
      <c r="AJ162" s="28">
        <f ca="1"/>
        <v>14320.235690024889</v>
      </c>
      <c r="AK162" s="29">
        <f ca="1"/>
        <v>14376.05624914558</v>
      </c>
      <c r="AL162" s="3"/>
    </row>
    <row r="163" spans="2:38">
      <c r="B163" s="3"/>
      <c r="C163" s="27" t="str">
        <f>INDEX(_fuel,1)</f>
        <v>Electricity</v>
      </c>
      <c r="D163" s="16" t="str">
        <f>_yearDol &amp; "$"</f>
        <v>2013$</v>
      </c>
      <c r="E163" s="141">
        <f ca="1">SUMPRODUCT(dFactor,tpSurvInMx,INDEX(tEIdxElec,1)*INDEX(elecInMx,stdCSL+1,3)*allOnes,OFFSET(tPrcElec,0,0,1,_maxLT))</f>
        <v>12687.677868129103</v>
      </c>
      <c r="F163" s="28">
        <f ca="1">SUMPRODUCT(dFactor,tpSurvInMx,INDEX(tEIdxElec,2)*INDEX(elecInMx,stdCSL+1,3)*allOnes,OFFSET(tPrcElec,0,1,1,_maxLT))</f>
        <v>12743.578041999799</v>
      </c>
      <c r="G163" s="28">
        <f ca="1">SUMPRODUCT(dFactor,tpSurvInMx,INDEX(tEIdxElec,3)*INDEX(elecInMx,stdCSL+1,3)*allOnes,OFFSET(tPrcElec,0,2,1,_maxLT))</f>
        <v>12793.021694688823</v>
      </c>
      <c r="H163" s="28">
        <f ca="1">SUMPRODUCT(dFactor,tpSurvInMx,INDEX(tEIdxElec,4)*INDEX(elecInMx,stdCSL+1,3)*allOnes,OFFSET(tPrcElec,0,3,1,_maxLT))</f>
        <v>12846.94403990104</v>
      </c>
      <c r="I163" s="28">
        <f ca="1">SUMPRODUCT(dFactor,tpSurvInMx,INDEX(tEIdxElec,5)*INDEX(elecInMx,stdCSL+1,3)*allOnes,OFFSET(tPrcElec,0,4,1,_maxLT))</f>
        <v>12894.283854107251</v>
      </c>
      <c r="J163" s="28">
        <f ca="1">SUMPRODUCT(dFactor,tpSurvInMx,INDEX(tEIdxElec,6)*INDEX(elecInMx,stdCSL+1,3)*allOnes,OFFSET(tPrcElec,0,5,1,_maxLT))</f>
        <v>12945.976645135581</v>
      </c>
      <c r="K163" s="28">
        <f ca="1">SUMPRODUCT(dFactor,tpSurvInMx,INDEX(tEIdxElec,7)*INDEX(elecInMx,stdCSL+1,3)*allOnes,OFFSET(tPrcElec,0,6,1,_maxLT))</f>
        <v>12990.935935419924</v>
      </c>
      <c r="L163" s="28">
        <f ca="1">SUMPRODUCT(dFactor,tpSurvInMx,INDEX(tEIdxElec,8)*INDEX(elecInMx,stdCSL+1,3)*allOnes,OFFSET(tPrcElec,0,7,1,_maxLT))</f>
        <v>13040.079432135615</v>
      </c>
      <c r="M163" s="28">
        <f ca="1">SUMPRODUCT(dFactor,tpSurvInMx,INDEX(tEIdxElec,9)*INDEX(elecInMx,stdCSL+1,3)*allOnes,OFFSET(tPrcElec,0,8,1,_maxLT))</f>
        <v>13093.716397347378</v>
      </c>
      <c r="N163" s="28">
        <f ca="1">SUMPRODUCT(dFactor,tpSurvInMx,INDEX(tEIdxElec,10)*INDEX(elecInMx,stdCSL+1,3)*allOnes,OFFSET(tPrcElec,0,9,1,_maxLT))</f>
        <v>13140.746453947295</v>
      </c>
      <c r="O163" s="28">
        <f ca="1">SUMPRODUCT(dFactor,tpSurvInMx,INDEX(tEIdxElec,11)*INDEX(elecInMx,stdCSL+1,3)*allOnes,OFFSET(tPrcElec,0,10,1,_maxLT))</f>
        <v>13192.144054455573</v>
      </c>
      <c r="P163" s="28">
        <f ca="1">SUMPRODUCT(dFactor,tpSurvInMx,INDEX(tEIdxElec,12)*INDEX(elecInMx,stdCSL+1,3)*allOnes,OFFSET(tPrcElec,0,11,1,_maxLT))</f>
        <v>13248.176321216779</v>
      </c>
      <c r="Q163" s="28">
        <f ca="1">SUMPRODUCT(dFactor,tpSurvInMx,INDEX(tEIdxElec,13)*INDEX(elecInMx,stdCSL+1,3)*allOnes,OFFSET(tPrcElec,0,12,1,_maxLT))</f>
        <v>13297.811263326956</v>
      </c>
      <c r="R163" s="28">
        <f ca="1">SUMPRODUCT(dFactor,tpSurvInMx,INDEX(tEIdxElec,14)*INDEX(elecInMx,stdCSL+1,3)*allOnes,OFFSET(tPrcElec,0,13,1,_maxLT))</f>
        <v>13351.990173727567</v>
      </c>
      <c r="S163" s="28">
        <f ca="1">SUMPRODUCT(dFactor,tpSurvInMx,INDEX(tEIdxElec,15)*INDEX(elecInMx,stdCSL+1,3)*allOnes,OFFSET(tPrcElec,0,14,1,_maxLT))</f>
        <v>13399.622739678005</v>
      </c>
      <c r="T163" s="28">
        <f ca="1">SUMPRODUCT(dFactor,tpSurvInMx,INDEX(tEIdxElec,16)*INDEX(elecInMx,stdCSL+1,3)*allOnes,OFFSET(tPrcElec,0,15,1,_maxLT))</f>
        <v>13451.696064919986</v>
      </c>
      <c r="U163" s="28">
        <f ca="1">SUMPRODUCT(dFactor,tpSurvInMx,INDEX(tEIdxElec,17)*INDEX(elecInMx,stdCSL+1,3)*allOnes,OFFSET(tPrcElec,0,16,1,_maxLT))</f>
        <v>13508.489633796738</v>
      </c>
      <c r="V163" s="28">
        <f ca="1">SUMPRODUCT(dFactor,tpSurvInMx,INDEX(tEIdxElec,18)*INDEX(elecInMx,stdCSL+1,3)*allOnes,OFFSET(tPrcElec,0,17,1,_maxLT))</f>
        <v>13558.970629472573</v>
      </c>
      <c r="W163" s="28">
        <f ca="1">SUMPRODUCT(dFactor,tpSurvInMx,INDEX(tEIdxElec,19)*INDEX(elecInMx,stdCSL+1,3)*allOnes,OFFSET(tPrcElec,0,18,1,_maxLT))</f>
        <v>13614.054398937176</v>
      </c>
      <c r="X163" s="28">
        <f ca="1">SUMPRODUCT(dFactor,tpSurvInMx,INDEX(tEIdxElec,20)*INDEX(elecInMx,stdCSL+1,3)*allOnes,OFFSET(tPrcElec,0,19,1,_maxLT))</f>
        <v>13662.710841670943</v>
      </c>
      <c r="Y163" s="28">
        <f ca="1">SUMPRODUCT(dFactor,tpSurvInMx,INDEX(tEIdxElec,21)*INDEX(elecInMx,stdCSL+1,3)*allOnes,OFFSET(tPrcElec,0,20,1,_maxLT))</f>
        <v>13715.876355961782</v>
      </c>
      <c r="Z163" s="28">
        <f ca="1">SUMPRODUCT(dFactor,tpSurvInMx,INDEX(tEIdxElec,22)*INDEX(elecInMx,stdCSL+1,3)*allOnes,OFFSET(tPrcElec,0,21,1,_maxLT))</f>
        <v>13773.88436524085</v>
      </c>
      <c r="AA163" s="28">
        <f ca="1">SUMPRODUCT(dFactor,tpSurvInMx,INDEX(tEIdxElec,23)*INDEX(elecInMx,stdCSL+1,3)*allOnes,OFFSET(tPrcElec,0,22,1,_maxLT))</f>
        <v>13825.675958706952</v>
      </c>
      <c r="AB163" s="28">
        <f ca="1">SUMPRODUCT(dFactor,tpSurvInMx,INDEX(tEIdxElec,24)*INDEX(elecInMx,stdCSL+1,3)*allOnes,OFFSET(tPrcElec,0,23,1,_maxLT))</f>
        <v>13882.188384238721</v>
      </c>
      <c r="AC163" s="28">
        <f ca="1">SUMPRODUCT(dFactor,tpSurvInMx,INDEX(tEIdxElec,25)*INDEX(elecInMx,stdCSL+1,3)*allOnes,OFFSET(tPrcElec,0,24,1,_maxLT))</f>
        <v>13932.401476108096</v>
      </c>
      <c r="AD163" s="28">
        <f ca="1">SUMPRODUCT(dFactor,tpSurvInMx,INDEX(tEIdxElec,26)*INDEX(elecInMx,stdCSL+1,3)*allOnes,OFFSET(tPrcElec,0,25,1,_maxLT))</f>
        <v>13987.220917947894</v>
      </c>
      <c r="AE163" s="28">
        <f ca="1">SUMPRODUCT(dFactor,tpSurvInMx,INDEX(tEIdxElec,27)*INDEX(elecInMx,stdCSL+1,3)*allOnes,OFFSET(tPrcElec,0,26,1,_maxLT))</f>
        <v>14047.017708655167</v>
      </c>
      <c r="AF163" s="28">
        <f ca="1">SUMPRODUCT(dFactor,tpSurvInMx,INDEX(tEIdxElec,28)*INDEX(elecInMx,stdCSL+1,3)*allOnes,OFFSET(tPrcElec,0,27,1,_maxLT))</f>
        <v>14100.733690134482</v>
      </c>
      <c r="AG163" s="28">
        <f ca="1">SUMPRODUCT(dFactor,tpSurvInMx,INDEX(tEIdxElec,29)*INDEX(elecInMx,stdCSL+1,3)*allOnes,OFFSET(tPrcElec,0,28,1,_maxLT))</f>
        <v>14159.366168023458</v>
      </c>
      <c r="AH163" s="28">
        <f ca="1">SUMPRODUCT(dFactor,tpSurvInMx,INDEX(tEIdxElec,30)*INDEX(elecInMx,stdCSL+1,3)*allOnes,OFFSET(tPrcElec,0,29,1,_maxLT))</f>
        <v>14211.854390447425</v>
      </c>
      <c r="AI163" s="28">
        <f ca="1">SUMPRODUCT(dFactor,tpSurvInMx,INDEX(tEIdxElec,31)*INDEX(elecInMx,stdCSL+1,3)*allOnes,OFFSET(tPrcElec,0,30,1,_maxLT))</f>
        <v>14269.157766466235</v>
      </c>
      <c r="AJ163" s="28">
        <f ca="1">SUMPRODUCT(dFactor,tpSurvInMx,INDEX(tEIdxElec,32)*INDEX(elecInMx,stdCSL+1,3)*allOnes,OFFSET(tPrcElec,0,31,1,_maxLT))</f>
        <v>14320.235690024889</v>
      </c>
      <c r="AK163" s="29">
        <f ca="1">SUMPRODUCT(dFactor,tpSurvInMx,INDEX(tEIdxElec,33)*INDEX(elecInMx,stdCSL+1,3)*allOnes,OFFSET(tPrcElec,0,32,1,_maxLT))</f>
        <v>14376.05624914558</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ts2bElec*SUMPRODUCT(tpSurvInMx,INDEX(tEIdxElec,1)*INDEX(elecInMx,stdCSL+1,3)*convFactor)</f>
        <v>2698.4500294353302</v>
      </c>
      <c r="F165" s="22">
        <f ca="1">ts2bElec*SUMPRODUCT(tpSurvInMx,INDEX(tEIdxElec,2)*INDEX(elecInMx,stdCSL+1,3)*convFactor)</f>
        <v>2678.2663853091153</v>
      </c>
      <c r="G165" s="22">
        <f ca="1">ts2bElec*SUMPRODUCT(tpSurvInMx,INDEX(tEIdxElec,3)*INDEX(elecInMx,stdCSL+1,3)*convFactor)</f>
        <v>2657.9230963956888</v>
      </c>
      <c r="H165" s="22">
        <f ca="1">ts2bElec*SUMPRODUCT(tpSurvInMx,INDEX(tEIdxElec,4)*INDEX(elecInMx,stdCSL+1,3)*convFactor)</f>
        <v>2640.0527695510523</v>
      </c>
      <c r="I165" s="22">
        <f ca="1">ts2bElec*SUMPRODUCT(tpSurvInMx,INDEX(tEIdxElec,5)*INDEX(elecInMx,stdCSL+1,3)*convFactor)</f>
        <v>2623.1030738817631</v>
      </c>
      <c r="J165" s="22">
        <f ca="1">ts2bElec*SUMPRODUCT(tpSurvInMx,INDEX(tEIdxElec,6)*INDEX(elecInMx,stdCSL+1,3)*convFactor)</f>
        <v>2608.3384519312749</v>
      </c>
      <c r="K165" s="22">
        <f ca="1">ts2bElec*SUMPRODUCT(tpSurvInMx,INDEX(tEIdxElec,7)*INDEX(elecInMx,stdCSL+1,3)*convFactor)</f>
        <v>2596.883497016503</v>
      </c>
      <c r="L165" s="22">
        <f ca="1">ts2bElec*SUMPRODUCT(tpSurvInMx,INDEX(tEIdxElec,8)*INDEX(elecInMx,stdCSL+1,3)*convFactor)</f>
        <v>2587.3858635312235</v>
      </c>
      <c r="M165" s="22">
        <f ca="1">ts2bElec*SUMPRODUCT(tpSurvInMx,INDEX(tEIdxElec,9)*INDEX(elecInMx,stdCSL+1,3)*convFactor)</f>
        <v>2577.8455211310588</v>
      </c>
      <c r="N165" s="22">
        <f ca="1">ts2bElec*SUMPRODUCT(tpSurvInMx,INDEX(tEIdxElec,10)*INDEX(elecInMx,stdCSL+1,3)*convFactor)</f>
        <v>2570.2147423455162</v>
      </c>
      <c r="O165" s="22">
        <f ca="1">ts2bElec*SUMPRODUCT(tpSurvInMx,INDEX(tEIdxElec,11)*INDEX(elecInMx,stdCSL+1,3)*convFactor)</f>
        <v>2564.9585876705819</v>
      </c>
      <c r="P165" s="22">
        <f ca="1">ts2bElec*SUMPRODUCT(tpSurvInMx,INDEX(tEIdxElec,12)*INDEX(elecInMx,stdCSL+1,3)*convFactor)</f>
        <v>2561.1124325593769</v>
      </c>
      <c r="Q165" s="22">
        <f ca="1">ts2bElec*SUMPRODUCT(tpSurvInMx,INDEX(tEIdxElec,13)*INDEX(elecInMx,stdCSL+1,3)*convFactor)</f>
        <v>2557.8766398752105</v>
      </c>
      <c r="R165" s="22">
        <f ca="1">ts2bElec*SUMPRODUCT(tpSurvInMx,INDEX(tEIdxElec,14)*INDEX(elecInMx,stdCSL+1,3)*convFactor)</f>
        <v>2555.4904322542784</v>
      </c>
      <c r="S165" s="22">
        <f ca="1">ts2bElec*SUMPRODUCT(tpSurvInMx,INDEX(tEIdxElec,15)*INDEX(elecInMx,stdCSL+1,3)*convFactor)</f>
        <v>2553.6721746359394</v>
      </c>
      <c r="T165" s="22">
        <f ca="1">ts2bElec*SUMPRODUCT(tpSurvInMx,INDEX(tEIdxElec,16)*INDEX(elecInMx,stdCSL+1,3)*convFactor)</f>
        <v>2553.4443044948966</v>
      </c>
      <c r="U165" s="22">
        <f ca="1">ts2bElec*SUMPRODUCT(tpSurvInMx,INDEX(tEIdxElec,17)*INDEX(elecInMx,stdCSL+1,3)*convFactor)</f>
        <v>2553.9111148531601</v>
      </c>
      <c r="V165" s="22">
        <f ca="1">ts2bElec*SUMPRODUCT(tpSurvInMx,INDEX(tEIdxElec,18)*INDEX(elecInMx,stdCSL+1,3)*convFactor)</f>
        <v>2554.5968836379625</v>
      </c>
      <c r="W165" s="22">
        <f ca="1">ts2bElec*SUMPRODUCT(tpSurvInMx,INDEX(tEIdxElec,19)*INDEX(elecInMx,stdCSL+1,3)*convFactor)</f>
        <v>2555.577628012355</v>
      </c>
      <c r="X165" s="22">
        <f ca="1">ts2bElec*SUMPRODUCT(tpSurvInMx,INDEX(tEIdxElec,20)*INDEX(elecInMx,stdCSL+1,3)*convFactor)</f>
        <v>2556.5044209109774</v>
      </c>
      <c r="Y165" s="22">
        <f ca="1">ts2bElec*SUMPRODUCT(tpSurvInMx,INDEX(tEIdxElec,21)*INDEX(elecInMx,stdCSL+1,3)*convFactor)</f>
        <v>2557.2723183797843</v>
      </c>
      <c r="Z165" s="22">
        <f ca="1">ts2bElec*SUMPRODUCT(tpSurvInMx,INDEX(tEIdxElec,22)*INDEX(elecInMx,stdCSL+1,3)*convFactor)</f>
        <v>2557.7869182549412</v>
      </c>
      <c r="AA165" s="22">
        <f ca="1">ts2bElec*SUMPRODUCT(tpSurvInMx,INDEX(tEIdxElec,23)*INDEX(elecInMx,stdCSL+1,3)*convFactor)</f>
        <v>2558.1260738278374</v>
      </c>
      <c r="AB165" s="22">
        <f ca="1">ts2bElec*SUMPRODUCT(tpSurvInMx,INDEX(tEIdxElec,24)*INDEX(elecInMx,stdCSL+1,3)*convFactor)</f>
        <v>2558.1260738278374</v>
      </c>
      <c r="AC165" s="22">
        <f ca="1">ts2bElec*SUMPRODUCT(tpSurvInMx,INDEX(tEIdxElec,25)*INDEX(elecInMx,stdCSL+1,3)*convFactor)</f>
        <v>2558.1260738278374</v>
      </c>
      <c r="AD165" s="22">
        <f ca="1">ts2bElec*SUMPRODUCT(tpSurvInMx,INDEX(tEIdxElec,26)*INDEX(elecInMx,stdCSL+1,3)*convFactor)</f>
        <v>2558.1260738278374</v>
      </c>
      <c r="AE165" s="22">
        <f ca="1">ts2bElec*SUMPRODUCT(tpSurvInMx,INDEX(tEIdxElec,27)*INDEX(elecInMx,stdCSL+1,3)*convFactor)</f>
        <v>2558.1260738278374</v>
      </c>
      <c r="AF165" s="22">
        <f ca="1">ts2bElec*SUMPRODUCT(tpSurvInMx,INDEX(tEIdxElec,28)*INDEX(elecInMx,stdCSL+1,3)*convFactor)</f>
        <v>2558.1260738278374</v>
      </c>
      <c r="AG165" s="22">
        <f ca="1">ts2bElec*SUMPRODUCT(tpSurvInMx,INDEX(tEIdxElec,29)*INDEX(elecInMx,stdCSL+1,3)*convFactor)</f>
        <v>2558.1260738278374</v>
      </c>
      <c r="AH165" s="22">
        <f ca="1">ts2bElec*SUMPRODUCT(tpSurvInMx,INDEX(tEIdxElec,30)*INDEX(elecInMx,stdCSL+1,3)*convFactor)</f>
        <v>2558.1260738278374</v>
      </c>
      <c r="AI165" s="22">
        <f ca="1">ts2bElec*SUMPRODUCT(tpSurvInMx,INDEX(tEIdxElec,31)*INDEX(elecInMx,stdCSL+1,3)*convFactor)</f>
        <v>2558.1260738278374</v>
      </c>
      <c r="AJ165" s="22">
        <f ca="1">ts2bElec*SUMPRODUCT(tpSurvInMx,INDEX(tEIdxElec,32)*INDEX(elecInMx,stdCSL+1,3)*convFactor)</f>
        <v>2558.1260738278374</v>
      </c>
      <c r="AK165" s="25">
        <f ca="1">ts2bElec*SUMPRODUCT(tpSurvInMx,INDEX(tEIdxElec,33)*INDEX(elecInMx,stdCSL+1,3)*convFactor)</f>
        <v>2558.1260738278374</v>
      </c>
      <c r="AL165" s="3"/>
    </row>
    <row r="166" spans="2:38">
      <c r="B166" s="3"/>
      <c r="C166" s="30" t="str">
        <f>"EL 3: " &amp; INDEX(_doName,5,4)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(1+INDEX(vadInMx,stdCSL+1,4))*INDEX(mspInMx,stdCSL+1,4)*tPIdxAll + INDEX(instInMx,stdCSL+1,4) + SUMPRODUCT(dFactor,tpSurvInMx,INDEX(mrInMx,stdCSL+1,4)*allOnes)</f>
        <v>1657.1337119999998</v>
      </c>
      <c r="F167" s="28">
        <f ca="1"/>
        <v>1657.1337119999998</v>
      </c>
      <c r="G167" s="28">
        <f ca="1"/>
        <v>1657.1337119999998</v>
      </c>
      <c r="H167" s="28">
        <f ca="1"/>
        <v>1657.1337119999998</v>
      </c>
      <c r="I167" s="28">
        <f ca="1"/>
        <v>1657.1337119999998</v>
      </c>
      <c r="J167" s="28">
        <f ca="1"/>
        <v>1657.1337119999998</v>
      </c>
      <c r="K167" s="28">
        <f ca="1"/>
        <v>1657.1337119999998</v>
      </c>
      <c r="L167" s="28">
        <f ca="1"/>
        <v>1657.1337119999998</v>
      </c>
      <c r="M167" s="28">
        <f ca="1"/>
        <v>1657.1337119999998</v>
      </c>
      <c r="N167" s="28">
        <f ca="1"/>
        <v>1657.1337119999998</v>
      </c>
      <c r="O167" s="28">
        <f ca="1"/>
        <v>1657.1337119999998</v>
      </c>
      <c r="P167" s="28">
        <f ca="1"/>
        <v>1657.1337119999998</v>
      </c>
      <c r="Q167" s="28">
        <f ca="1"/>
        <v>1657.1337119999998</v>
      </c>
      <c r="R167" s="28">
        <f ca="1"/>
        <v>1657.1337119999998</v>
      </c>
      <c r="S167" s="28">
        <f ca="1"/>
        <v>1657.1337119999998</v>
      </c>
      <c r="T167" s="28">
        <f ca="1"/>
        <v>1657.1337119999998</v>
      </c>
      <c r="U167" s="28">
        <f ca="1"/>
        <v>1657.1337119999998</v>
      </c>
      <c r="V167" s="28">
        <f ca="1"/>
        <v>1657.1337119999998</v>
      </c>
      <c r="W167" s="28">
        <f ca="1"/>
        <v>1657.1337119999998</v>
      </c>
      <c r="X167" s="28">
        <f ca="1"/>
        <v>1657.1337119999998</v>
      </c>
      <c r="Y167" s="28">
        <f ca="1"/>
        <v>1657.1337119999998</v>
      </c>
      <c r="Z167" s="28">
        <f ca="1"/>
        <v>1657.1337119999998</v>
      </c>
      <c r="AA167" s="28">
        <f ca="1"/>
        <v>1657.1337119999998</v>
      </c>
      <c r="AB167" s="28">
        <f ca="1"/>
        <v>1657.1337119999998</v>
      </c>
      <c r="AC167" s="28">
        <f ca="1"/>
        <v>1657.1337119999998</v>
      </c>
      <c r="AD167" s="28">
        <f ca="1"/>
        <v>1657.1337119999998</v>
      </c>
      <c r="AE167" s="28">
        <f ca="1"/>
        <v>1657.1337119999998</v>
      </c>
      <c r="AF167" s="28">
        <f ca="1"/>
        <v>1657.1337119999998</v>
      </c>
      <c r="AG167" s="28">
        <f ca="1"/>
        <v>1657.1337119999998</v>
      </c>
      <c r="AH167" s="28">
        <f ca="1"/>
        <v>1657.1337119999998</v>
      </c>
      <c r="AI167" s="28">
        <f ca="1"/>
        <v>1657.1337119999998</v>
      </c>
      <c r="AJ167" s="28">
        <f ca="1"/>
        <v>1657.1337119999998</v>
      </c>
      <c r="AK167" s="29">
        <f ca="1"/>
        <v>1657.1337119999998</v>
      </c>
      <c r="AL167" s="3"/>
    </row>
    <row r="168" spans="2:38">
      <c r="B168" s="3"/>
      <c r="C168" s="23" t="s">
        <v>47</v>
      </c>
      <c r="D168" s="16" t="str">
        <f>_yearDol &amp; "$"</f>
        <v>2013$</v>
      </c>
      <c r="E168" s="141">
        <f t="array" aca="1" ref="E168:AK168" ca="1">(tlccEFupolElec3)</f>
        <v>49337.56830108221</v>
      </c>
      <c r="F168" s="28">
        <f ca="1"/>
        <v>49554.942880974071</v>
      </c>
      <c r="G168" s="28">
        <f ca="1"/>
        <v>49747.210498181426</v>
      </c>
      <c r="H168" s="28">
        <f ca="1"/>
        <v>49956.894052375777</v>
      </c>
      <c r="I168" s="28">
        <f ca="1"/>
        <v>50140.980639459311</v>
      </c>
      <c r="J168" s="28">
        <f ca="1"/>
        <v>50341.994302837382</v>
      </c>
      <c r="K168" s="28">
        <f ca="1"/>
        <v>50516.823935038577</v>
      </c>
      <c r="L168" s="28">
        <f ca="1"/>
        <v>50707.924359479119</v>
      </c>
      <c r="M168" s="28">
        <f ca="1"/>
        <v>50916.498179062481</v>
      </c>
      <c r="N168" s="28">
        <f ca="1"/>
        <v>51099.380236269375</v>
      </c>
      <c r="O168" s="28">
        <f ca="1"/>
        <v>51299.246015645658</v>
      </c>
      <c r="P168" s="28">
        <f ca="1"/>
        <v>51517.134254701581</v>
      </c>
      <c r="Q168" s="28">
        <f ca="1"/>
        <v>51710.145723934438</v>
      </c>
      <c r="R168" s="28">
        <f ca="1"/>
        <v>51920.826962861771</v>
      </c>
      <c r="S168" s="28">
        <f ca="1"/>
        <v>52106.05195047272</v>
      </c>
      <c r="T168" s="28">
        <f ca="1"/>
        <v>52308.545367116298</v>
      </c>
      <c r="U168" s="28">
        <f ca="1"/>
        <v>52529.394021428205</v>
      </c>
      <c r="V168" s="28">
        <f ca="1"/>
        <v>52725.695472170381</v>
      </c>
      <c r="W168" s="28">
        <f ca="1"/>
        <v>52939.895364892072</v>
      </c>
      <c r="X168" s="28">
        <f ca="1"/>
        <v>53129.101821078599</v>
      </c>
      <c r="Y168" s="28">
        <f ca="1"/>
        <v>53335.842346795733</v>
      </c>
      <c r="Z168" s="28">
        <f ca="1"/>
        <v>53561.413499339338</v>
      </c>
      <c r="AA168" s="28">
        <f ca="1"/>
        <v>53762.8113679339</v>
      </c>
      <c r="AB168" s="28">
        <f ca="1"/>
        <v>53982.566762381372</v>
      </c>
      <c r="AC168" s="28">
        <f ca="1"/>
        <v>54177.826436804273</v>
      </c>
      <c r="AD168" s="28">
        <f ca="1"/>
        <v>54390.998459621187</v>
      </c>
      <c r="AE168" s="28">
        <f ca="1"/>
        <v>54623.525504866906</v>
      </c>
      <c r="AF168" s="28">
        <f ca="1"/>
        <v>54832.406588753234</v>
      </c>
      <c r="AG168" s="28">
        <f ca="1"/>
        <v>55060.406062934067</v>
      </c>
      <c r="AH168" s="28">
        <f ca="1"/>
        <v>55264.512857397218</v>
      </c>
      <c r="AI168" s="28">
        <f ca="1"/>
        <v>55487.343958375292</v>
      </c>
      <c r="AJ168" s="28">
        <f ca="1"/>
        <v>55685.966635309982</v>
      </c>
      <c r="AK168" s="29">
        <f ca="1"/>
        <v>55903.03162362751</v>
      </c>
      <c r="AL168" s="3"/>
    </row>
    <row r="169" spans="2:38">
      <c r="B169" s="3"/>
      <c r="C169" s="27" t="str">
        <f>INDEX(_fuel,1)</f>
        <v>Electricity</v>
      </c>
      <c r="D169" s="16" t="str">
        <f>_yearDol &amp; "$"</f>
        <v>2013$</v>
      </c>
      <c r="E169" s="141">
        <f ca="1">SUMPRODUCT(dFactor,tpSurvInMx,INDEX(tEIdxElec,1)*INDEX(elecInMx,stdCSL+1,4)*allOnes,OFFSET(tPrcElec,0,0,1,_maxLT))</f>
        <v>49337.56830108221</v>
      </c>
      <c r="F169" s="28">
        <f ca="1">SUMPRODUCT(dFactor,tpSurvInMx,INDEX(tEIdxElec,2)*INDEX(elecInMx,stdCSL+1,4)*allOnes,OFFSET(tPrcElec,0,1,1,_maxLT))</f>
        <v>49554.942880974071</v>
      </c>
      <c r="G169" s="28">
        <f ca="1">SUMPRODUCT(dFactor,tpSurvInMx,INDEX(tEIdxElec,3)*INDEX(elecInMx,stdCSL+1,4)*allOnes,OFFSET(tPrcElec,0,2,1,_maxLT))</f>
        <v>49747.210498181426</v>
      </c>
      <c r="H169" s="28">
        <f ca="1">SUMPRODUCT(dFactor,tpSurvInMx,INDEX(tEIdxElec,4)*INDEX(elecInMx,stdCSL+1,4)*allOnes,OFFSET(tPrcElec,0,3,1,_maxLT))</f>
        <v>49956.894052375777</v>
      </c>
      <c r="I169" s="28">
        <f ca="1">SUMPRODUCT(dFactor,tpSurvInMx,INDEX(tEIdxElec,5)*INDEX(elecInMx,stdCSL+1,4)*allOnes,OFFSET(tPrcElec,0,4,1,_maxLT))</f>
        <v>50140.980639459311</v>
      </c>
      <c r="J169" s="28">
        <f ca="1">SUMPRODUCT(dFactor,tpSurvInMx,INDEX(tEIdxElec,6)*INDEX(elecInMx,stdCSL+1,4)*allOnes,OFFSET(tPrcElec,0,5,1,_maxLT))</f>
        <v>50341.994302837382</v>
      </c>
      <c r="K169" s="28">
        <f ca="1">SUMPRODUCT(dFactor,tpSurvInMx,INDEX(tEIdxElec,7)*INDEX(elecInMx,stdCSL+1,4)*allOnes,OFFSET(tPrcElec,0,6,1,_maxLT))</f>
        <v>50516.823935038577</v>
      </c>
      <c r="L169" s="28">
        <f ca="1">SUMPRODUCT(dFactor,tpSurvInMx,INDEX(tEIdxElec,8)*INDEX(elecInMx,stdCSL+1,4)*allOnes,OFFSET(tPrcElec,0,7,1,_maxLT))</f>
        <v>50707.924359479119</v>
      </c>
      <c r="M169" s="28">
        <f ca="1">SUMPRODUCT(dFactor,tpSurvInMx,INDEX(tEIdxElec,9)*INDEX(elecInMx,stdCSL+1,4)*allOnes,OFFSET(tPrcElec,0,8,1,_maxLT))</f>
        <v>50916.498179062481</v>
      </c>
      <c r="N169" s="28">
        <f ca="1">SUMPRODUCT(dFactor,tpSurvInMx,INDEX(tEIdxElec,10)*INDEX(elecInMx,stdCSL+1,4)*allOnes,OFFSET(tPrcElec,0,9,1,_maxLT))</f>
        <v>51099.380236269375</v>
      </c>
      <c r="O169" s="28">
        <f ca="1">SUMPRODUCT(dFactor,tpSurvInMx,INDEX(tEIdxElec,11)*INDEX(elecInMx,stdCSL+1,4)*allOnes,OFFSET(tPrcElec,0,10,1,_maxLT))</f>
        <v>51299.246015645658</v>
      </c>
      <c r="P169" s="28">
        <f ca="1">SUMPRODUCT(dFactor,tpSurvInMx,INDEX(tEIdxElec,12)*INDEX(elecInMx,stdCSL+1,4)*allOnes,OFFSET(tPrcElec,0,11,1,_maxLT))</f>
        <v>51517.134254701581</v>
      </c>
      <c r="Q169" s="28">
        <f ca="1">SUMPRODUCT(dFactor,tpSurvInMx,INDEX(tEIdxElec,13)*INDEX(elecInMx,stdCSL+1,4)*allOnes,OFFSET(tPrcElec,0,12,1,_maxLT))</f>
        <v>51710.145723934438</v>
      </c>
      <c r="R169" s="28">
        <f ca="1">SUMPRODUCT(dFactor,tpSurvInMx,INDEX(tEIdxElec,14)*INDEX(elecInMx,stdCSL+1,4)*allOnes,OFFSET(tPrcElec,0,13,1,_maxLT))</f>
        <v>51920.826962861771</v>
      </c>
      <c r="S169" s="28">
        <f ca="1">SUMPRODUCT(dFactor,tpSurvInMx,INDEX(tEIdxElec,15)*INDEX(elecInMx,stdCSL+1,4)*allOnes,OFFSET(tPrcElec,0,14,1,_maxLT))</f>
        <v>52106.05195047272</v>
      </c>
      <c r="T169" s="28">
        <f ca="1">SUMPRODUCT(dFactor,tpSurvInMx,INDEX(tEIdxElec,16)*INDEX(elecInMx,stdCSL+1,4)*allOnes,OFFSET(tPrcElec,0,15,1,_maxLT))</f>
        <v>52308.545367116298</v>
      </c>
      <c r="U169" s="28">
        <f ca="1">SUMPRODUCT(dFactor,tpSurvInMx,INDEX(tEIdxElec,17)*INDEX(elecInMx,stdCSL+1,4)*allOnes,OFFSET(tPrcElec,0,16,1,_maxLT))</f>
        <v>52529.394021428205</v>
      </c>
      <c r="V169" s="28">
        <f ca="1">SUMPRODUCT(dFactor,tpSurvInMx,INDEX(tEIdxElec,18)*INDEX(elecInMx,stdCSL+1,4)*allOnes,OFFSET(tPrcElec,0,17,1,_maxLT))</f>
        <v>52725.695472170381</v>
      </c>
      <c r="W169" s="28">
        <f ca="1">SUMPRODUCT(dFactor,tpSurvInMx,INDEX(tEIdxElec,19)*INDEX(elecInMx,stdCSL+1,4)*allOnes,OFFSET(tPrcElec,0,18,1,_maxLT))</f>
        <v>52939.895364892072</v>
      </c>
      <c r="X169" s="28">
        <f ca="1">SUMPRODUCT(dFactor,tpSurvInMx,INDEX(tEIdxElec,20)*INDEX(elecInMx,stdCSL+1,4)*allOnes,OFFSET(tPrcElec,0,19,1,_maxLT))</f>
        <v>53129.101821078599</v>
      </c>
      <c r="Y169" s="28">
        <f ca="1">SUMPRODUCT(dFactor,tpSurvInMx,INDEX(tEIdxElec,21)*INDEX(elecInMx,stdCSL+1,4)*allOnes,OFFSET(tPrcElec,0,20,1,_maxLT))</f>
        <v>53335.842346795733</v>
      </c>
      <c r="Z169" s="28">
        <f ca="1">SUMPRODUCT(dFactor,tpSurvInMx,INDEX(tEIdxElec,22)*INDEX(elecInMx,stdCSL+1,4)*allOnes,OFFSET(tPrcElec,0,21,1,_maxLT))</f>
        <v>53561.413499339338</v>
      </c>
      <c r="AA169" s="28">
        <f ca="1">SUMPRODUCT(dFactor,tpSurvInMx,INDEX(tEIdxElec,23)*INDEX(elecInMx,stdCSL+1,4)*allOnes,OFFSET(tPrcElec,0,22,1,_maxLT))</f>
        <v>53762.8113679339</v>
      </c>
      <c r="AB169" s="28">
        <f ca="1">SUMPRODUCT(dFactor,tpSurvInMx,INDEX(tEIdxElec,24)*INDEX(elecInMx,stdCSL+1,4)*allOnes,OFFSET(tPrcElec,0,23,1,_maxLT))</f>
        <v>53982.566762381372</v>
      </c>
      <c r="AC169" s="28">
        <f ca="1">SUMPRODUCT(dFactor,tpSurvInMx,INDEX(tEIdxElec,25)*INDEX(elecInMx,stdCSL+1,4)*allOnes,OFFSET(tPrcElec,0,24,1,_maxLT))</f>
        <v>54177.826436804273</v>
      </c>
      <c r="AD169" s="28">
        <f ca="1">SUMPRODUCT(dFactor,tpSurvInMx,INDEX(tEIdxElec,26)*INDEX(elecInMx,stdCSL+1,4)*allOnes,OFFSET(tPrcElec,0,25,1,_maxLT))</f>
        <v>54390.998459621187</v>
      </c>
      <c r="AE169" s="28">
        <f ca="1">SUMPRODUCT(dFactor,tpSurvInMx,INDEX(tEIdxElec,27)*INDEX(elecInMx,stdCSL+1,4)*allOnes,OFFSET(tPrcElec,0,26,1,_maxLT))</f>
        <v>54623.525504866906</v>
      </c>
      <c r="AF169" s="28">
        <f ca="1">SUMPRODUCT(dFactor,tpSurvInMx,INDEX(tEIdxElec,28)*INDEX(elecInMx,stdCSL+1,4)*allOnes,OFFSET(tPrcElec,0,27,1,_maxLT))</f>
        <v>54832.406588753234</v>
      </c>
      <c r="AG169" s="28">
        <f ca="1">SUMPRODUCT(dFactor,tpSurvInMx,INDEX(tEIdxElec,29)*INDEX(elecInMx,stdCSL+1,4)*allOnes,OFFSET(tPrcElec,0,28,1,_maxLT))</f>
        <v>55060.406062934067</v>
      </c>
      <c r="AH169" s="28">
        <f ca="1">SUMPRODUCT(dFactor,tpSurvInMx,INDEX(tEIdxElec,30)*INDEX(elecInMx,stdCSL+1,4)*allOnes,OFFSET(tPrcElec,0,29,1,_maxLT))</f>
        <v>55264.512857397218</v>
      </c>
      <c r="AI169" s="28">
        <f ca="1">SUMPRODUCT(dFactor,tpSurvInMx,INDEX(tEIdxElec,31)*INDEX(elecInMx,stdCSL+1,4)*allOnes,OFFSET(tPrcElec,0,30,1,_maxLT))</f>
        <v>55487.343958375292</v>
      </c>
      <c r="AJ169" s="28">
        <f ca="1">SUMPRODUCT(dFactor,tpSurvInMx,INDEX(tEIdxElec,32)*INDEX(elecInMx,stdCSL+1,4)*allOnes,OFFSET(tPrcElec,0,31,1,_maxLT))</f>
        <v>55685.966635309982</v>
      </c>
      <c r="AK169" s="29">
        <f ca="1">SUMPRODUCT(dFactor,tpSurvInMx,INDEX(tEIdxElec,33)*INDEX(elecInMx,stdCSL+1,4)*allOnes,OFFSET(tPrcElec,0,32,1,_maxLT))</f>
        <v>55903.03162362751</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ts2bElec*SUMPRODUCT(tpSurvInMx,INDEX(tEIdxElec,1)*INDEX(elecInMx,stdCSL+1,4)*convFactor)</f>
        <v>10493.248963133916</v>
      </c>
      <c r="F171" s="22">
        <f ca="1">ts2bElec*SUMPRODUCT(tpSurvInMx,INDEX(tEIdxElec,2)*INDEX(elecInMx,stdCSL+1,4)*convFactor)</f>
        <v>10414.76242438412</v>
      </c>
      <c r="G171" s="22">
        <f ca="1">ts2bElec*SUMPRODUCT(tpSurvInMx,INDEX(tEIdxElec,3)*INDEX(elecInMx,stdCSL+1,4)*convFactor)</f>
        <v>10335.655087591145</v>
      </c>
      <c r="H171" s="22">
        <f ca="1">ts2bElec*SUMPRODUCT(tpSurvInMx,INDEX(tEIdxElec,4)*INDEX(elecInMx,stdCSL+1,4)*convFactor)</f>
        <v>10266.164162583138</v>
      </c>
      <c r="I171" s="22">
        <f ca="1">ts2bElec*SUMPRODUCT(tpSurvInMx,INDEX(tEIdxElec,5)*INDEX(elecInMx,stdCSL+1,4)*convFactor)</f>
        <v>10200.253223130081</v>
      </c>
      <c r="J171" s="22">
        <f ca="1">ts2bElec*SUMPRODUCT(tpSurvInMx,INDEX(tEIdxElec,6)*INDEX(elecInMx,stdCSL+1,4)*convFactor)</f>
        <v>10142.839206830718</v>
      </c>
      <c r="K171" s="22">
        <f ca="1">ts2bElec*SUMPRODUCT(tpSurvInMx,INDEX(tEIdxElec,7)*INDEX(elecInMx,stdCSL+1,4)*convFactor)</f>
        <v>10098.295230669957</v>
      </c>
      <c r="L171" s="22">
        <f ca="1">ts2bElec*SUMPRODUCT(tpSurvInMx,INDEX(tEIdxElec,8)*INDEX(elecInMx,stdCSL+1,4)*convFactor)</f>
        <v>10061.362535369131</v>
      </c>
      <c r="M171" s="22">
        <f ca="1">ts2bElec*SUMPRODUCT(tpSurvInMx,INDEX(tEIdxElec,9)*INDEX(elecInMx,stdCSL+1,4)*convFactor)</f>
        <v>10024.263761292734</v>
      </c>
      <c r="N171" s="22">
        <f ca="1">ts2bElec*SUMPRODUCT(tpSurvInMx,INDEX(tEIdxElec,10)*INDEX(elecInMx,stdCSL+1,4)*convFactor)</f>
        <v>9994.5905560431056</v>
      </c>
      <c r="O171" s="22">
        <f ca="1">ts2bElec*SUMPRODUCT(tpSurvInMx,INDEX(tEIdxElec,11)*INDEX(elecInMx,stdCSL+1,4)*convFactor)</f>
        <v>9974.151363546971</v>
      </c>
      <c r="P171" s="22">
        <f ca="1">ts2bElec*SUMPRODUCT(tpSurvInMx,INDEX(tEIdxElec,12)*INDEX(elecInMx,stdCSL+1,4)*convFactor)</f>
        <v>9959.1951247089473</v>
      </c>
      <c r="Q171" s="22">
        <f ca="1">ts2bElec*SUMPRODUCT(tpSurvInMx,INDEX(tEIdxElec,13)*INDEX(elecInMx,stdCSL+1,4)*convFactor)</f>
        <v>9946.6123539117616</v>
      </c>
      <c r="R171" s="22">
        <f ca="1">ts2bElec*SUMPRODUCT(tpSurvInMx,INDEX(tEIdxElec,14)*INDEX(elecInMx,stdCSL+1,4)*convFactor)</f>
        <v>9937.3332972788667</v>
      </c>
      <c r="S171" s="22">
        <f ca="1">ts2bElec*SUMPRODUCT(tpSurvInMx,INDEX(tEIdxElec,15)*INDEX(elecInMx,stdCSL+1,4)*convFactor)</f>
        <v>9930.2627828501318</v>
      </c>
      <c r="T171" s="22">
        <f ca="1">ts2bElec*SUMPRODUCT(tpSurvInMx,INDEX(tEIdxElec,16)*INDEX(elecInMx,stdCSL+1,4)*convFactor)</f>
        <v>9929.3766822756734</v>
      </c>
      <c r="U171" s="22">
        <f ca="1">ts2bElec*SUMPRODUCT(tpSurvInMx,INDEX(tEIdxElec,17)*INDEX(elecInMx,stdCSL+1,4)*convFactor)</f>
        <v>9931.1919307532808</v>
      </c>
      <c r="V171" s="22">
        <f ca="1">ts2bElec*SUMPRODUCT(tpSurvInMx,INDEX(tEIdxElec,18)*INDEX(elecInMx,stdCSL+1,4)*convFactor)</f>
        <v>9933.858625526791</v>
      </c>
      <c r="W171" s="22">
        <f ca="1">ts2bElec*SUMPRODUCT(tpSurvInMx,INDEX(tEIdxElec,19)*INDEX(elecInMx,stdCSL+1,4)*convFactor)</f>
        <v>9937.6723685190409</v>
      </c>
      <c r="X171" s="22">
        <f ca="1">ts2bElec*SUMPRODUCT(tpSurvInMx,INDEX(tEIdxElec,20)*INDEX(elecInMx,stdCSL+1,4)*convFactor)</f>
        <v>9941.2763146794023</v>
      </c>
      <c r="Y171" s="22">
        <f ca="1">ts2bElec*SUMPRODUCT(tpSurvInMx,INDEX(tEIdxElec,21)*INDEX(elecInMx,stdCSL+1,4)*convFactor)</f>
        <v>9944.2623767633595</v>
      </c>
      <c r="Z171" s="22">
        <f ca="1">ts2bElec*SUMPRODUCT(tpSurvInMx,INDEX(tEIdxElec,22)*INDEX(elecInMx,stdCSL+1,4)*convFactor)</f>
        <v>9946.2634605512812</v>
      </c>
      <c r="AA171" s="22">
        <f ca="1">ts2bElec*SUMPRODUCT(tpSurvInMx,INDEX(tEIdxElec,23)*INDEX(elecInMx,stdCSL+1,4)*convFactor)</f>
        <v>9947.5823079728798</v>
      </c>
      <c r="AB171" s="22">
        <f ca="1">ts2bElec*SUMPRODUCT(tpSurvInMx,INDEX(tEIdxElec,24)*INDEX(elecInMx,stdCSL+1,4)*convFactor)</f>
        <v>9947.5823079728798</v>
      </c>
      <c r="AC171" s="22">
        <f ca="1">ts2bElec*SUMPRODUCT(tpSurvInMx,INDEX(tEIdxElec,25)*INDEX(elecInMx,stdCSL+1,4)*convFactor)</f>
        <v>9947.5823079728798</v>
      </c>
      <c r="AD171" s="22">
        <f ca="1">ts2bElec*SUMPRODUCT(tpSurvInMx,INDEX(tEIdxElec,26)*INDEX(elecInMx,stdCSL+1,4)*convFactor)</f>
        <v>9947.5823079728798</v>
      </c>
      <c r="AE171" s="22">
        <f ca="1">ts2bElec*SUMPRODUCT(tpSurvInMx,INDEX(tEIdxElec,27)*INDEX(elecInMx,stdCSL+1,4)*convFactor)</f>
        <v>9947.5823079728798</v>
      </c>
      <c r="AF171" s="22">
        <f ca="1">ts2bElec*SUMPRODUCT(tpSurvInMx,INDEX(tEIdxElec,28)*INDEX(elecInMx,stdCSL+1,4)*convFactor)</f>
        <v>9947.5823079728798</v>
      </c>
      <c r="AG171" s="22">
        <f ca="1">ts2bElec*SUMPRODUCT(tpSurvInMx,INDEX(tEIdxElec,29)*INDEX(elecInMx,stdCSL+1,4)*convFactor)</f>
        <v>9947.5823079728798</v>
      </c>
      <c r="AH171" s="22">
        <f ca="1">ts2bElec*SUMPRODUCT(tpSurvInMx,INDEX(tEIdxElec,30)*INDEX(elecInMx,stdCSL+1,4)*convFactor)</f>
        <v>9947.5823079728798</v>
      </c>
      <c r="AI171" s="22">
        <f ca="1">ts2bElec*SUMPRODUCT(tpSurvInMx,INDEX(tEIdxElec,31)*INDEX(elecInMx,stdCSL+1,4)*convFactor)</f>
        <v>9947.5823079728798</v>
      </c>
      <c r="AJ171" s="22">
        <f ca="1">ts2bElec*SUMPRODUCT(tpSurvInMx,INDEX(tEIdxElec,32)*INDEX(elecInMx,stdCSL+1,4)*convFactor)</f>
        <v>9947.5823079728798</v>
      </c>
      <c r="AK171" s="25">
        <f ca="1">ts2bElec*SUMPRODUCT(tpSurvInMx,INDEX(tEIdxElec,33)*INDEX(elecInMx,stdCSL+1,4)*convFactor)</f>
        <v>9947.5823079728798</v>
      </c>
      <c r="AL171" s="3"/>
    </row>
    <row r="172" spans="2:38">
      <c r="B172" s="3"/>
      <c r="C172" s="30" t="str">
        <f>"EL 4: " &amp; INDEX(_doName,5,5)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(1+INDEX(vadInMx,stdCSL+1,5))*INDEX(mspInMx,stdCSL+1,5)*tPIdxAll + INDEX(instInMx,stdCSL+1,5) + SUMPRODUCT(dFactor,tpSurvInMx,INDEX(mrInMx,stdCSL+1,5)*allOnes)</f>
        <v>1763.1461380000001</v>
      </c>
      <c r="F173" s="28">
        <f ca="1"/>
        <v>1763.1461380000001</v>
      </c>
      <c r="G173" s="28">
        <f ca="1"/>
        <v>1763.1461380000001</v>
      </c>
      <c r="H173" s="28">
        <f ca="1"/>
        <v>1763.1461380000001</v>
      </c>
      <c r="I173" s="28">
        <f ca="1"/>
        <v>1763.1461380000001</v>
      </c>
      <c r="J173" s="28">
        <f ca="1"/>
        <v>1763.1461380000001</v>
      </c>
      <c r="K173" s="28">
        <f ca="1"/>
        <v>1763.1461380000001</v>
      </c>
      <c r="L173" s="28">
        <f ca="1"/>
        <v>1763.1461380000001</v>
      </c>
      <c r="M173" s="28">
        <f ca="1"/>
        <v>1763.1461380000001</v>
      </c>
      <c r="N173" s="28">
        <f ca="1"/>
        <v>1763.1461380000001</v>
      </c>
      <c r="O173" s="28">
        <f ca="1"/>
        <v>1763.1461380000001</v>
      </c>
      <c r="P173" s="28">
        <f ca="1"/>
        <v>1763.1461380000001</v>
      </c>
      <c r="Q173" s="28">
        <f ca="1"/>
        <v>1763.1461380000001</v>
      </c>
      <c r="R173" s="28">
        <f ca="1"/>
        <v>1763.1461380000001</v>
      </c>
      <c r="S173" s="28">
        <f ca="1"/>
        <v>1763.1461380000001</v>
      </c>
      <c r="T173" s="28">
        <f ca="1"/>
        <v>1763.1461380000001</v>
      </c>
      <c r="U173" s="28">
        <f ca="1"/>
        <v>1763.1461380000001</v>
      </c>
      <c r="V173" s="28">
        <f ca="1"/>
        <v>1763.1461380000001</v>
      </c>
      <c r="W173" s="28">
        <f ca="1"/>
        <v>1763.1461380000001</v>
      </c>
      <c r="X173" s="28">
        <f ca="1"/>
        <v>1763.1461380000001</v>
      </c>
      <c r="Y173" s="28">
        <f ca="1"/>
        <v>1763.1461380000001</v>
      </c>
      <c r="Z173" s="28">
        <f ca="1"/>
        <v>1763.1461380000001</v>
      </c>
      <c r="AA173" s="28">
        <f ca="1"/>
        <v>1763.1461380000001</v>
      </c>
      <c r="AB173" s="28">
        <f ca="1"/>
        <v>1763.1461380000001</v>
      </c>
      <c r="AC173" s="28">
        <f ca="1"/>
        <v>1763.1461380000001</v>
      </c>
      <c r="AD173" s="28">
        <f ca="1"/>
        <v>1763.1461380000001</v>
      </c>
      <c r="AE173" s="28">
        <f ca="1"/>
        <v>1763.1461380000001</v>
      </c>
      <c r="AF173" s="28">
        <f ca="1"/>
        <v>1763.1461380000001</v>
      </c>
      <c r="AG173" s="28">
        <f ca="1"/>
        <v>1763.1461380000001</v>
      </c>
      <c r="AH173" s="28">
        <f ca="1"/>
        <v>1763.1461380000001</v>
      </c>
      <c r="AI173" s="28">
        <f ca="1"/>
        <v>1763.1461380000001</v>
      </c>
      <c r="AJ173" s="28">
        <f ca="1"/>
        <v>1763.1461380000001</v>
      </c>
      <c r="AK173" s="29">
        <f ca="1"/>
        <v>1763.1461380000001</v>
      </c>
      <c r="AL173" s="3"/>
    </row>
    <row r="174" spans="2:38">
      <c r="B174" s="3"/>
      <c r="C174" s="23" t="s">
        <v>47</v>
      </c>
      <c r="D174" s="16" t="str">
        <f>_yearDol &amp; "$"</f>
        <v>2013$</v>
      </c>
      <c r="E174" s="141">
        <f t="array" aca="1" ref="E174:AK174" ca="1">(tlccEFupolElec4)</f>
        <v>21728.955915898827</v>
      </c>
      <c r="F174" s="28">
        <f ca="1"/>
        <v>21824.690724612588</v>
      </c>
      <c r="G174" s="28">
        <f ca="1"/>
        <v>21909.36807540659</v>
      </c>
      <c r="H174" s="28">
        <f ca="1"/>
        <v>22001.715648711659</v>
      </c>
      <c r="I174" s="28">
        <f ca="1"/>
        <v>22082.789959286449</v>
      </c>
      <c r="J174" s="28">
        <f ca="1"/>
        <v>22171.319191278202</v>
      </c>
      <c r="K174" s="28">
        <f ca="1"/>
        <v>22248.316609304758</v>
      </c>
      <c r="L174" s="28">
        <f ca="1"/>
        <v>22332.479912060953</v>
      </c>
      <c r="M174" s="28">
        <f ca="1"/>
        <v>22424.33874270456</v>
      </c>
      <c r="N174" s="28">
        <f ca="1"/>
        <v>22504.882561455575</v>
      </c>
      <c r="O174" s="28">
        <f ca="1"/>
        <v>22592.90624926001</v>
      </c>
      <c r="P174" s="28">
        <f ca="1"/>
        <v>22688.867280662012</v>
      </c>
      <c r="Q174" s="28">
        <f ca="1"/>
        <v>22773.872234303639</v>
      </c>
      <c r="R174" s="28">
        <f ca="1"/>
        <v>22866.659201934926</v>
      </c>
      <c r="S174" s="28">
        <f ca="1"/>
        <v>22948.234880042124</v>
      </c>
      <c r="T174" s="28">
        <f ca="1"/>
        <v>23037.41581609186</v>
      </c>
      <c r="U174" s="28">
        <f ca="1"/>
        <v>23134.680655825021</v>
      </c>
      <c r="V174" s="28">
        <f ca="1"/>
        <v>23221.134563390417</v>
      </c>
      <c r="W174" s="28">
        <f ca="1"/>
        <v>23315.471195421746</v>
      </c>
      <c r="X174" s="28">
        <f ca="1"/>
        <v>23398.800368039076</v>
      </c>
      <c r="Y174" s="28">
        <f ca="1"/>
        <v>23489.851790393805</v>
      </c>
      <c r="Z174" s="28">
        <f ca="1"/>
        <v>23589.196484473749</v>
      </c>
      <c r="AA174" s="28">
        <f ca="1"/>
        <v>23677.894925822588</v>
      </c>
      <c r="AB174" s="28">
        <f ca="1"/>
        <v>23774.678278603384</v>
      </c>
      <c r="AC174" s="28">
        <f ca="1"/>
        <v>23860.673373290585</v>
      </c>
      <c r="AD174" s="28">
        <f ca="1"/>
        <v>23954.557317023377</v>
      </c>
      <c r="AE174" s="28">
        <f ca="1"/>
        <v>24056.965483647338</v>
      </c>
      <c r="AF174" s="28">
        <f ca="1"/>
        <v>24148.959637792377</v>
      </c>
      <c r="AG174" s="28">
        <f ca="1"/>
        <v>24249.373798723278</v>
      </c>
      <c r="AH174" s="28">
        <f ca="1"/>
        <v>24339.265288955638</v>
      </c>
      <c r="AI174" s="28">
        <f ca="1"/>
        <v>24437.40322595926</v>
      </c>
      <c r="AJ174" s="28">
        <f ca="1"/>
        <v>24524.879434042195</v>
      </c>
      <c r="AK174" s="29">
        <f ca="1"/>
        <v>24620.477894291649</v>
      </c>
      <c r="AL174" s="3"/>
    </row>
    <row r="175" spans="2:38">
      <c r="B175" s="3"/>
      <c r="C175" s="27" t="str">
        <f>INDEX(_fuel,1)</f>
        <v>Electricity</v>
      </c>
      <c r="D175" s="16" t="str">
        <f>_yearDol &amp; "$"</f>
        <v>2013$</v>
      </c>
      <c r="E175" s="141">
        <f ca="1">SUMPRODUCT(dFactor,tpSurvInMx,INDEX(tEIdxElec,1)*INDEX(elecInMx,stdCSL+1,5)*allOnes,OFFSET(tPrcElec,0,0,1,_maxLT))</f>
        <v>21728.955915898827</v>
      </c>
      <c r="F175" s="28">
        <f ca="1">SUMPRODUCT(dFactor,tpSurvInMx,INDEX(tEIdxElec,2)*INDEX(elecInMx,stdCSL+1,5)*allOnes,OFFSET(tPrcElec,0,1,1,_maxLT))</f>
        <v>21824.690724612588</v>
      </c>
      <c r="G175" s="28">
        <f ca="1">SUMPRODUCT(dFactor,tpSurvInMx,INDEX(tEIdxElec,3)*INDEX(elecInMx,stdCSL+1,5)*allOnes,OFFSET(tPrcElec,0,2,1,_maxLT))</f>
        <v>21909.36807540659</v>
      </c>
      <c r="H175" s="28">
        <f ca="1">SUMPRODUCT(dFactor,tpSurvInMx,INDEX(tEIdxElec,4)*INDEX(elecInMx,stdCSL+1,5)*allOnes,OFFSET(tPrcElec,0,3,1,_maxLT))</f>
        <v>22001.715648711659</v>
      </c>
      <c r="I175" s="28">
        <f ca="1">SUMPRODUCT(dFactor,tpSurvInMx,INDEX(tEIdxElec,5)*INDEX(elecInMx,stdCSL+1,5)*allOnes,OFFSET(tPrcElec,0,4,1,_maxLT))</f>
        <v>22082.789959286449</v>
      </c>
      <c r="J175" s="28">
        <f ca="1">SUMPRODUCT(dFactor,tpSurvInMx,INDEX(tEIdxElec,6)*INDEX(elecInMx,stdCSL+1,5)*allOnes,OFFSET(tPrcElec,0,5,1,_maxLT))</f>
        <v>22171.319191278202</v>
      </c>
      <c r="K175" s="28">
        <f ca="1">SUMPRODUCT(dFactor,tpSurvInMx,INDEX(tEIdxElec,7)*INDEX(elecInMx,stdCSL+1,5)*allOnes,OFFSET(tPrcElec,0,6,1,_maxLT))</f>
        <v>22248.316609304758</v>
      </c>
      <c r="L175" s="28">
        <f ca="1">SUMPRODUCT(dFactor,tpSurvInMx,INDEX(tEIdxElec,8)*INDEX(elecInMx,stdCSL+1,5)*allOnes,OFFSET(tPrcElec,0,7,1,_maxLT))</f>
        <v>22332.479912060953</v>
      </c>
      <c r="M175" s="28">
        <f ca="1">SUMPRODUCT(dFactor,tpSurvInMx,INDEX(tEIdxElec,9)*INDEX(elecInMx,stdCSL+1,5)*allOnes,OFFSET(tPrcElec,0,8,1,_maxLT))</f>
        <v>22424.33874270456</v>
      </c>
      <c r="N175" s="28">
        <f ca="1">SUMPRODUCT(dFactor,tpSurvInMx,INDEX(tEIdxElec,10)*INDEX(elecInMx,stdCSL+1,5)*allOnes,OFFSET(tPrcElec,0,9,1,_maxLT))</f>
        <v>22504.882561455575</v>
      </c>
      <c r="O175" s="28">
        <f ca="1">SUMPRODUCT(dFactor,tpSurvInMx,INDEX(tEIdxElec,11)*INDEX(elecInMx,stdCSL+1,5)*allOnes,OFFSET(tPrcElec,0,10,1,_maxLT))</f>
        <v>22592.90624926001</v>
      </c>
      <c r="P175" s="28">
        <f ca="1">SUMPRODUCT(dFactor,tpSurvInMx,INDEX(tEIdxElec,12)*INDEX(elecInMx,stdCSL+1,5)*allOnes,OFFSET(tPrcElec,0,11,1,_maxLT))</f>
        <v>22688.867280662012</v>
      </c>
      <c r="Q175" s="28">
        <f ca="1">SUMPRODUCT(dFactor,tpSurvInMx,INDEX(tEIdxElec,13)*INDEX(elecInMx,stdCSL+1,5)*allOnes,OFFSET(tPrcElec,0,12,1,_maxLT))</f>
        <v>22773.872234303639</v>
      </c>
      <c r="R175" s="28">
        <f ca="1">SUMPRODUCT(dFactor,tpSurvInMx,INDEX(tEIdxElec,14)*INDEX(elecInMx,stdCSL+1,5)*allOnes,OFFSET(tPrcElec,0,13,1,_maxLT))</f>
        <v>22866.659201934926</v>
      </c>
      <c r="S175" s="28">
        <f ca="1">SUMPRODUCT(dFactor,tpSurvInMx,INDEX(tEIdxElec,15)*INDEX(elecInMx,stdCSL+1,5)*allOnes,OFFSET(tPrcElec,0,14,1,_maxLT))</f>
        <v>22948.234880042124</v>
      </c>
      <c r="T175" s="28">
        <f ca="1">SUMPRODUCT(dFactor,tpSurvInMx,INDEX(tEIdxElec,16)*INDEX(elecInMx,stdCSL+1,5)*allOnes,OFFSET(tPrcElec,0,15,1,_maxLT))</f>
        <v>23037.41581609186</v>
      </c>
      <c r="U175" s="28">
        <f ca="1">SUMPRODUCT(dFactor,tpSurvInMx,INDEX(tEIdxElec,17)*INDEX(elecInMx,stdCSL+1,5)*allOnes,OFFSET(tPrcElec,0,16,1,_maxLT))</f>
        <v>23134.680655825021</v>
      </c>
      <c r="V175" s="28">
        <f ca="1">SUMPRODUCT(dFactor,tpSurvInMx,INDEX(tEIdxElec,18)*INDEX(elecInMx,stdCSL+1,5)*allOnes,OFFSET(tPrcElec,0,17,1,_maxLT))</f>
        <v>23221.134563390417</v>
      </c>
      <c r="W175" s="28">
        <f ca="1">SUMPRODUCT(dFactor,tpSurvInMx,INDEX(tEIdxElec,19)*INDEX(elecInMx,stdCSL+1,5)*allOnes,OFFSET(tPrcElec,0,18,1,_maxLT))</f>
        <v>23315.471195421746</v>
      </c>
      <c r="X175" s="28">
        <f ca="1">SUMPRODUCT(dFactor,tpSurvInMx,INDEX(tEIdxElec,20)*INDEX(elecInMx,stdCSL+1,5)*allOnes,OFFSET(tPrcElec,0,19,1,_maxLT))</f>
        <v>23398.800368039076</v>
      </c>
      <c r="Y175" s="28">
        <f ca="1">SUMPRODUCT(dFactor,tpSurvInMx,INDEX(tEIdxElec,21)*INDEX(elecInMx,stdCSL+1,5)*allOnes,OFFSET(tPrcElec,0,20,1,_maxLT))</f>
        <v>23489.851790393805</v>
      </c>
      <c r="Z175" s="28">
        <f ca="1">SUMPRODUCT(dFactor,tpSurvInMx,INDEX(tEIdxElec,22)*INDEX(elecInMx,stdCSL+1,5)*allOnes,OFFSET(tPrcElec,0,21,1,_maxLT))</f>
        <v>23589.196484473749</v>
      </c>
      <c r="AA175" s="28">
        <f ca="1">SUMPRODUCT(dFactor,tpSurvInMx,INDEX(tEIdxElec,23)*INDEX(elecInMx,stdCSL+1,5)*allOnes,OFFSET(tPrcElec,0,22,1,_maxLT))</f>
        <v>23677.894925822588</v>
      </c>
      <c r="AB175" s="28">
        <f ca="1">SUMPRODUCT(dFactor,tpSurvInMx,INDEX(tEIdxElec,24)*INDEX(elecInMx,stdCSL+1,5)*allOnes,OFFSET(tPrcElec,0,23,1,_maxLT))</f>
        <v>23774.678278603384</v>
      </c>
      <c r="AC175" s="28">
        <f ca="1">SUMPRODUCT(dFactor,tpSurvInMx,INDEX(tEIdxElec,25)*INDEX(elecInMx,stdCSL+1,5)*allOnes,OFFSET(tPrcElec,0,24,1,_maxLT))</f>
        <v>23860.673373290585</v>
      </c>
      <c r="AD175" s="28">
        <f ca="1">SUMPRODUCT(dFactor,tpSurvInMx,INDEX(tEIdxElec,26)*INDEX(elecInMx,stdCSL+1,5)*allOnes,OFFSET(tPrcElec,0,25,1,_maxLT))</f>
        <v>23954.557317023377</v>
      </c>
      <c r="AE175" s="28">
        <f ca="1">SUMPRODUCT(dFactor,tpSurvInMx,INDEX(tEIdxElec,27)*INDEX(elecInMx,stdCSL+1,5)*allOnes,OFFSET(tPrcElec,0,26,1,_maxLT))</f>
        <v>24056.965483647338</v>
      </c>
      <c r="AF175" s="28">
        <f ca="1">SUMPRODUCT(dFactor,tpSurvInMx,INDEX(tEIdxElec,28)*INDEX(elecInMx,stdCSL+1,5)*allOnes,OFFSET(tPrcElec,0,27,1,_maxLT))</f>
        <v>24148.959637792377</v>
      </c>
      <c r="AG175" s="28">
        <f ca="1">SUMPRODUCT(dFactor,tpSurvInMx,INDEX(tEIdxElec,29)*INDEX(elecInMx,stdCSL+1,5)*allOnes,OFFSET(tPrcElec,0,28,1,_maxLT))</f>
        <v>24249.373798723278</v>
      </c>
      <c r="AH175" s="28">
        <f ca="1">SUMPRODUCT(dFactor,tpSurvInMx,INDEX(tEIdxElec,30)*INDEX(elecInMx,stdCSL+1,5)*allOnes,OFFSET(tPrcElec,0,29,1,_maxLT))</f>
        <v>24339.265288955638</v>
      </c>
      <c r="AI175" s="28">
        <f ca="1">SUMPRODUCT(dFactor,tpSurvInMx,INDEX(tEIdxElec,31)*INDEX(elecInMx,stdCSL+1,5)*allOnes,OFFSET(tPrcElec,0,30,1,_maxLT))</f>
        <v>24437.40322595926</v>
      </c>
      <c r="AJ175" s="28">
        <f ca="1">SUMPRODUCT(dFactor,tpSurvInMx,INDEX(tEIdxElec,32)*INDEX(elecInMx,stdCSL+1,5)*allOnes,OFFSET(tPrcElec,0,31,1,_maxLT))</f>
        <v>24524.879434042195</v>
      </c>
      <c r="AK175" s="29">
        <f ca="1">SUMPRODUCT(dFactor,tpSurvInMx,INDEX(tEIdxElec,33)*INDEX(elecInMx,stdCSL+1,5)*allOnes,OFFSET(tPrcElec,0,32,1,_maxLT))</f>
        <v>24620.477894291649</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ts2bElec*SUMPRODUCT(tpSurvInMx,INDEX(tEIdxElec,1)*INDEX(elecInMx,stdCSL+1,5)*convFactor)</f>
        <v>4621.3737722758151</v>
      </c>
      <c r="F177" s="22">
        <f ca="1">ts2bElec*SUMPRODUCT(tpSurvInMx,INDEX(tEIdxElec,2)*INDEX(elecInMx,stdCSL+1,5)*convFactor)</f>
        <v>4586.807201623642</v>
      </c>
      <c r="G177" s="22">
        <f ca="1">ts2bElec*SUMPRODUCT(tpSurvInMx,INDEX(tEIdxElec,3)*INDEX(elecInMx,stdCSL+1,5)*convFactor)</f>
        <v>4551.9672228206946</v>
      </c>
      <c r="H177" s="22">
        <f ca="1">ts2bElec*SUMPRODUCT(tpSurvInMx,INDEX(tEIdxElec,4)*INDEX(elecInMx,stdCSL+1,5)*convFactor)</f>
        <v>4521.3624464190789</v>
      </c>
      <c r="I177" s="22">
        <f ca="1">ts2bElec*SUMPRODUCT(tpSurvInMx,INDEX(tEIdxElec,5)*INDEX(elecInMx,stdCSL+1,5)*convFactor)</f>
        <v>4492.3343457836536</v>
      </c>
      <c r="J177" s="22">
        <f ca="1">ts2bElec*SUMPRODUCT(tpSurvInMx,INDEX(tEIdxElec,6)*INDEX(elecInMx,stdCSL+1,5)*convFactor)</f>
        <v>4467.0484090810105</v>
      </c>
      <c r="K177" s="22">
        <f ca="1">ts2bElec*SUMPRODUCT(tpSurvInMx,INDEX(tEIdxElec,7)*INDEX(elecInMx,stdCSL+1,5)*convFactor)</f>
        <v>4447.4306182647006</v>
      </c>
      <c r="L177" s="22">
        <f ca="1">ts2bElec*SUMPRODUCT(tpSurvInMx,INDEX(tEIdxElec,8)*INDEX(elecInMx,stdCSL+1,5)*convFactor)</f>
        <v>4431.164942114031</v>
      </c>
      <c r="M177" s="22">
        <f ca="1">ts2bElec*SUMPRODUCT(tpSurvInMx,INDEX(tEIdxElec,9)*INDEX(elecInMx,stdCSL+1,5)*convFactor)</f>
        <v>4414.8261225451251</v>
      </c>
      <c r="N177" s="22">
        <f ca="1">ts2bElec*SUMPRODUCT(tpSurvInMx,INDEX(tEIdxElec,10)*INDEX(elecInMx,stdCSL+1,5)*convFactor)</f>
        <v>4401.7576274620687</v>
      </c>
      <c r="O177" s="22">
        <f ca="1">ts2bElec*SUMPRODUCT(tpSurvInMx,INDEX(tEIdxElec,11)*INDEX(elecInMx,stdCSL+1,5)*convFactor)</f>
        <v>4392.7559208924458</v>
      </c>
      <c r="P177" s="22">
        <f ca="1">ts2bElec*SUMPRODUCT(tpSurvInMx,INDEX(tEIdxElec,12)*INDEX(elecInMx,stdCSL+1,5)*convFactor)</f>
        <v>4386.1689838874472</v>
      </c>
      <c r="Q177" s="22">
        <f ca="1">ts2bElec*SUMPRODUCT(tpSurvInMx,INDEX(tEIdxElec,13)*INDEX(elecInMx,stdCSL+1,5)*convFactor)</f>
        <v>4380.6273554414838</v>
      </c>
      <c r="R177" s="22">
        <f ca="1">ts2bElec*SUMPRODUCT(tpSurvInMx,INDEX(tEIdxElec,14)*INDEX(elecInMx,stdCSL+1,5)*convFactor)</f>
        <v>4376.5407289728491</v>
      </c>
      <c r="S177" s="22">
        <f ca="1">ts2bElec*SUMPRODUCT(tpSurvInMx,INDEX(tEIdxElec,15)*INDEX(elecInMx,stdCSL+1,5)*convFactor)</f>
        <v>4373.4267754154471</v>
      </c>
      <c r="T177" s="22">
        <f ca="1">ts2bElec*SUMPRODUCT(tpSurvInMx,INDEX(tEIdxElec,16)*INDEX(elecInMx,stdCSL+1,5)*convFactor)</f>
        <v>4373.03652431507</v>
      </c>
      <c r="U177" s="22">
        <f ca="1">ts2bElec*SUMPRODUCT(tpSurvInMx,INDEX(tEIdxElec,17)*INDEX(elecInMx,stdCSL+1,5)*convFactor)</f>
        <v>4373.835985162139</v>
      </c>
      <c r="V177" s="22">
        <f ca="1">ts2bElec*SUMPRODUCT(tpSurvInMx,INDEX(tEIdxElec,18)*INDEX(elecInMx,stdCSL+1,5)*convFactor)</f>
        <v>4375.0104348800733</v>
      </c>
      <c r="W177" s="22">
        <f ca="1">ts2bElec*SUMPRODUCT(tpSurvInMx,INDEX(tEIdxElec,19)*INDEX(elecInMx,stdCSL+1,5)*convFactor)</f>
        <v>4376.6900606947765</v>
      </c>
      <c r="X177" s="22">
        <f ca="1">ts2bElec*SUMPRODUCT(tpSurvInMx,INDEX(tEIdxElec,20)*INDEX(elecInMx,stdCSL+1,5)*convFactor)</f>
        <v>4378.2772890470915</v>
      </c>
      <c r="Y177" s="22">
        <f ca="1">ts2bElec*SUMPRODUCT(tpSurvInMx,INDEX(tEIdxElec,21)*INDEX(elecInMx,stdCSL+1,5)*convFactor)</f>
        <v>4379.5923926004025</v>
      </c>
      <c r="Z177" s="22">
        <f ca="1">ts2bElec*SUMPRODUCT(tpSurvInMx,INDEX(tEIdxElec,22)*INDEX(elecInMx,stdCSL+1,5)*convFactor)</f>
        <v>4380.4736979202426</v>
      </c>
      <c r="AA177" s="22">
        <f ca="1">ts2bElec*SUMPRODUCT(tpSurvInMx,INDEX(tEIdxElec,23)*INDEX(elecInMx,stdCSL+1,5)*convFactor)</f>
        <v>4381.0545367915229</v>
      </c>
      <c r="AB177" s="22">
        <f ca="1">ts2bElec*SUMPRODUCT(tpSurvInMx,INDEX(tEIdxElec,24)*INDEX(elecInMx,stdCSL+1,5)*convFactor)</f>
        <v>4381.0545367915229</v>
      </c>
      <c r="AC177" s="22">
        <f ca="1">ts2bElec*SUMPRODUCT(tpSurvInMx,INDEX(tEIdxElec,25)*INDEX(elecInMx,stdCSL+1,5)*convFactor)</f>
        <v>4381.0545367915229</v>
      </c>
      <c r="AD177" s="22">
        <f ca="1">ts2bElec*SUMPRODUCT(tpSurvInMx,INDEX(tEIdxElec,26)*INDEX(elecInMx,stdCSL+1,5)*convFactor)</f>
        <v>4381.0545367915229</v>
      </c>
      <c r="AE177" s="22">
        <f ca="1">ts2bElec*SUMPRODUCT(tpSurvInMx,INDEX(tEIdxElec,27)*INDEX(elecInMx,stdCSL+1,5)*convFactor)</f>
        <v>4381.0545367915229</v>
      </c>
      <c r="AF177" s="22">
        <f ca="1">ts2bElec*SUMPRODUCT(tpSurvInMx,INDEX(tEIdxElec,28)*INDEX(elecInMx,stdCSL+1,5)*convFactor)</f>
        <v>4381.0545367915229</v>
      </c>
      <c r="AG177" s="22">
        <f ca="1">ts2bElec*SUMPRODUCT(tpSurvInMx,INDEX(tEIdxElec,29)*INDEX(elecInMx,stdCSL+1,5)*convFactor)</f>
        <v>4381.0545367915229</v>
      </c>
      <c r="AH177" s="22">
        <f ca="1">ts2bElec*SUMPRODUCT(tpSurvInMx,INDEX(tEIdxElec,30)*INDEX(elecInMx,stdCSL+1,5)*convFactor)</f>
        <v>4381.0545367915229</v>
      </c>
      <c r="AI177" s="22">
        <f ca="1">ts2bElec*SUMPRODUCT(tpSurvInMx,INDEX(tEIdxElec,31)*INDEX(elecInMx,stdCSL+1,5)*convFactor)</f>
        <v>4381.0545367915229</v>
      </c>
      <c r="AJ177" s="22">
        <f ca="1">ts2bElec*SUMPRODUCT(tpSurvInMx,INDEX(tEIdxElec,32)*INDEX(elecInMx,stdCSL+1,5)*convFactor)</f>
        <v>4381.0545367915229</v>
      </c>
      <c r="AK177" s="25">
        <f ca="1">ts2bElec*SUMPRODUCT(tpSurvInMx,INDEX(tEIdxElec,33)*INDEX(elecInMx,stdCSL+1,5)*convFactor)</f>
        <v>4381.0545367915229</v>
      </c>
      <c r="AL177" s="3"/>
    </row>
    <row r="178" spans="2:38">
      <c r="B178" s="3"/>
      <c r="C178" s="30" t="str">
        <f>"EL 5: " &amp; INDEX(_doName,5,6)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(1+INDEX(vadInMx,stdCSL+1,6))*INDEX(mspInMx,stdCSL+1,6)*tPIdxAll + INDEX(instInMx,stdCSL+1,6) + SUMPRODUCT(dFactor,tpSurvInMx,INDEX(mrInMx,stdCSL+1,6)*allOnes)</f>
        <v>2469.3678879999998</v>
      </c>
      <c r="F179" s="28">
        <f ca="1"/>
        <v>2469.3678879999998</v>
      </c>
      <c r="G179" s="28">
        <f ca="1"/>
        <v>2469.3678879999998</v>
      </c>
      <c r="H179" s="28">
        <f ca="1"/>
        <v>2469.3678879999998</v>
      </c>
      <c r="I179" s="28">
        <f ca="1"/>
        <v>2469.3678879999998</v>
      </c>
      <c r="J179" s="28">
        <f ca="1"/>
        <v>2469.3678879999998</v>
      </c>
      <c r="K179" s="28">
        <f ca="1"/>
        <v>2469.3678879999998</v>
      </c>
      <c r="L179" s="28">
        <f ca="1"/>
        <v>2469.3678879999998</v>
      </c>
      <c r="M179" s="28">
        <f ca="1"/>
        <v>2469.3678879999998</v>
      </c>
      <c r="N179" s="28">
        <f ca="1"/>
        <v>2469.3678879999998</v>
      </c>
      <c r="O179" s="28">
        <f ca="1"/>
        <v>2469.3678879999998</v>
      </c>
      <c r="P179" s="28">
        <f ca="1"/>
        <v>2469.3678879999998</v>
      </c>
      <c r="Q179" s="28">
        <f ca="1"/>
        <v>2469.3678879999998</v>
      </c>
      <c r="R179" s="28">
        <f ca="1"/>
        <v>2469.3678879999998</v>
      </c>
      <c r="S179" s="28">
        <f ca="1"/>
        <v>2469.3678879999998</v>
      </c>
      <c r="T179" s="28">
        <f ca="1"/>
        <v>2469.3678879999998</v>
      </c>
      <c r="U179" s="28">
        <f ca="1"/>
        <v>2469.3678879999998</v>
      </c>
      <c r="V179" s="28">
        <f ca="1"/>
        <v>2469.3678879999998</v>
      </c>
      <c r="W179" s="28">
        <f ca="1"/>
        <v>2469.3678879999998</v>
      </c>
      <c r="X179" s="28">
        <f ca="1"/>
        <v>2469.3678879999998</v>
      </c>
      <c r="Y179" s="28">
        <f ca="1"/>
        <v>2469.3678879999998</v>
      </c>
      <c r="Z179" s="28">
        <f ca="1"/>
        <v>2469.3678879999998</v>
      </c>
      <c r="AA179" s="28">
        <f ca="1"/>
        <v>2469.3678879999998</v>
      </c>
      <c r="AB179" s="28">
        <f ca="1"/>
        <v>2469.3678879999998</v>
      </c>
      <c r="AC179" s="28">
        <f ca="1"/>
        <v>2469.3678879999998</v>
      </c>
      <c r="AD179" s="28">
        <f ca="1"/>
        <v>2469.3678879999998</v>
      </c>
      <c r="AE179" s="28">
        <f ca="1"/>
        <v>2469.3678879999998</v>
      </c>
      <c r="AF179" s="28">
        <f ca="1"/>
        <v>2469.3678879999998</v>
      </c>
      <c r="AG179" s="28">
        <f ca="1"/>
        <v>2469.3678879999998</v>
      </c>
      <c r="AH179" s="28">
        <f ca="1"/>
        <v>2469.3678879999998</v>
      </c>
      <c r="AI179" s="28">
        <f ca="1"/>
        <v>2469.3678879999998</v>
      </c>
      <c r="AJ179" s="28">
        <f ca="1"/>
        <v>2469.3678879999998</v>
      </c>
      <c r="AK179" s="29">
        <f ca="1"/>
        <v>2469.3678879999998</v>
      </c>
      <c r="AL179" s="3"/>
    </row>
    <row r="180" spans="2:38">
      <c r="B180" s="3"/>
      <c r="C180" s="23" t="s">
        <v>47</v>
      </c>
      <c r="D180" s="16" t="str">
        <f>_yearDol &amp; "$"</f>
        <v>2013$</v>
      </c>
      <c r="E180" s="141">
        <f t="array" aca="1" ref="E180:AK180" ca="1">(tlccEFupolElec5)</f>
        <v>31939.409223037495</v>
      </c>
      <c r="F180" s="28">
        <f ca="1"/>
        <v>32080.129892923022</v>
      </c>
      <c r="G180" s="28">
        <f ca="1"/>
        <v>32204.597196800853</v>
      </c>
      <c r="H180" s="28">
        <f ca="1"/>
        <v>32340.338966721185</v>
      </c>
      <c r="I180" s="28">
        <f ca="1"/>
        <v>32459.510158974801</v>
      </c>
      <c r="J180" s="28">
        <f ca="1"/>
        <v>32589.639346025018</v>
      </c>
      <c r="K180" s="28">
        <f ca="1"/>
        <v>32702.81791074697</v>
      </c>
      <c r="L180" s="28">
        <f ca="1"/>
        <v>32826.529615013686</v>
      </c>
      <c r="M180" s="28">
        <f ca="1"/>
        <v>32961.552981715307</v>
      </c>
      <c r="N180" s="28">
        <f ca="1"/>
        <v>33079.944403624009</v>
      </c>
      <c r="O180" s="28">
        <f ca="1"/>
        <v>33209.330490879554</v>
      </c>
      <c r="P180" s="28">
        <f ca="1"/>
        <v>33350.383685670677</v>
      </c>
      <c r="Q180" s="28">
        <f ca="1"/>
        <v>33475.33253322939</v>
      </c>
      <c r="R180" s="28">
        <f ca="1"/>
        <v>33611.720169212029</v>
      </c>
      <c r="S180" s="28">
        <f ca="1"/>
        <v>33731.628321991979</v>
      </c>
      <c r="T180" s="28">
        <f ca="1"/>
        <v>33862.715449344563</v>
      </c>
      <c r="U180" s="28">
        <f ca="1"/>
        <v>34005.685113017083</v>
      </c>
      <c r="V180" s="28">
        <f ca="1"/>
        <v>34132.763779076762</v>
      </c>
      <c r="W180" s="28">
        <f ca="1"/>
        <v>34271.429267967877</v>
      </c>
      <c r="X180" s="28">
        <f ca="1"/>
        <v>34393.914883693877</v>
      </c>
      <c r="Y180" s="28">
        <f ca="1"/>
        <v>34527.751440322885</v>
      </c>
      <c r="Z180" s="28">
        <f ca="1"/>
        <v>34673.778283519445</v>
      </c>
      <c r="AA180" s="28">
        <f ca="1"/>
        <v>34804.156191535403</v>
      </c>
      <c r="AB180" s="28">
        <f ca="1"/>
        <v>34946.418117161666</v>
      </c>
      <c r="AC180" s="28">
        <f ca="1"/>
        <v>35072.822373814364</v>
      </c>
      <c r="AD180" s="28">
        <f ca="1"/>
        <v>35210.822455822927</v>
      </c>
      <c r="AE180" s="28">
        <f ca="1"/>
        <v>35361.35229969777</v>
      </c>
      <c r="AF180" s="28">
        <f ca="1"/>
        <v>35496.574578519547</v>
      </c>
      <c r="AG180" s="28">
        <f ca="1"/>
        <v>35644.173431873256</v>
      </c>
      <c r="AH180" s="28">
        <f ca="1"/>
        <v>35776.305003372217</v>
      </c>
      <c r="AI180" s="28">
        <f ca="1"/>
        <v>35920.558033402536</v>
      </c>
      <c r="AJ180" s="28">
        <f ca="1"/>
        <v>36049.139379789085</v>
      </c>
      <c r="AK180" s="29">
        <f ca="1"/>
        <v>36189.659630960756</v>
      </c>
      <c r="AL180" s="3"/>
    </row>
    <row r="181" spans="2:38">
      <c r="B181" s="3"/>
      <c r="C181" s="27" t="str">
        <f>INDEX(_fuel,1)</f>
        <v>Electricity</v>
      </c>
      <c r="D181" s="16" t="str">
        <f>_yearDol &amp; "$"</f>
        <v>2013$</v>
      </c>
      <c r="E181" s="141">
        <f ca="1">SUMPRODUCT(dFactor,tpSurvInMx,INDEX(tEIdxElec,1)*INDEX(elecInMx,stdCSL+1,6)*allOnes,OFFSET(tPrcElec,0,0,1,_maxLT))</f>
        <v>31939.409223037495</v>
      </c>
      <c r="F181" s="28">
        <f ca="1">SUMPRODUCT(dFactor,tpSurvInMx,INDEX(tEIdxElec,2)*INDEX(elecInMx,stdCSL+1,6)*allOnes,OFFSET(tPrcElec,0,1,1,_maxLT))</f>
        <v>32080.129892923022</v>
      </c>
      <c r="G181" s="28">
        <f ca="1">SUMPRODUCT(dFactor,tpSurvInMx,INDEX(tEIdxElec,3)*INDEX(elecInMx,stdCSL+1,6)*allOnes,OFFSET(tPrcElec,0,2,1,_maxLT))</f>
        <v>32204.597196800853</v>
      </c>
      <c r="H181" s="28">
        <f ca="1">SUMPRODUCT(dFactor,tpSurvInMx,INDEX(tEIdxElec,4)*INDEX(elecInMx,stdCSL+1,6)*allOnes,OFFSET(tPrcElec,0,3,1,_maxLT))</f>
        <v>32340.338966721185</v>
      </c>
      <c r="I181" s="28">
        <f ca="1">SUMPRODUCT(dFactor,tpSurvInMx,INDEX(tEIdxElec,5)*INDEX(elecInMx,stdCSL+1,6)*allOnes,OFFSET(tPrcElec,0,4,1,_maxLT))</f>
        <v>32459.510158974801</v>
      </c>
      <c r="J181" s="28">
        <f ca="1">SUMPRODUCT(dFactor,tpSurvInMx,INDEX(tEIdxElec,6)*INDEX(elecInMx,stdCSL+1,6)*allOnes,OFFSET(tPrcElec,0,5,1,_maxLT))</f>
        <v>32589.639346025018</v>
      </c>
      <c r="K181" s="28">
        <f ca="1">SUMPRODUCT(dFactor,tpSurvInMx,INDEX(tEIdxElec,7)*INDEX(elecInMx,stdCSL+1,6)*allOnes,OFFSET(tPrcElec,0,6,1,_maxLT))</f>
        <v>32702.81791074697</v>
      </c>
      <c r="L181" s="28">
        <f ca="1">SUMPRODUCT(dFactor,tpSurvInMx,INDEX(tEIdxElec,8)*INDEX(elecInMx,stdCSL+1,6)*allOnes,OFFSET(tPrcElec,0,7,1,_maxLT))</f>
        <v>32826.529615013686</v>
      </c>
      <c r="M181" s="28">
        <f ca="1">SUMPRODUCT(dFactor,tpSurvInMx,INDEX(tEIdxElec,9)*INDEX(elecInMx,stdCSL+1,6)*allOnes,OFFSET(tPrcElec,0,8,1,_maxLT))</f>
        <v>32961.552981715307</v>
      </c>
      <c r="N181" s="28">
        <f ca="1">SUMPRODUCT(dFactor,tpSurvInMx,INDEX(tEIdxElec,10)*INDEX(elecInMx,stdCSL+1,6)*allOnes,OFFSET(tPrcElec,0,9,1,_maxLT))</f>
        <v>33079.944403624009</v>
      </c>
      <c r="O181" s="28">
        <f ca="1">SUMPRODUCT(dFactor,tpSurvInMx,INDEX(tEIdxElec,11)*INDEX(elecInMx,stdCSL+1,6)*allOnes,OFFSET(tPrcElec,0,10,1,_maxLT))</f>
        <v>33209.330490879554</v>
      </c>
      <c r="P181" s="28">
        <f ca="1">SUMPRODUCT(dFactor,tpSurvInMx,INDEX(tEIdxElec,12)*INDEX(elecInMx,stdCSL+1,6)*allOnes,OFFSET(tPrcElec,0,11,1,_maxLT))</f>
        <v>33350.383685670677</v>
      </c>
      <c r="Q181" s="28">
        <f ca="1">SUMPRODUCT(dFactor,tpSurvInMx,INDEX(tEIdxElec,13)*INDEX(elecInMx,stdCSL+1,6)*allOnes,OFFSET(tPrcElec,0,12,1,_maxLT))</f>
        <v>33475.33253322939</v>
      </c>
      <c r="R181" s="28">
        <f ca="1">SUMPRODUCT(dFactor,tpSurvInMx,INDEX(tEIdxElec,14)*INDEX(elecInMx,stdCSL+1,6)*allOnes,OFFSET(tPrcElec,0,13,1,_maxLT))</f>
        <v>33611.720169212029</v>
      </c>
      <c r="S181" s="28">
        <f ca="1">SUMPRODUCT(dFactor,tpSurvInMx,INDEX(tEIdxElec,15)*INDEX(elecInMx,stdCSL+1,6)*allOnes,OFFSET(tPrcElec,0,14,1,_maxLT))</f>
        <v>33731.628321991979</v>
      </c>
      <c r="T181" s="28">
        <f ca="1">SUMPRODUCT(dFactor,tpSurvInMx,INDEX(tEIdxElec,16)*INDEX(elecInMx,stdCSL+1,6)*allOnes,OFFSET(tPrcElec,0,15,1,_maxLT))</f>
        <v>33862.715449344563</v>
      </c>
      <c r="U181" s="28">
        <f ca="1">SUMPRODUCT(dFactor,tpSurvInMx,INDEX(tEIdxElec,17)*INDEX(elecInMx,stdCSL+1,6)*allOnes,OFFSET(tPrcElec,0,16,1,_maxLT))</f>
        <v>34005.685113017083</v>
      </c>
      <c r="V181" s="28">
        <f ca="1">SUMPRODUCT(dFactor,tpSurvInMx,INDEX(tEIdxElec,18)*INDEX(elecInMx,stdCSL+1,6)*allOnes,OFFSET(tPrcElec,0,17,1,_maxLT))</f>
        <v>34132.763779076762</v>
      </c>
      <c r="W181" s="28">
        <f ca="1">SUMPRODUCT(dFactor,tpSurvInMx,INDEX(tEIdxElec,19)*INDEX(elecInMx,stdCSL+1,6)*allOnes,OFFSET(tPrcElec,0,18,1,_maxLT))</f>
        <v>34271.429267967877</v>
      </c>
      <c r="X181" s="28">
        <f ca="1">SUMPRODUCT(dFactor,tpSurvInMx,INDEX(tEIdxElec,20)*INDEX(elecInMx,stdCSL+1,6)*allOnes,OFFSET(tPrcElec,0,19,1,_maxLT))</f>
        <v>34393.914883693877</v>
      </c>
      <c r="Y181" s="28">
        <f ca="1">SUMPRODUCT(dFactor,tpSurvInMx,INDEX(tEIdxElec,21)*INDEX(elecInMx,stdCSL+1,6)*allOnes,OFFSET(tPrcElec,0,20,1,_maxLT))</f>
        <v>34527.751440322885</v>
      </c>
      <c r="Z181" s="28">
        <f ca="1">SUMPRODUCT(dFactor,tpSurvInMx,INDEX(tEIdxElec,22)*INDEX(elecInMx,stdCSL+1,6)*allOnes,OFFSET(tPrcElec,0,21,1,_maxLT))</f>
        <v>34673.778283519445</v>
      </c>
      <c r="AA181" s="28">
        <f ca="1">SUMPRODUCT(dFactor,tpSurvInMx,INDEX(tEIdxElec,23)*INDEX(elecInMx,stdCSL+1,6)*allOnes,OFFSET(tPrcElec,0,22,1,_maxLT))</f>
        <v>34804.156191535403</v>
      </c>
      <c r="AB181" s="28">
        <f ca="1">SUMPRODUCT(dFactor,tpSurvInMx,INDEX(tEIdxElec,24)*INDEX(elecInMx,stdCSL+1,6)*allOnes,OFFSET(tPrcElec,0,23,1,_maxLT))</f>
        <v>34946.418117161666</v>
      </c>
      <c r="AC181" s="28">
        <f ca="1">SUMPRODUCT(dFactor,tpSurvInMx,INDEX(tEIdxElec,25)*INDEX(elecInMx,stdCSL+1,6)*allOnes,OFFSET(tPrcElec,0,24,1,_maxLT))</f>
        <v>35072.822373814364</v>
      </c>
      <c r="AD181" s="28">
        <f ca="1">SUMPRODUCT(dFactor,tpSurvInMx,INDEX(tEIdxElec,26)*INDEX(elecInMx,stdCSL+1,6)*allOnes,OFFSET(tPrcElec,0,25,1,_maxLT))</f>
        <v>35210.822455822927</v>
      </c>
      <c r="AE181" s="28">
        <f ca="1">SUMPRODUCT(dFactor,tpSurvInMx,INDEX(tEIdxElec,27)*INDEX(elecInMx,stdCSL+1,6)*allOnes,OFFSET(tPrcElec,0,26,1,_maxLT))</f>
        <v>35361.35229969777</v>
      </c>
      <c r="AF181" s="28">
        <f ca="1">SUMPRODUCT(dFactor,tpSurvInMx,INDEX(tEIdxElec,28)*INDEX(elecInMx,stdCSL+1,6)*allOnes,OFFSET(tPrcElec,0,27,1,_maxLT))</f>
        <v>35496.574578519547</v>
      </c>
      <c r="AG181" s="28">
        <f ca="1">SUMPRODUCT(dFactor,tpSurvInMx,INDEX(tEIdxElec,29)*INDEX(elecInMx,stdCSL+1,6)*allOnes,OFFSET(tPrcElec,0,28,1,_maxLT))</f>
        <v>35644.173431873256</v>
      </c>
      <c r="AH181" s="28">
        <f ca="1">SUMPRODUCT(dFactor,tpSurvInMx,INDEX(tEIdxElec,30)*INDEX(elecInMx,stdCSL+1,6)*allOnes,OFFSET(tPrcElec,0,29,1,_maxLT))</f>
        <v>35776.305003372217</v>
      </c>
      <c r="AI181" s="28">
        <f ca="1">SUMPRODUCT(dFactor,tpSurvInMx,INDEX(tEIdxElec,31)*INDEX(elecInMx,stdCSL+1,6)*allOnes,OFFSET(tPrcElec,0,30,1,_maxLT))</f>
        <v>35920.558033402536</v>
      </c>
      <c r="AJ181" s="28">
        <f ca="1">SUMPRODUCT(dFactor,tpSurvInMx,INDEX(tEIdxElec,32)*INDEX(elecInMx,stdCSL+1,6)*allOnes,OFFSET(tPrcElec,0,31,1,_maxLT))</f>
        <v>36049.139379789085</v>
      </c>
      <c r="AK181" s="29">
        <f ca="1">SUMPRODUCT(dFactor,tpSurvInMx,INDEX(tEIdxElec,33)*INDEX(elecInMx,stdCSL+1,6)*allOnes,OFFSET(tPrcElec,0,32,1,_maxLT))</f>
        <v>36189.659630960756</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ts2bElec*SUMPRODUCT(tpSurvInMx,INDEX(tEIdxElec,1)*INDEX(elecInMx,stdCSL+1,6)*convFactor)</f>
        <v>6792.9609069402895</v>
      </c>
      <c r="F183" s="22">
        <f ca="1">ts2bElec*SUMPRODUCT(tpSurvInMx,INDEX(tEIdxElec,2)*INDEX(elecInMx,stdCSL+1,6)*convFactor)</f>
        <v>6742.1514778186165</v>
      </c>
      <c r="G183" s="22">
        <f ca="1">ts2bElec*SUMPRODUCT(tpSurvInMx,INDEX(tEIdxElec,3)*INDEX(elecInMx,stdCSL+1,6)*convFactor)</f>
        <v>6690.9401658431952</v>
      </c>
      <c r="H183" s="22">
        <f ca="1">ts2bElec*SUMPRODUCT(tpSurvInMx,INDEX(tEIdxElec,4)*INDEX(elecInMx,stdCSL+1,6)*convFactor)</f>
        <v>6645.9541811758181</v>
      </c>
      <c r="I183" s="22">
        <f ca="1">ts2bElec*SUMPRODUCT(tpSurvInMx,INDEX(tEIdxElec,5)*INDEX(elecInMx,stdCSL+1,6)*convFactor)</f>
        <v>6603.2857534450604</v>
      </c>
      <c r="J183" s="22">
        <f ca="1">ts2bElec*SUMPRODUCT(tpSurvInMx,INDEX(tEIdxElec,6)*INDEX(elecInMx,stdCSL+1,6)*convFactor)</f>
        <v>6566.1179353934504</v>
      </c>
      <c r="K183" s="22">
        <f ca="1">ts2bElec*SUMPRODUCT(tpSurvInMx,INDEX(tEIdxElec,7)*INDEX(elecInMx,stdCSL+1,6)*convFactor)</f>
        <v>6537.281729394449</v>
      </c>
      <c r="L183" s="22">
        <f ca="1">ts2bElec*SUMPRODUCT(tpSurvInMx,INDEX(tEIdxElec,8)*INDEX(elecInMx,stdCSL+1,6)*convFactor)</f>
        <v>6513.3727993530601</v>
      </c>
      <c r="M183" s="22">
        <f ca="1">ts2bElec*SUMPRODUCT(tpSurvInMx,INDEX(tEIdxElec,9)*INDEX(elecInMx,stdCSL+1,6)*convFactor)</f>
        <v>6489.356355744244</v>
      </c>
      <c r="N183" s="22">
        <f ca="1">ts2bElec*SUMPRODUCT(tpSurvInMx,INDEX(tEIdxElec,10)*INDEX(elecInMx,stdCSL+1,6)*convFactor)</f>
        <v>6470.1469646440701</v>
      </c>
      <c r="O183" s="22">
        <f ca="1">ts2bElec*SUMPRODUCT(tpSurvInMx,INDEX(tEIdxElec,11)*INDEX(elecInMx,stdCSL+1,6)*convFactor)</f>
        <v>6456.915349146956</v>
      </c>
      <c r="P183" s="22">
        <f ca="1">ts2bElec*SUMPRODUCT(tpSurvInMx,INDEX(tEIdxElec,12)*INDEX(elecInMx,stdCSL+1,6)*convFactor)</f>
        <v>6447.2332053134787</v>
      </c>
      <c r="Q183" s="22">
        <f ca="1">ts2bElec*SUMPRODUCT(tpSurvInMx,INDEX(tEIdxElec,13)*INDEX(elecInMx,stdCSL+1,6)*convFactor)</f>
        <v>6439.0875613450016</v>
      </c>
      <c r="R183" s="22">
        <f ca="1">ts2bElec*SUMPRODUCT(tpSurvInMx,INDEX(tEIdxElec,14)*INDEX(elecInMx,stdCSL+1,6)*convFactor)</f>
        <v>6433.0806259161373</v>
      </c>
      <c r="S183" s="22">
        <f ca="1">ts2bElec*SUMPRODUCT(tpSurvInMx,INDEX(tEIdxElec,15)*INDEX(elecInMx,stdCSL+1,6)*convFactor)</f>
        <v>6428.5034231570016</v>
      </c>
      <c r="T183" s="22">
        <f ca="1">ts2bElec*SUMPRODUCT(tpSurvInMx,INDEX(tEIdxElec,16)*INDEX(elecInMx,stdCSL+1,6)*convFactor)</f>
        <v>6427.929792760634</v>
      </c>
      <c r="U183" s="22">
        <f ca="1">ts2bElec*SUMPRODUCT(tpSurvInMx,INDEX(tEIdxElec,17)*INDEX(elecInMx,stdCSL+1,6)*convFactor)</f>
        <v>6429.1049208823506</v>
      </c>
      <c r="V183" s="22">
        <f ca="1">ts2bElec*SUMPRODUCT(tpSurvInMx,INDEX(tEIdxElec,18)*INDEX(elecInMx,stdCSL+1,6)*convFactor)</f>
        <v>6430.8312454373909</v>
      </c>
      <c r="W183" s="22">
        <f ca="1">ts2bElec*SUMPRODUCT(tpSurvInMx,INDEX(tEIdxElec,19)*INDEX(elecInMx,stdCSL+1,6)*convFactor)</f>
        <v>6433.3001287304951</v>
      </c>
      <c r="X183" s="22">
        <f ca="1">ts2bElec*SUMPRODUCT(tpSurvInMx,INDEX(tEIdxElec,20)*INDEX(elecInMx,stdCSL+1,6)*convFactor)</f>
        <v>6435.6331969216781</v>
      </c>
      <c r="Y183" s="22">
        <f ca="1">ts2bElec*SUMPRODUCT(tpSurvInMx,INDEX(tEIdxElec,21)*INDEX(elecInMx,stdCSL+1,6)*convFactor)</f>
        <v>6437.5662686588776</v>
      </c>
      <c r="Z183" s="22">
        <f ca="1">ts2bElec*SUMPRODUCT(tpSurvInMx,INDEX(tEIdxElec,22)*INDEX(elecInMx,stdCSL+1,6)*convFactor)</f>
        <v>6438.8617000348613</v>
      </c>
      <c r="AA183" s="22">
        <f ca="1">ts2bElec*SUMPRODUCT(tpSurvInMx,INDEX(tEIdxElec,23)*INDEX(elecInMx,stdCSL+1,6)*convFactor)</f>
        <v>6439.715475544107</v>
      </c>
      <c r="AB183" s="22">
        <f ca="1">ts2bElec*SUMPRODUCT(tpSurvInMx,INDEX(tEIdxElec,24)*INDEX(elecInMx,stdCSL+1,6)*convFactor)</f>
        <v>6439.715475544107</v>
      </c>
      <c r="AC183" s="22">
        <f ca="1">ts2bElec*SUMPRODUCT(tpSurvInMx,INDEX(tEIdxElec,25)*INDEX(elecInMx,stdCSL+1,6)*convFactor)</f>
        <v>6439.715475544107</v>
      </c>
      <c r="AD183" s="22">
        <f ca="1">ts2bElec*SUMPRODUCT(tpSurvInMx,INDEX(tEIdxElec,26)*INDEX(elecInMx,stdCSL+1,6)*convFactor)</f>
        <v>6439.715475544107</v>
      </c>
      <c r="AE183" s="22">
        <f ca="1">ts2bElec*SUMPRODUCT(tpSurvInMx,INDEX(tEIdxElec,27)*INDEX(elecInMx,stdCSL+1,6)*convFactor)</f>
        <v>6439.715475544107</v>
      </c>
      <c r="AF183" s="22">
        <f ca="1">ts2bElec*SUMPRODUCT(tpSurvInMx,INDEX(tEIdxElec,28)*INDEX(elecInMx,stdCSL+1,6)*convFactor)</f>
        <v>6439.715475544107</v>
      </c>
      <c r="AG183" s="22">
        <f ca="1">ts2bElec*SUMPRODUCT(tpSurvInMx,INDEX(tEIdxElec,29)*INDEX(elecInMx,stdCSL+1,6)*convFactor)</f>
        <v>6439.715475544107</v>
      </c>
      <c r="AH183" s="22">
        <f ca="1">ts2bElec*SUMPRODUCT(tpSurvInMx,INDEX(tEIdxElec,30)*INDEX(elecInMx,stdCSL+1,6)*convFactor)</f>
        <v>6439.715475544107</v>
      </c>
      <c r="AI183" s="22">
        <f ca="1">ts2bElec*SUMPRODUCT(tpSurvInMx,INDEX(tEIdxElec,31)*INDEX(elecInMx,stdCSL+1,6)*convFactor)</f>
        <v>6439.715475544107</v>
      </c>
      <c r="AJ183" s="22">
        <f ca="1">ts2bElec*SUMPRODUCT(tpSurvInMx,INDEX(tEIdxElec,32)*INDEX(elecInMx,stdCSL+1,6)*convFactor)</f>
        <v>6439.715475544107</v>
      </c>
      <c r="AK183" s="25">
        <f ca="1">ts2bElec*SUMPRODUCT(tpSurvInMx,INDEX(tEIdxElec,33)*INDEX(elecInMx,stdCSL+1,6)*convFactor)</f>
        <v>6439.715475544107</v>
      </c>
      <c r="AL183" s="3"/>
    </row>
    <row r="184" spans="2:38">
      <c r="B184" s="3"/>
      <c r="C184" s="30" t="str">
        <f>"EL 6: " &amp; INDEX(_doName,5,7)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(1+INDEX(vadInMx,stdCSL+1,7))*INDEX(mspInMx,stdCSL+1,7)*tPIdxAll + INDEX(instInMx,stdCSL+1,7) + SUMPRODUCT(dFactor,tpSurvInMx,INDEX(mrInMx,stdCSL+1,7)*allOnes)</f>
        <v>2713.0914720000001</v>
      </c>
      <c r="F185" s="28">
        <f ca="1"/>
        <v>2713.0914720000001</v>
      </c>
      <c r="G185" s="28">
        <f ca="1"/>
        <v>2713.0914720000001</v>
      </c>
      <c r="H185" s="28">
        <f ca="1"/>
        <v>2713.0914720000001</v>
      </c>
      <c r="I185" s="28">
        <f ca="1"/>
        <v>2713.0914720000001</v>
      </c>
      <c r="J185" s="28">
        <f ca="1"/>
        <v>2713.0914720000001</v>
      </c>
      <c r="K185" s="28">
        <f ca="1"/>
        <v>2713.0914720000001</v>
      </c>
      <c r="L185" s="28">
        <f ca="1"/>
        <v>2713.0914720000001</v>
      </c>
      <c r="M185" s="28">
        <f ca="1"/>
        <v>2713.0914720000001</v>
      </c>
      <c r="N185" s="28">
        <f ca="1"/>
        <v>2713.0914720000001</v>
      </c>
      <c r="O185" s="28">
        <f ca="1"/>
        <v>2713.0914720000001</v>
      </c>
      <c r="P185" s="28">
        <f ca="1"/>
        <v>2713.0914720000001</v>
      </c>
      <c r="Q185" s="28">
        <f ca="1"/>
        <v>2713.0914720000001</v>
      </c>
      <c r="R185" s="28">
        <f ca="1"/>
        <v>2713.0914720000001</v>
      </c>
      <c r="S185" s="28">
        <f ca="1"/>
        <v>2713.0914720000001</v>
      </c>
      <c r="T185" s="28">
        <f ca="1"/>
        <v>2713.0914720000001</v>
      </c>
      <c r="U185" s="28">
        <f ca="1"/>
        <v>2713.0914720000001</v>
      </c>
      <c r="V185" s="28">
        <f ca="1"/>
        <v>2713.0914720000001</v>
      </c>
      <c r="W185" s="28">
        <f ca="1"/>
        <v>2713.0914720000001</v>
      </c>
      <c r="X185" s="28">
        <f ca="1"/>
        <v>2713.0914720000001</v>
      </c>
      <c r="Y185" s="28">
        <f ca="1"/>
        <v>2713.0914720000001</v>
      </c>
      <c r="Z185" s="28">
        <f ca="1"/>
        <v>2713.0914720000001</v>
      </c>
      <c r="AA185" s="28">
        <f ca="1"/>
        <v>2713.0914720000001</v>
      </c>
      <c r="AB185" s="28">
        <f ca="1"/>
        <v>2713.0914720000001</v>
      </c>
      <c r="AC185" s="28">
        <f ca="1"/>
        <v>2713.0914720000001</v>
      </c>
      <c r="AD185" s="28">
        <f ca="1"/>
        <v>2713.0914720000001</v>
      </c>
      <c r="AE185" s="28">
        <f ca="1"/>
        <v>2713.0914720000001</v>
      </c>
      <c r="AF185" s="28">
        <f ca="1"/>
        <v>2713.0914720000001</v>
      </c>
      <c r="AG185" s="28">
        <f ca="1"/>
        <v>2713.0914720000001</v>
      </c>
      <c r="AH185" s="28">
        <f ca="1"/>
        <v>2713.0914720000001</v>
      </c>
      <c r="AI185" s="28">
        <f ca="1"/>
        <v>2713.0914720000001</v>
      </c>
      <c r="AJ185" s="28">
        <f ca="1"/>
        <v>2713.0914720000001</v>
      </c>
      <c r="AK185" s="29">
        <f ca="1"/>
        <v>2713.0914720000001</v>
      </c>
      <c r="AL185" s="3"/>
    </row>
    <row r="186" spans="2:38">
      <c r="B186" s="3"/>
      <c r="C186" s="23" t="s">
        <v>47</v>
      </c>
      <c r="D186" s="16" t="str">
        <f>_yearDol &amp; "$"</f>
        <v>2013$</v>
      </c>
      <c r="E186" s="141">
        <f t="array" aca="1" ref="E186:AK186" ca="1">(tlccEFupolElec6)</f>
        <v>32913.576968420624</v>
      </c>
      <c r="F186" s="28">
        <f ca="1"/>
        <v>33058.589688192049</v>
      </c>
      <c r="G186" s="28">
        <f ca="1"/>
        <v>33186.853306270488</v>
      </c>
      <c r="H186" s="28">
        <f ca="1"/>
        <v>33326.735267170377</v>
      </c>
      <c r="I186" s="28">
        <f ca="1"/>
        <v>33449.541239606086</v>
      </c>
      <c r="J186" s="28">
        <f ca="1"/>
        <v>33583.639431088166</v>
      </c>
      <c r="K186" s="28">
        <f ca="1"/>
        <v>33700.269997894757</v>
      </c>
      <c r="L186" s="28">
        <f ca="1"/>
        <v>33827.754970201015</v>
      </c>
      <c r="M186" s="28">
        <f ca="1"/>
        <v>33966.89661622946</v>
      </c>
      <c r="N186" s="28">
        <f ca="1"/>
        <v>34088.899034939903</v>
      </c>
      <c r="O186" s="28">
        <f ca="1"/>
        <v>34222.231461716816</v>
      </c>
      <c r="P186" s="28">
        <f ca="1"/>
        <v>34367.586848567582</v>
      </c>
      <c r="Q186" s="28">
        <f ca="1"/>
        <v>34496.346697646819</v>
      </c>
      <c r="R186" s="28">
        <f ca="1"/>
        <v>34636.894223842719</v>
      </c>
      <c r="S186" s="28">
        <f ca="1"/>
        <v>34760.459634464583</v>
      </c>
      <c r="T186" s="28">
        <f ca="1"/>
        <v>34895.544983901033</v>
      </c>
      <c r="U186" s="28">
        <f ca="1"/>
        <v>35042.875292879922</v>
      </c>
      <c r="V186" s="28">
        <f ca="1"/>
        <v>35173.82992097563</v>
      </c>
      <c r="W186" s="28">
        <f ca="1"/>
        <v>35316.724775717987</v>
      </c>
      <c r="X186" s="28">
        <f ca="1"/>
        <v>35442.946263177895</v>
      </c>
      <c r="Y186" s="28">
        <f ca="1"/>
        <v>35580.864900840716</v>
      </c>
      <c r="Z186" s="28">
        <f ca="1"/>
        <v>35731.345634828074</v>
      </c>
      <c r="AA186" s="28">
        <f ca="1"/>
        <v>35865.700133388113</v>
      </c>
      <c r="AB186" s="28">
        <f ca="1"/>
        <v>36012.301117961062</v>
      </c>
      <c r="AC186" s="28">
        <f ca="1"/>
        <v>36142.560766830029</v>
      </c>
      <c r="AD186" s="28">
        <f ca="1"/>
        <v>36284.76991945145</v>
      </c>
      <c r="AE186" s="28">
        <f ca="1"/>
        <v>36439.890997860297</v>
      </c>
      <c r="AF186" s="28">
        <f ca="1"/>
        <v>36579.237622926703</v>
      </c>
      <c r="AG186" s="28">
        <f ca="1"/>
        <v>36731.338314156863</v>
      </c>
      <c r="AH186" s="28">
        <f ca="1"/>
        <v>36867.499963801696</v>
      </c>
      <c r="AI186" s="28">
        <f ca="1"/>
        <v>37016.152782445788</v>
      </c>
      <c r="AJ186" s="28">
        <f ca="1"/>
        <v>37148.655923360013</v>
      </c>
      <c r="AK186" s="29">
        <f ca="1"/>
        <v>37293.46211154788</v>
      </c>
      <c r="AL186" s="3"/>
    </row>
    <row r="187" spans="2:38">
      <c r="B187" s="3"/>
      <c r="C187" s="27" t="str">
        <f>INDEX(_fuel,1)</f>
        <v>Electricity</v>
      </c>
      <c r="D187" s="16" t="str">
        <f>_yearDol &amp; "$"</f>
        <v>2013$</v>
      </c>
      <c r="E187" s="141">
        <f ca="1">SUMPRODUCT(dFactor,tpSurvInMx,INDEX(tEIdxElec,1)*INDEX(elecInMx,stdCSL+1,7)*allOnes,OFFSET(tPrcElec,0,0,1,_maxLT))</f>
        <v>32913.576968420624</v>
      </c>
      <c r="F187" s="28">
        <f ca="1">SUMPRODUCT(dFactor,tpSurvInMx,INDEX(tEIdxElec,2)*INDEX(elecInMx,stdCSL+1,7)*allOnes,OFFSET(tPrcElec,0,1,1,_maxLT))</f>
        <v>33058.589688192049</v>
      </c>
      <c r="G187" s="28">
        <f ca="1">SUMPRODUCT(dFactor,tpSurvInMx,INDEX(tEIdxElec,3)*INDEX(elecInMx,stdCSL+1,7)*allOnes,OFFSET(tPrcElec,0,2,1,_maxLT))</f>
        <v>33186.853306270488</v>
      </c>
      <c r="H187" s="28">
        <f ca="1">SUMPRODUCT(dFactor,tpSurvInMx,INDEX(tEIdxElec,4)*INDEX(elecInMx,stdCSL+1,7)*allOnes,OFFSET(tPrcElec,0,3,1,_maxLT))</f>
        <v>33326.735267170377</v>
      </c>
      <c r="I187" s="28">
        <f ca="1">SUMPRODUCT(dFactor,tpSurvInMx,INDEX(tEIdxElec,5)*INDEX(elecInMx,stdCSL+1,7)*allOnes,OFFSET(tPrcElec,0,4,1,_maxLT))</f>
        <v>33449.541239606086</v>
      </c>
      <c r="J187" s="28">
        <f ca="1">SUMPRODUCT(dFactor,tpSurvInMx,INDEX(tEIdxElec,6)*INDEX(elecInMx,stdCSL+1,7)*allOnes,OFFSET(tPrcElec,0,5,1,_maxLT))</f>
        <v>33583.639431088166</v>
      </c>
      <c r="K187" s="28">
        <f ca="1">SUMPRODUCT(dFactor,tpSurvInMx,INDEX(tEIdxElec,7)*INDEX(elecInMx,stdCSL+1,7)*allOnes,OFFSET(tPrcElec,0,6,1,_maxLT))</f>
        <v>33700.269997894757</v>
      </c>
      <c r="L187" s="28">
        <f ca="1">SUMPRODUCT(dFactor,tpSurvInMx,INDEX(tEIdxElec,8)*INDEX(elecInMx,stdCSL+1,7)*allOnes,OFFSET(tPrcElec,0,7,1,_maxLT))</f>
        <v>33827.754970201015</v>
      </c>
      <c r="M187" s="28">
        <f ca="1">SUMPRODUCT(dFactor,tpSurvInMx,INDEX(tEIdxElec,9)*INDEX(elecInMx,stdCSL+1,7)*allOnes,OFFSET(tPrcElec,0,8,1,_maxLT))</f>
        <v>33966.89661622946</v>
      </c>
      <c r="N187" s="28">
        <f ca="1">SUMPRODUCT(dFactor,tpSurvInMx,INDEX(tEIdxElec,10)*INDEX(elecInMx,stdCSL+1,7)*allOnes,OFFSET(tPrcElec,0,9,1,_maxLT))</f>
        <v>34088.899034939903</v>
      </c>
      <c r="O187" s="28">
        <f ca="1">SUMPRODUCT(dFactor,tpSurvInMx,INDEX(tEIdxElec,11)*INDEX(elecInMx,stdCSL+1,7)*allOnes,OFFSET(tPrcElec,0,10,1,_maxLT))</f>
        <v>34222.231461716816</v>
      </c>
      <c r="P187" s="28">
        <f ca="1">SUMPRODUCT(dFactor,tpSurvInMx,INDEX(tEIdxElec,12)*INDEX(elecInMx,stdCSL+1,7)*allOnes,OFFSET(tPrcElec,0,11,1,_maxLT))</f>
        <v>34367.586848567582</v>
      </c>
      <c r="Q187" s="28">
        <f ca="1">SUMPRODUCT(dFactor,tpSurvInMx,INDEX(tEIdxElec,13)*INDEX(elecInMx,stdCSL+1,7)*allOnes,OFFSET(tPrcElec,0,12,1,_maxLT))</f>
        <v>34496.346697646819</v>
      </c>
      <c r="R187" s="28">
        <f ca="1">SUMPRODUCT(dFactor,tpSurvInMx,INDEX(tEIdxElec,14)*INDEX(elecInMx,stdCSL+1,7)*allOnes,OFFSET(tPrcElec,0,13,1,_maxLT))</f>
        <v>34636.894223842719</v>
      </c>
      <c r="S187" s="28">
        <f ca="1">SUMPRODUCT(dFactor,tpSurvInMx,INDEX(tEIdxElec,15)*INDEX(elecInMx,stdCSL+1,7)*allOnes,OFFSET(tPrcElec,0,14,1,_maxLT))</f>
        <v>34760.459634464583</v>
      </c>
      <c r="T187" s="28">
        <f ca="1">SUMPRODUCT(dFactor,tpSurvInMx,INDEX(tEIdxElec,16)*INDEX(elecInMx,stdCSL+1,7)*allOnes,OFFSET(tPrcElec,0,15,1,_maxLT))</f>
        <v>34895.544983901033</v>
      </c>
      <c r="U187" s="28">
        <f ca="1">SUMPRODUCT(dFactor,tpSurvInMx,INDEX(tEIdxElec,17)*INDEX(elecInMx,stdCSL+1,7)*allOnes,OFFSET(tPrcElec,0,16,1,_maxLT))</f>
        <v>35042.875292879922</v>
      </c>
      <c r="V187" s="28">
        <f ca="1">SUMPRODUCT(dFactor,tpSurvInMx,INDEX(tEIdxElec,18)*INDEX(elecInMx,stdCSL+1,7)*allOnes,OFFSET(tPrcElec,0,17,1,_maxLT))</f>
        <v>35173.82992097563</v>
      </c>
      <c r="W187" s="28">
        <f ca="1">SUMPRODUCT(dFactor,tpSurvInMx,INDEX(tEIdxElec,19)*INDEX(elecInMx,stdCSL+1,7)*allOnes,OFFSET(tPrcElec,0,18,1,_maxLT))</f>
        <v>35316.724775717987</v>
      </c>
      <c r="X187" s="28">
        <f ca="1">SUMPRODUCT(dFactor,tpSurvInMx,INDEX(tEIdxElec,20)*INDEX(elecInMx,stdCSL+1,7)*allOnes,OFFSET(tPrcElec,0,19,1,_maxLT))</f>
        <v>35442.946263177895</v>
      </c>
      <c r="Y187" s="28">
        <f ca="1">SUMPRODUCT(dFactor,tpSurvInMx,INDEX(tEIdxElec,21)*INDEX(elecInMx,stdCSL+1,7)*allOnes,OFFSET(tPrcElec,0,20,1,_maxLT))</f>
        <v>35580.864900840716</v>
      </c>
      <c r="Z187" s="28">
        <f ca="1">SUMPRODUCT(dFactor,tpSurvInMx,INDEX(tEIdxElec,22)*INDEX(elecInMx,stdCSL+1,7)*allOnes,OFFSET(tPrcElec,0,21,1,_maxLT))</f>
        <v>35731.345634828074</v>
      </c>
      <c r="AA187" s="28">
        <f ca="1">SUMPRODUCT(dFactor,tpSurvInMx,INDEX(tEIdxElec,23)*INDEX(elecInMx,stdCSL+1,7)*allOnes,OFFSET(tPrcElec,0,22,1,_maxLT))</f>
        <v>35865.700133388113</v>
      </c>
      <c r="AB187" s="28">
        <f ca="1">SUMPRODUCT(dFactor,tpSurvInMx,INDEX(tEIdxElec,24)*INDEX(elecInMx,stdCSL+1,7)*allOnes,OFFSET(tPrcElec,0,23,1,_maxLT))</f>
        <v>36012.301117961062</v>
      </c>
      <c r="AC187" s="28">
        <f ca="1">SUMPRODUCT(dFactor,tpSurvInMx,INDEX(tEIdxElec,25)*INDEX(elecInMx,stdCSL+1,7)*allOnes,OFFSET(tPrcElec,0,24,1,_maxLT))</f>
        <v>36142.560766830029</v>
      </c>
      <c r="AD187" s="28">
        <f ca="1">SUMPRODUCT(dFactor,tpSurvInMx,INDEX(tEIdxElec,26)*INDEX(elecInMx,stdCSL+1,7)*allOnes,OFFSET(tPrcElec,0,25,1,_maxLT))</f>
        <v>36284.76991945145</v>
      </c>
      <c r="AE187" s="28">
        <f ca="1">SUMPRODUCT(dFactor,tpSurvInMx,INDEX(tEIdxElec,27)*INDEX(elecInMx,stdCSL+1,7)*allOnes,OFFSET(tPrcElec,0,26,1,_maxLT))</f>
        <v>36439.890997860297</v>
      </c>
      <c r="AF187" s="28">
        <f ca="1">SUMPRODUCT(dFactor,tpSurvInMx,INDEX(tEIdxElec,28)*INDEX(elecInMx,stdCSL+1,7)*allOnes,OFFSET(tPrcElec,0,27,1,_maxLT))</f>
        <v>36579.237622926703</v>
      </c>
      <c r="AG187" s="28">
        <f ca="1">SUMPRODUCT(dFactor,tpSurvInMx,INDEX(tEIdxElec,29)*INDEX(elecInMx,stdCSL+1,7)*allOnes,OFFSET(tPrcElec,0,28,1,_maxLT))</f>
        <v>36731.338314156863</v>
      </c>
      <c r="AH187" s="28">
        <f ca="1">SUMPRODUCT(dFactor,tpSurvInMx,INDEX(tEIdxElec,30)*INDEX(elecInMx,stdCSL+1,7)*allOnes,OFFSET(tPrcElec,0,29,1,_maxLT))</f>
        <v>36867.499963801696</v>
      </c>
      <c r="AI187" s="28">
        <f ca="1">SUMPRODUCT(dFactor,tpSurvInMx,INDEX(tEIdxElec,31)*INDEX(elecInMx,stdCSL+1,7)*allOnes,OFFSET(tPrcElec,0,30,1,_maxLT))</f>
        <v>37016.152782445788</v>
      </c>
      <c r="AJ187" s="28">
        <f ca="1">SUMPRODUCT(dFactor,tpSurvInMx,INDEX(tEIdxElec,32)*INDEX(elecInMx,stdCSL+1,7)*allOnes,OFFSET(tPrcElec,0,31,1,_maxLT))</f>
        <v>37148.655923360013</v>
      </c>
      <c r="AK187" s="29">
        <f ca="1">SUMPRODUCT(dFactor,tpSurvInMx,INDEX(tEIdxElec,33)*INDEX(elecInMx,stdCSL+1,7)*allOnes,OFFSET(tPrcElec,0,32,1,_maxLT))</f>
        <v>37293.46211154788</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ts2bElec*SUMPRODUCT(tpSurvInMx,INDEX(tEIdxElec,1)*INDEX(elecInMx,stdCSL+1,7)*convFactor)</f>
        <v>7000.1495673497184</v>
      </c>
      <c r="F189" s="24">
        <f ca="1">ts2bElec*SUMPRODUCT(tpSurvInMx,INDEX(tEIdxElec,2)*INDEX(elecInMx,stdCSL+1,7)*convFactor)</f>
        <v>6947.7904255622288</v>
      </c>
      <c r="G189" s="24">
        <f ca="1">ts2bElec*SUMPRODUCT(tpSurvInMx,INDEX(tEIdxElec,3)*INDEX(elecInMx,stdCSL+1,7)*convFactor)</f>
        <v>6895.0171432955958</v>
      </c>
      <c r="H189" s="24">
        <f ca="1">ts2bElec*SUMPRODUCT(tpSurvInMx,INDEX(tEIdxElec,4)*INDEX(elecInMx,stdCSL+1,7)*convFactor)</f>
        <v>6848.6590638924881</v>
      </c>
      <c r="I189" s="24">
        <f ca="1">ts2bElec*SUMPRODUCT(tpSurvInMx,INDEX(tEIdxElec,5)*INDEX(elecInMx,stdCSL+1,7)*convFactor)</f>
        <v>6804.6892280564252</v>
      </c>
      <c r="J189" s="24">
        <f ca="1">ts2bElec*SUMPRODUCT(tpSurvInMx,INDEX(tEIdxElec,6)*INDEX(elecInMx,stdCSL+1,7)*convFactor)</f>
        <v>6766.387773209618</v>
      </c>
      <c r="K189" s="24">
        <f ca="1">ts2bElec*SUMPRODUCT(tpSurvInMx,INDEX(tEIdxElec,7)*INDEX(elecInMx,stdCSL+1,7)*convFactor)</f>
        <v>6736.672048695189</v>
      </c>
      <c r="L189" s="24">
        <f ca="1">ts2bElec*SUMPRODUCT(tpSurvInMx,INDEX(tEIdxElec,8)*INDEX(elecInMx,stdCSL+1,7)*convFactor)</f>
        <v>6712.0338844869993</v>
      </c>
      <c r="M189" s="24">
        <f ca="1">ts2bElec*SUMPRODUCT(tpSurvInMx,INDEX(tEIdxElec,9)*INDEX(elecInMx,stdCSL+1,7)*convFactor)</f>
        <v>6687.2849274945065</v>
      </c>
      <c r="N189" s="24">
        <f ca="1">ts2bElec*SUMPRODUCT(tpSurvInMx,INDEX(tEIdxElec,10)*INDEX(elecInMx,stdCSL+1,7)*convFactor)</f>
        <v>6667.4896404847505</v>
      </c>
      <c r="O189" s="24">
        <f ca="1">ts2bElec*SUMPRODUCT(tpSurvInMx,INDEX(tEIdxElec,11)*INDEX(elecInMx,stdCSL+1,7)*convFactor)</f>
        <v>6653.8544541843521</v>
      </c>
      <c r="P189" s="24">
        <f ca="1">ts2bElec*SUMPRODUCT(tpSurvInMx,INDEX(tEIdxElec,12)*INDEX(elecInMx,stdCSL+1,7)*convFactor)</f>
        <v>6643.8770001852154</v>
      </c>
      <c r="Q189" s="24">
        <f ca="1">ts2bElec*SUMPRODUCT(tpSurvInMx,INDEX(tEIdxElec,13)*INDEX(elecInMx,stdCSL+1,7)*convFactor)</f>
        <v>6635.4829100553188</v>
      </c>
      <c r="R189" s="24">
        <f ca="1">ts2bElec*SUMPRODUCT(tpSurvInMx,INDEX(tEIdxElec,14)*INDEX(elecInMx,stdCSL+1,7)*convFactor)</f>
        <v>6629.2927601310794</v>
      </c>
      <c r="S189" s="24">
        <f ca="1">ts2bElec*SUMPRODUCT(tpSurvInMx,INDEX(tEIdxElec,15)*INDEX(elecInMx,stdCSL+1,7)*convFactor)</f>
        <v>6624.5759504286561</v>
      </c>
      <c r="T189" s="24">
        <f ca="1">ts2bElec*SUMPRODUCT(tpSurvInMx,INDEX(tEIdxElec,16)*INDEX(elecInMx,stdCSL+1,7)*convFactor)</f>
        <v>6623.9848240220772</v>
      </c>
      <c r="U189" s="24">
        <f ca="1">ts2bElec*SUMPRODUCT(tpSurvInMx,INDEX(tEIdxElec,17)*INDEX(elecInMx,stdCSL+1,7)*convFactor)</f>
        <v>6625.1957941315059</v>
      </c>
      <c r="V189" s="24">
        <f ca="1">ts2bElec*SUMPRODUCT(tpSurvInMx,INDEX(tEIdxElec,18)*INDEX(elecInMx,stdCSL+1,7)*convFactor)</f>
        <v>6626.974772437522</v>
      </c>
      <c r="W189" s="24">
        <f ca="1">ts2bElec*SUMPRODUCT(tpSurvInMx,INDEX(tEIdxElec,19)*INDEX(elecInMx,stdCSL+1,7)*convFactor)</f>
        <v>6629.5189578896134</v>
      </c>
      <c r="X189" s="24">
        <f ca="1">ts2bElec*SUMPRODUCT(tpSurvInMx,INDEX(tEIdxElec,20)*INDEX(elecInMx,stdCSL+1,7)*convFactor)</f>
        <v>6631.9231858121411</v>
      </c>
      <c r="Y189" s="24">
        <f ca="1">ts2bElec*SUMPRODUCT(tpSurvInMx,INDEX(tEIdxElec,21)*INDEX(elecInMx,stdCSL+1,7)*convFactor)</f>
        <v>6633.9152171914156</v>
      </c>
      <c r="Z189" s="24">
        <f ca="1">ts2bElec*SUMPRODUCT(tpSurvInMx,INDEX(tEIdxElec,22)*INDEX(elecInMx,stdCSL+1,7)*convFactor)</f>
        <v>6635.2501598637436</v>
      </c>
      <c r="AA189" s="24">
        <f ca="1">ts2bElec*SUMPRODUCT(tpSurvInMx,INDEX(tEIdxElec,23)*INDEX(elecInMx,stdCSL+1,7)*convFactor)</f>
        <v>6636.1299759474123</v>
      </c>
      <c r="AB189" s="24">
        <f ca="1">ts2bElec*SUMPRODUCT(tpSurvInMx,INDEX(tEIdxElec,24)*INDEX(elecInMx,stdCSL+1,7)*convFactor)</f>
        <v>6636.1299759474123</v>
      </c>
      <c r="AC189" s="24">
        <f ca="1">ts2bElec*SUMPRODUCT(tpSurvInMx,INDEX(tEIdxElec,25)*INDEX(elecInMx,stdCSL+1,7)*convFactor)</f>
        <v>6636.1299759474123</v>
      </c>
      <c r="AD189" s="24">
        <f ca="1">ts2bElec*SUMPRODUCT(tpSurvInMx,INDEX(tEIdxElec,26)*INDEX(elecInMx,stdCSL+1,7)*convFactor)</f>
        <v>6636.1299759474123</v>
      </c>
      <c r="AE189" s="24">
        <f ca="1">ts2bElec*SUMPRODUCT(tpSurvInMx,INDEX(tEIdxElec,27)*INDEX(elecInMx,stdCSL+1,7)*convFactor)</f>
        <v>6636.1299759474123</v>
      </c>
      <c r="AF189" s="24">
        <f ca="1">ts2bElec*SUMPRODUCT(tpSurvInMx,INDEX(tEIdxElec,28)*INDEX(elecInMx,stdCSL+1,7)*convFactor)</f>
        <v>6636.1299759474123</v>
      </c>
      <c r="AG189" s="24">
        <f ca="1">ts2bElec*SUMPRODUCT(tpSurvInMx,INDEX(tEIdxElec,29)*INDEX(elecInMx,stdCSL+1,7)*convFactor)</f>
        <v>6636.1299759474123</v>
      </c>
      <c r="AH189" s="24">
        <f ca="1">ts2bElec*SUMPRODUCT(tpSurvInMx,INDEX(tEIdxElec,30)*INDEX(elecInMx,stdCSL+1,7)*convFactor)</f>
        <v>6636.1299759474123</v>
      </c>
      <c r="AI189" s="24">
        <f ca="1">ts2bElec*SUMPRODUCT(tpSurvInMx,INDEX(tEIdxElec,31)*INDEX(elecInMx,stdCSL+1,7)*convFactor)</f>
        <v>6636.1299759474123</v>
      </c>
      <c r="AJ189" s="24">
        <f ca="1">ts2bElec*SUMPRODUCT(tpSurvInMx,INDEX(tEIdxElec,32)*INDEX(elecInMx,stdCSL+1,7)*convFactor)</f>
        <v>6636.1299759474123</v>
      </c>
      <c r="AK189" s="26">
        <f ca="1">ts2bElec*SUMPRODUCT(tpSurvInMx,INDEX(tEIdxElec,33)*INDEX(elecInMx,stdCSL+1,7)*convFactor)</f>
        <v>6636.1299759474123</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2001" priority="1" stopIfTrue="1">
      <formula>LEN(TRIM(E106))=0</formula>
    </cfRule>
    <cfRule type="notContainsBlanks" dxfId="2000" priority="2" stopIfTrue="1">
      <formula>LEN(TRIM(E106))&gt;0</formula>
    </cfRule>
  </conditionalFormatting>
  <conditionalFormatting sqref="E107:AK107">
    <cfRule type="containsBlanks" dxfId="1999" priority="3" stopIfTrue="1">
      <formula>LEN(TRIM(E107))=0</formula>
    </cfRule>
    <cfRule type="notContainsBlanks" dxfId="1998" priority="4" stopIfTrue="1">
      <formula>LEN(TRIM(E107))&gt;0</formula>
    </cfRule>
  </conditionalFormatting>
  <conditionalFormatting sqref="E108:AK108">
    <cfRule type="containsBlanks" dxfId="1997" priority="5" stopIfTrue="1">
      <formula>LEN(TRIM(E108))=0</formula>
    </cfRule>
    <cfRule type="notContainsBlanks" dxfId="1996" priority="6" stopIfTrue="1">
      <formula>LEN(TRIM(E108))&gt;0</formula>
    </cfRule>
  </conditionalFormatting>
  <conditionalFormatting sqref="E110:AK110">
    <cfRule type="containsBlanks" dxfId="1995" priority="7" stopIfTrue="1">
      <formula>LEN(TRIM(E110))=0</formula>
    </cfRule>
    <cfRule type="notContainsBlanks" dxfId="1994" priority="8" stopIfTrue="1">
      <formula>LEN(TRIM(E110))&gt;0</formula>
    </cfRule>
  </conditionalFormatting>
  <conditionalFormatting sqref="E112:AK112">
    <cfRule type="containsBlanks" dxfId="1993" priority="9" stopIfTrue="1">
      <formula>LEN(TRIM(E112))=0</formula>
    </cfRule>
    <cfRule type="notContainsBlanks" dxfId="1992" priority="10" stopIfTrue="1">
      <formula>LEN(TRIM(E112))&gt;0</formula>
    </cfRule>
  </conditionalFormatting>
  <conditionalFormatting sqref="E113:AK113">
    <cfRule type="containsBlanks" dxfId="1991" priority="11" stopIfTrue="1">
      <formula>LEN(TRIM(E113))=0</formula>
    </cfRule>
    <cfRule type="notContainsBlanks" dxfId="1990" priority="12" stopIfTrue="1">
      <formula>LEN(TRIM(E113))&gt;0</formula>
    </cfRule>
  </conditionalFormatting>
  <conditionalFormatting sqref="E114:AK114">
    <cfRule type="containsBlanks" dxfId="1989" priority="13" stopIfTrue="1">
      <formula>LEN(TRIM(E114))=0</formula>
    </cfRule>
    <cfRule type="notContainsBlanks" dxfId="1988" priority="14" stopIfTrue="1">
      <formula>LEN(TRIM(E114))&gt;0</formula>
    </cfRule>
  </conditionalFormatting>
  <conditionalFormatting sqref="E116:AK116">
    <cfRule type="containsBlanks" dxfId="1987" priority="15" stopIfTrue="1">
      <formula>LEN(TRIM(E116))=0</formula>
    </cfRule>
    <cfRule type="notContainsBlanks" dxfId="1986" priority="16" stopIfTrue="1">
      <formula>LEN(TRIM(E116))&gt;0</formula>
    </cfRule>
  </conditionalFormatting>
  <conditionalFormatting sqref="E118:AK118">
    <cfRule type="containsBlanks" dxfId="1985" priority="17" stopIfTrue="1">
      <formula>LEN(TRIM(E118))=0</formula>
    </cfRule>
    <cfRule type="notContainsBlanks" dxfId="1984" priority="18" stopIfTrue="1">
      <formula>LEN(TRIM(E118))&gt;0</formula>
    </cfRule>
  </conditionalFormatting>
  <conditionalFormatting sqref="E119:AK119">
    <cfRule type="containsBlanks" dxfId="1983" priority="19" stopIfTrue="1">
      <formula>LEN(TRIM(E119))=0</formula>
    </cfRule>
    <cfRule type="notContainsBlanks" dxfId="1982" priority="20" stopIfTrue="1">
      <formula>LEN(TRIM(E119))&gt;0</formula>
    </cfRule>
  </conditionalFormatting>
  <conditionalFormatting sqref="E120:AK120">
    <cfRule type="containsBlanks" dxfId="1981" priority="21" stopIfTrue="1">
      <formula>LEN(TRIM(E120))=0</formula>
    </cfRule>
    <cfRule type="notContainsBlanks" dxfId="1980" priority="22" stopIfTrue="1">
      <formula>LEN(TRIM(E120))&gt;0</formula>
    </cfRule>
  </conditionalFormatting>
  <conditionalFormatting sqref="E122:AK122">
    <cfRule type="containsBlanks" dxfId="1979" priority="23" stopIfTrue="1">
      <formula>LEN(TRIM(E122))=0</formula>
    </cfRule>
    <cfRule type="notContainsBlanks" dxfId="1978" priority="24" stopIfTrue="1">
      <formula>LEN(TRIM(E122))&gt;0</formula>
    </cfRule>
  </conditionalFormatting>
  <conditionalFormatting sqref="E124:AK124">
    <cfRule type="containsBlanks" dxfId="1977" priority="25" stopIfTrue="1">
      <formula>LEN(TRIM(E124))=0</formula>
    </cfRule>
    <cfRule type="notContainsBlanks" dxfId="1976" priority="26" stopIfTrue="1">
      <formula>LEN(TRIM(E124))&gt;0</formula>
    </cfRule>
  </conditionalFormatting>
  <conditionalFormatting sqref="E125:AK125">
    <cfRule type="containsBlanks" dxfId="1975" priority="27" stopIfTrue="1">
      <formula>LEN(TRIM(E125))=0</formula>
    </cfRule>
    <cfRule type="notContainsBlanks" dxfId="1974" priority="28" stopIfTrue="1">
      <formula>LEN(TRIM(E125))&gt;0</formula>
    </cfRule>
  </conditionalFormatting>
  <conditionalFormatting sqref="E126:AK126">
    <cfRule type="containsBlanks" dxfId="1973" priority="29" stopIfTrue="1">
      <formula>LEN(TRIM(E126))=0</formula>
    </cfRule>
    <cfRule type="notContainsBlanks" dxfId="1972" priority="30" stopIfTrue="1">
      <formula>LEN(TRIM(E126))&gt;0</formula>
    </cfRule>
  </conditionalFormatting>
  <conditionalFormatting sqref="E128:AK128">
    <cfRule type="containsBlanks" dxfId="1971" priority="31" stopIfTrue="1">
      <formula>LEN(TRIM(E128))=0</formula>
    </cfRule>
    <cfRule type="notContainsBlanks" dxfId="1970" priority="32" stopIfTrue="1">
      <formula>LEN(TRIM(E128))&gt;0</formula>
    </cfRule>
  </conditionalFormatting>
  <conditionalFormatting sqref="E130:AK130">
    <cfRule type="containsBlanks" dxfId="1969" priority="33" stopIfTrue="1">
      <formula>LEN(TRIM(E130))=0</formula>
    </cfRule>
    <cfRule type="notContainsBlanks" dxfId="1968" priority="34" stopIfTrue="1">
      <formula>LEN(TRIM(E130))&gt;0</formula>
    </cfRule>
  </conditionalFormatting>
  <conditionalFormatting sqref="E131:AK131">
    <cfRule type="containsBlanks" dxfId="1967" priority="35" stopIfTrue="1">
      <formula>LEN(TRIM(E131))=0</formula>
    </cfRule>
    <cfRule type="notContainsBlanks" dxfId="1966" priority="36" stopIfTrue="1">
      <formula>LEN(TRIM(E131))&gt;0</formula>
    </cfRule>
  </conditionalFormatting>
  <conditionalFormatting sqref="E132:AK132">
    <cfRule type="containsBlanks" dxfId="1965" priority="37" stopIfTrue="1">
      <formula>LEN(TRIM(E132))=0</formula>
    </cfRule>
    <cfRule type="notContainsBlanks" dxfId="1964" priority="38" stopIfTrue="1">
      <formula>LEN(TRIM(E132))&gt;0</formula>
    </cfRule>
  </conditionalFormatting>
  <conditionalFormatting sqref="E134:AK134">
    <cfRule type="containsBlanks" dxfId="1963" priority="39" stopIfTrue="1">
      <formula>LEN(TRIM(E134))=0</formula>
    </cfRule>
    <cfRule type="notContainsBlanks" dxfId="1962" priority="40" stopIfTrue="1">
      <formula>LEN(TRIM(E134))&gt;0</formula>
    </cfRule>
  </conditionalFormatting>
  <conditionalFormatting sqref="E136:AK136">
    <cfRule type="containsBlanks" dxfId="1961" priority="41" stopIfTrue="1">
      <formula>LEN(TRIM(E136))=0</formula>
    </cfRule>
  </conditionalFormatting>
  <conditionalFormatting sqref="E136:AK136">
    <cfRule type="notContainsBlanks" dxfId="1960" priority="42" stopIfTrue="1">
      <formula>LEN(TRIM(E136))&gt;0</formula>
    </cfRule>
  </conditionalFormatting>
  <conditionalFormatting sqref="E137:AK137">
    <cfRule type="containsBlanks" dxfId="1959" priority="43" stopIfTrue="1">
      <formula>LEN(TRIM(E137))=0</formula>
    </cfRule>
  </conditionalFormatting>
  <conditionalFormatting sqref="E137:AK137">
    <cfRule type="notContainsBlanks" dxfId="1958" priority="44" stopIfTrue="1">
      <formula>LEN(TRIM(E137))&gt;0</formula>
    </cfRule>
  </conditionalFormatting>
  <conditionalFormatting sqref="E138:AK138">
    <cfRule type="containsBlanks" dxfId="1957" priority="45" stopIfTrue="1">
      <formula>LEN(TRIM(E138))=0</formula>
    </cfRule>
  </conditionalFormatting>
  <conditionalFormatting sqref="E138:AK138">
    <cfRule type="notContainsBlanks" dxfId="1956" priority="46" stopIfTrue="1">
      <formula>LEN(TRIM(E138))&gt;0</formula>
    </cfRule>
  </conditionalFormatting>
  <conditionalFormatting sqref="E140:AK140">
    <cfRule type="containsBlanks" dxfId="1955" priority="47" stopIfTrue="1">
      <formula>LEN(TRIM(E140))=0</formula>
    </cfRule>
  </conditionalFormatting>
  <conditionalFormatting sqref="E140:AK140">
    <cfRule type="notContainsBlanks" dxfId="1954" priority="48" stopIfTrue="1">
      <formula>LEN(TRIM(E140))&gt;0</formula>
    </cfRule>
  </conditionalFormatting>
  <conditionalFormatting sqref="E142:AK142">
    <cfRule type="containsBlanks" dxfId="1953" priority="49" stopIfTrue="1">
      <formula>LEN(TRIM(E142))=0</formula>
    </cfRule>
  </conditionalFormatting>
  <conditionalFormatting sqref="E142:AK142">
    <cfRule type="notContainsBlanks" dxfId="1952" priority="50" stopIfTrue="1">
      <formula>LEN(TRIM(E142))&gt;0</formula>
    </cfRule>
  </conditionalFormatting>
  <conditionalFormatting sqref="E143:AK143">
    <cfRule type="containsBlanks" dxfId="1951" priority="51" stopIfTrue="1">
      <formula>LEN(TRIM(E143))=0</formula>
    </cfRule>
  </conditionalFormatting>
  <conditionalFormatting sqref="E143:AK143">
    <cfRule type="notContainsBlanks" dxfId="1950" priority="52" stopIfTrue="1">
      <formula>LEN(TRIM(E143))&gt;0</formula>
    </cfRule>
  </conditionalFormatting>
  <conditionalFormatting sqref="E144:AK144">
    <cfRule type="containsBlanks" dxfId="1949" priority="53" stopIfTrue="1">
      <formula>LEN(TRIM(E144))=0</formula>
    </cfRule>
  </conditionalFormatting>
  <conditionalFormatting sqref="E144:AK144">
    <cfRule type="notContainsBlanks" dxfId="1948" priority="54" stopIfTrue="1">
      <formula>LEN(TRIM(E144))&gt;0</formula>
    </cfRule>
  </conditionalFormatting>
  <conditionalFormatting sqref="E146:AK146">
    <cfRule type="containsBlanks" dxfId="1947" priority="55" stopIfTrue="1">
      <formula>LEN(TRIM(E146))=0</formula>
    </cfRule>
  </conditionalFormatting>
  <conditionalFormatting sqref="E146:AK146">
    <cfRule type="notContainsBlanks" dxfId="1946" priority="56" stopIfTrue="1">
      <formula>LEN(TRIM(E146))&gt;0</formula>
    </cfRule>
  </conditionalFormatting>
  <conditionalFormatting sqref="E149:AK149">
    <cfRule type="containsBlanks" dxfId="1945" priority="57" stopIfTrue="1">
      <formula>LEN(TRIM(E149))=0</formula>
    </cfRule>
  </conditionalFormatting>
  <conditionalFormatting sqref="E149:AK149">
    <cfRule type="notContainsBlanks" dxfId="1944" priority="58" stopIfTrue="1">
      <formula>LEN(TRIM(E149))&gt;0</formula>
    </cfRule>
  </conditionalFormatting>
  <conditionalFormatting sqref="E150:AK150">
    <cfRule type="containsBlanks" dxfId="1943" priority="59" stopIfTrue="1">
      <formula>LEN(TRIM(E150))=0</formula>
    </cfRule>
  </conditionalFormatting>
  <conditionalFormatting sqref="E150:AK150">
    <cfRule type="notContainsBlanks" dxfId="1942" priority="60" stopIfTrue="1">
      <formula>LEN(TRIM(E150))&gt;0</formula>
    </cfRule>
  </conditionalFormatting>
  <conditionalFormatting sqref="E151:AK151">
    <cfRule type="containsBlanks" dxfId="1941" priority="61" stopIfTrue="1">
      <formula>LEN(TRIM(E151))=0</formula>
    </cfRule>
  </conditionalFormatting>
  <conditionalFormatting sqref="E151:AK151">
    <cfRule type="notContainsBlanks" dxfId="1940" priority="62" stopIfTrue="1">
      <formula>LEN(TRIM(E151))&gt;0</formula>
    </cfRule>
  </conditionalFormatting>
  <conditionalFormatting sqref="E153:AK153">
    <cfRule type="containsBlanks" dxfId="1939" priority="63" stopIfTrue="1">
      <formula>LEN(TRIM(E153))=0</formula>
    </cfRule>
  </conditionalFormatting>
  <conditionalFormatting sqref="E153:AK153">
    <cfRule type="notContainsBlanks" dxfId="1938" priority="64" stopIfTrue="1">
      <formula>LEN(TRIM(E153))&gt;0</formula>
    </cfRule>
  </conditionalFormatting>
  <conditionalFormatting sqref="E155:AK155">
    <cfRule type="containsBlanks" dxfId="1937" priority="65" stopIfTrue="1">
      <formula>LEN(TRIM(E155))=0</formula>
    </cfRule>
  </conditionalFormatting>
  <conditionalFormatting sqref="E155:AK155">
    <cfRule type="notContainsBlanks" dxfId="1936" priority="66" stopIfTrue="1">
      <formula>LEN(TRIM(E155))&gt;0</formula>
    </cfRule>
  </conditionalFormatting>
  <conditionalFormatting sqref="E156:AK156">
    <cfRule type="containsBlanks" dxfId="1935" priority="67" stopIfTrue="1">
      <formula>LEN(TRIM(E156))=0</formula>
    </cfRule>
  </conditionalFormatting>
  <conditionalFormatting sqref="E156:AK156">
    <cfRule type="notContainsBlanks" dxfId="1934" priority="68" stopIfTrue="1">
      <formula>LEN(TRIM(E156))&gt;0</formula>
    </cfRule>
  </conditionalFormatting>
  <conditionalFormatting sqref="E157:AK157">
    <cfRule type="containsBlanks" dxfId="1933" priority="69" stopIfTrue="1">
      <formula>LEN(TRIM(E157))=0</formula>
    </cfRule>
  </conditionalFormatting>
  <conditionalFormatting sqref="E157:AK157">
    <cfRule type="notContainsBlanks" dxfId="1932" priority="70" stopIfTrue="1">
      <formula>LEN(TRIM(E157))&gt;0</formula>
    </cfRule>
  </conditionalFormatting>
  <conditionalFormatting sqref="E159:AK159">
    <cfRule type="containsBlanks" dxfId="1931" priority="71" stopIfTrue="1">
      <formula>LEN(TRIM(E159))=0</formula>
    </cfRule>
  </conditionalFormatting>
  <conditionalFormatting sqref="E159:AK159">
    <cfRule type="notContainsBlanks" dxfId="1930" priority="72" stopIfTrue="1">
      <formula>LEN(TRIM(E159))&gt;0</formula>
    </cfRule>
  </conditionalFormatting>
  <conditionalFormatting sqref="E161:AK161">
    <cfRule type="containsBlanks" dxfId="1929" priority="73" stopIfTrue="1">
      <formula>LEN(TRIM(E161))=0</formula>
    </cfRule>
  </conditionalFormatting>
  <conditionalFormatting sqref="E161:AK161">
    <cfRule type="notContainsBlanks" dxfId="1928" priority="74" stopIfTrue="1">
      <formula>LEN(TRIM(E161))&gt;0</formula>
    </cfRule>
  </conditionalFormatting>
  <conditionalFormatting sqref="E162:AK162">
    <cfRule type="containsBlanks" dxfId="1927" priority="75" stopIfTrue="1">
      <formula>LEN(TRIM(E162))=0</formula>
    </cfRule>
  </conditionalFormatting>
  <conditionalFormatting sqref="E162:AK162">
    <cfRule type="notContainsBlanks" dxfId="1926" priority="76" stopIfTrue="1">
      <formula>LEN(TRIM(E162))&gt;0</formula>
    </cfRule>
  </conditionalFormatting>
  <conditionalFormatting sqref="E163:AK163">
    <cfRule type="containsBlanks" dxfId="1925" priority="77" stopIfTrue="1">
      <formula>LEN(TRIM(E163))=0</formula>
    </cfRule>
  </conditionalFormatting>
  <conditionalFormatting sqref="E163:AK163">
    <cfRule type="notContainsBlanks" dxfId="1924" priority="78" stopIfTrue="1">
      <formula>LEN(TRIM(E163))&gt;0</formula>
    </cfRule>
  </conditionalFormatting>
  <conditionalFormatting sqref="E165:AK165">
    <cfRule type="containsBlanks" dxfId="1923" priority="79" stopIfTrue="1">
      <formula>LEN(TRIM(E165))=0</formula>
    </cfRule>
  </conditionalFormatting>
  <conditionalFormatting sqref="E165:AK165">
    <cfRule type="notContainsBlanks" dxfId="1922" priority="80" stopIfTrue="1">
      <formula>LEN(TRIM(E165))&gt;0</formula>
    </cfRule>
  </conditionalFormatting>
  <conditionalFormatting sqref="E167:AK167">
    <cfRule type="containsBlanks" dxfId="1921" priority="81" stopIfTrue="1">
      <formula>LEN(TRIM(E167))=0</formula>
    </cfRule>
  </conditionalFormatting>
  <conditionalFormatting sqref="E167:AK167">
    <cfRule type="notContainsBlanks" dxfId="1920" priority="82" stopIfTrue="1">
      <formula>LEN(TRIM(E167))&gt;0</formula>
    </cfRule>
  </conditionalFormatting>
  <conditionalFormatting sqref="E168:AK168">
    <cfRule type="containsBlanks" dxfId="1919" priority="83" stopIfTrue="1">
      <formula>LEN(TRIM(E168))=0</formula>
    </cfRule>
  </conditionalFormatting>
  <conditionalFormatting sqref="E168:AK168">
    <cfRule type="notContainsBlanks" dxfId="1918" priority="84" stopIfTrue="1">
      <formula>LEN(TRIM(E168))&gt;0</formula>
    </cfRule>
  </conditionalFormatting>
  <conditionalFormatting sqref="E169:AK169">
    <cfRule type="containsBlanks" dxfId="1917" priority="85" stopIfTrue="1">
      <formula>LEN(TRIM(E169))=0</formula>
    </cfRule>
  </conditionalFormatting>
  <conditionalFormatting sqref="E169:AK169">
    <cfRule type="notContainsBlanks" dxfId="1916" priority="86" stopIfTrue="1">
      <formula>LEN(TRIM(E169))&gt;0</formula>
    </cfRule>
  </conditionalFormatting>
  <conditionalFormatting sqref="E171:AK171">
    <cfRule type="containsBlanks" dxfId="1915" priority="87" stopIfTrue="1">
      <formula>LEN(TRIM(E171))=0</formula>
    </cfRule>
  </conditionalFormatting>
  <conditionalFormatting sqref="E171:AK171">
    <cfRule type="notContainsBlanks" dxfId="1914" priority="88" stopIfTrue="1">
      <formula>LEN(TRIM(E171))&gt;0</formula>
    </cfRule>
  </conditionalFormatting>
  <conditionalFormatting sqref="E173:AK173">
    <cfRule type="containsBlanks" dxfId="1913" priority="89" stopIfTrue="1">
      <formula>LEN(TRIM(E173))=0</formula>
    </cfRule>
  </conditionalFormatting>
  <conditionalFormatting sqref="E173:AK173">
    <cfRule type="notContainsBlanks" dxfId="1912" priority="90" stopIfTrue="1">
      <formula>LEN(TRIM(E173))&gt;0</formula>
    </cfRule>
  </conditionalFormatting>
  <conditionalFormatting sqref="E174:AK174">
    <cfRule type="containsBlanks" dxfId="1911" priority="91" stopIfTrue="1">
      <formula>LEN(TRIM(E174))=0</formula>
    </cfRule>
  </conditionalFormatting>
  <conditionalFormatting sqref="E174:AK174">
    <cfRule type="notContainsBlanks" dxfId="1910" priority="92" stopIfTrue="1">
      <formula>LEN(TRIM(E174))&gt;0</formula>
    </cfRule>
  </conditionalFormatting>
  <conditionalFormatting sqref="E175:AK175">
    <cfRule type="containsBlanks" dxfId="1909" priority="93" stopIfTrue="1">
      <formula>LEN(TRIM(E175))=0</formula>
    </cfRule>
  </conditionalFormatting>
  <conditionalFormatting sqref="E175:AK175">
    <cfRule type="notContainsBlanks" dxfId="1908" priority="94" stopIfTrue="1">
      <formula>LEN(TRIM(E175))&gt;0</formula>
    </cfRule>
  </conditionalFormatting>
  <conditionalFormatting sqref="E177:AK177">
    <cfRule type="containsBlanks" dxfId="1907" priority="95" stopIfTrue="1">
      <formula>LEN(TRIM(E177))=0</formula>
    </cfRule>
  </conditionalFormatting>
  <conditionalFormatting sqref="E177:AK177">
    <cfRule type="notContainsBlanks" dxfId="1906" priority="96" stopIfTrue="1">
      <formula>LEN(TRIM(E177))&gt;0</formula>
    </cfRule>
  </conditionalFormatting>
  <conditionalFormatting sqref="E179:AK179">
    <cfRule type="containsBlanks" dxfId="1905" priority="97" stopIfTrue="1">
      <formula>LEN(TRIM(E179))=0</formula>
    </cfRule>
  </conditionalFormatting>
  <conditionalFormatting sqref="E179:AK179">
    <cfRule type="notContainsBlanks" dxfId="1904" priority="98" stopIfTrue="1">
      <formula>LEN(TRIM(E179))&gt;0</formula>
    </cfRule>
  </conditionalFormatting>
  <conditionalFormatting sqref="E180:AK180">
    <cfRule type="containsBlanks" dxfId="1903" priority="99" stopIfTrue="1">
      <formula>LEN(TRIM(E180))=0</formula>
    </cfRule>
  </conditionalFormatting>
  <conditionalFormatting sqref="E180:AK180">
    <cfRule type="notContainsBlanks" dxfId="1902" priority="100" stopIfTrue="1">
      <formula>LEN(TRIM(E180))&gt;0</formula>
    </cfRule>
  </conditionalFormatting>
  <conditionalFormatting sqref="E181:AK181">
    <cfRule type="containsBlanks" dxfId="1901" priority="101" stopIfTrue="1">
      <formula>LEN(TRIM(E181))=0</formula>
    </cfRule>
  </conditionalFormatting>
  <conditionalFormatting sqref="E181:AK181">
    <cfRule type="notContainsBlanks" dxfId="1900" priority="102" stopIfTrue="1">
      <formula>LEN(TRIM(E181))&gt;0</formula>
    </cfRule>
  </conditionalFormatting>
  <conditionalFormatting sqref="E183:AK183">
    <cfRule type="containsBlanks" dxfId="1899" priority="103" stopIfTrue="1">
      <formula>LEN(TRIM(E183))=0</formula>
    </cfRule>
  </conditionalFormatting>
  <conditionalFormatting sqref="E183:AK183">
    <cfRule type="notContainsBlanks" dxfId="1898" priority="104" stopIfTrue="1">
      <formula>LEN(TRIM(E183))&gt;0</formula>
    </cfRule>
  </conditionalFormatting>
  <conditionalFormatting sqref="E185:AK185">
    <cfRule type="containsBlanks" dxfId="1897" priority="105" stopIfTrue="1">
      <formula>LEN(TRIM(E185))=0</formula>
    </cfRule>
  </conditionalFormatting>
  <conditionalFormatting sqref="E185:AK185">
    <cfRule type="notContainsBlanks" dxfId="1896" priority="106" stopIfTrue="1">
      <formula>LEN(TRIM(E185))&gt;0</formula>
    </cfRule>
  </conditionalFormatting>
  <conditionalFormatting sqref="E186:AK186">
    <cfRule type="containsBlanks" dxfId="1895" priority="107" stopIfTrue="1">
      <formula>LEN(TRIM(E186))=0</formula>
    </cfRule>
  </conditionalFormatting>
  <conditionalFormatting sqref="E186:AK186">
    <cfRule type="notContainsBlanks" dxfId="1894" priority="108" stopIfTrue="1">
      <formula>LEN(TRIM(E186))&gt;0</formula>
    </cfRule>
  </conditionalFormatting>
  <conditionalFormatting sqref="E187:AK187">
    <cfRule type="containsBlanks" dxfId="1893" priority="109" stopIfTrue="1">
      <formula>LEN(TRIM(E187))=0</formula>
    </cfRule>
  </conditionalFormatting>
  <conditionalFormatting sqref="E187:AK187">
    <cfRule type="notContainsBlanks" dxfId="1892" priority="110" stopIfTrue="1">
      <formula>LEN(TRIM(E187))&gt;0</formula>
    </cfRule>
  </conditionalFormatting>
  <conditionalFormatting sqref="E189:AK189">
    <cfRule type="containsBlanks" dxfId="1891" priority="111" stopIfTrue="1">
      <formula>LEN(TRIM(E189))=0</formula>
    </cfRule>
  </conditionalFormatting>
  <conditionalFormatting sqref="E189:AK189">
    <cfRule type="notContainsBlanks" dxfId="1890" priority="112" stopIfTrue="1">
      <formula>LEN(TRIM(E189))&gt;0</formula>
    </cfRule>
  </conditionalFormatting>
  <conditionalFormatting sqref="E95:AK95">
    <cfRule type="containsBlanks" dxfId="1889" priority="113" stopIfTrue="1">
      <formula>LEN(TRIM(E95))=0</formula>
    </cfRule>
    <cfRule type="notContainsBlanks" dxfId="1888" priority="114" stopIfTrue="1">
      <formula>LEN(TRIM(E95))&gt;0</formula>
    </cfRule>
  </conditionalFormatting>
  <conditionalFormatting sqref="E96:AK96">
    <cfRule type="containsBlanks" dxfId="1887" priority="115" stopIfTrue="1">
      <formula>LEN(TRIM(E96))=0</formula>
    </cfRule>
    <cfRule type="notContainsBlanks" dxfId="1886" priority="116" stopIfTrue="1">
      <formula>LEN(TRIM(E96))&gt;0</formula>
    </cfRule>
  </conditionalFormatting>
  <conditionalFormatting sqref="E97:AK97">
    <cfRule type="containsBlanks" dxfId="1885" priority="117" stopIfTrue="1">
      <formula>LEN(TRIM(E97))=0</formula>
    </cfRule>
    <cfRule type="notContainsBlanks" dxfId="1884" priority="118" stopIfTrue="1">
      <formula>LEN(TRIM(E97))&gt;0</formula>
    </cfRule>
  </conditionalFormatting>
  <conditionalFormatting sqref="E98:AK98">
    <cfRule type="containsBlanks" dxfId="1883" priority="119" stopIfTrue="1">
      <formula>LEN(TRIM(E98))=0</formula>
    </cfRule>
    <cfRule type="notContainsBlanks" dxfId="1882" priority="120" stopIfTrue="1">
      <formula>LEN(TRIM(E98))&gt;0</formula>
    </cfRule>
  </conditionalFormatting>
  <conditionalFormatting sqref="E99:AK99">
    <cfRule type="containsBlanks" dxfId="1881" priority="121" stopIfTrue="1">
      <formula>LEN(TRIM(E99))=0</formula>
    </cfRule>
    <cfRule type="notContainsBlanks" dxfId="1880" priority="122" stopIfTrue="1">
      <formula>LEN(TRIM(E99))&gt;0</formula>
    </cfRule>
  </conditionalFormatting>
  <conditionalFormatting sqref="E100:AK100">
    <cfRule type="containsBlanks" dxfId="1879" priority="123" stopIfTrue="1">
      <formula>LEN(TRIM(E100))=0</formula>
    </cfRule>
    <cfRule type="notContainsBlanks" dxfId="1878" priority="124" stopIfTrue="1">
      <formula>LEN(TRIM(E100))&gt;0</formula>
    </cfRule>
  </conditionalFormatting>
  <conditionalFormatting sqref="E101:AK101">
    <cfRule type="containsBlanks" dxfId="1877" priority="125" stopIfTrue="1">
      <formula>LEN(TRIM(E101))=0</formula>
    </cfRule>
    <cfRule type="notContainsBlanks" dxfId="1876" priority="126" stopIfTrue="1">
      <formula>LEN(TRIM(E101))&gt;0</formula>
    </cfRule>
  </conditionalFormatting>
  <conditionalFormatting sqref="E86:AK86">
    <cfRule type="containsBlanks" dxfId="1875" priority="127" stopIfTrue="1">
      <formula>LEN(TRIM(E86))=0</formula>
    </cfRule>
    <cfRule type="notContainsBlanks" dxfId="1874" priority="128" stopIfTrue="1">
      <formula>LEN(TRIM(E86))&gt;0</formula>
    </cfRule>
  </conditionalFormatting>
  <conditionalFormatting sqref="E87:AK87">
    <cfRule type="containsBlanks" dxfId="1873" priority="129" stopIfTrue="1">
      <formula>LEN(TRIM(E87))=0</formula>
    </cfRule>
    <cfRule type="notContainsBlanks" dxfId="1872" priority="130" stopIfTrue="1">
      <formula>LEN(TRIM(E87))&gt;0</formula>
    </cfRule>
  </conditionalFormatting>
  <conditionalFormatting sqref="E88:AK88">
    <cfRule type="containsBlanks" dxfId="1871" priority="131" stopIfTrue="1">
      <formula>LEN(TRIM(E88))=0</formula>
    </cfRule>
    <cfRule type="notContainsBlanks" dxfId="1870" priority="132" stopIfTrue="1">
      <formula>LEN(TRIM(E88))&gt;0</formula>
    </cfRule>
  </conditionalFormatting>
  <conditionalFormatting sqref="E89:AK89">
    <cfRule type="containsBlanks" dxfId="1869" priority="133" stopIfTrue="1">
      <formula>LEN(TRIM(E89))=0</formula>
    </cfRule>
    <cfRule type="notContainsBlanks" dxfId="1868" priority="134" stopIfTrue="1">
      <formula>LEN(TRIM(E89))&gt;0</formula>
    </cfRule>
  </conditionalFormatting>
  <conditionalFormatting sqref="E90:AK90">
    <cfRule type="containsBlanks" dxfId="1867" priority="135" stopIfTrue="1">
      <formula>LEN(TRIM(E90))=0</formula>
    </cfRule>
    <cfRule type="notContainsBlanks" dxfId="1866" priority="136" stopIfTrue="1">
      <formula>LEN(TRIM(E90))&gt;0</formula>
    </cfRule>
  </conditionalFormatting>
  <conditionalFormatting sqref="E91:AK91">
    <cfRule type="containsBlanks" dxfId="1865" priority="137" stopIfTrue="1">
      <formula>LEN(TRIM(E91))=0</formula>
    </cfRule>
    <cfRule type="notContainsBlanks" dxfId="1864" priority="138" stopIfTrue="1">
      <formula>LEN(TRIM(E91))&gt;0</formula>
    </cfRule>
  </conditionalFormatting>
  <conditionalFormatting sqref="E92:AK92">
    <cfRule type="containsBlanks" dxfId="1863" priority="139" stopIfTrue="1">
      <formula>LEN(TRIM(E92))=0</formula>
    </cfRule>
    <cfRule type="notContainsBlanks" dxfId="1862" priority="140" stopIfTrue="1">
      <formula>LEN(TRIM(E92))&gt;0</formula>
    </cfRule>
  </conditionalFormatting>
  <conditionalFormatting sqref="E77:AK77">
    <cfRule type="containsBlanks" dxfId="1861" priority="141" stopIfTrue="1">
      <formula>LEN(TRIM(E77))=0</formula>
    </cfRule>
    <cfRule type="notContainsBlanks" dxfId="1860" priority="142" stopIfTrue="1">
      <formula>LEN(TRIM(E77))&gt;0</formula>
    </cfRule>
  </conditionalFormatting>
  <conditionalFormatting sqref="E78:AK78">
    <cfRule type="containsBlanks" dxfId="1859" priority="143" stopIfTrue="1">
      <formula>LEN(TRIM(E78))=0</formula>
    </cfRule>
    <cfRule type="notContainsBlanks" dxfId="1858" priority="144" stopIfTrue="1">
      <formula>LEN(TRIM(E78))&gt;0</formula>
    </cfRule>
  </conditionalFormatting>
  <conditionalFormatting sqref="E79:AK79">
    <cfRule type="containsBlanks" dxfId="1857" priority="145" stopIfTrue="1">
      <formula>LEN(TRIM(E79))=0</formula>
    </cfRule>
    <cfRule type="notContainsBlanks" dxfId="1856" priority="146" stopIfTrue="1">
      <formula>LEN(TRIM(E79))&gt;0</formula>
    </cfRule>
  </conditionalFormatting>
  <conditionalFormatting sqref="E80:AK80">
    <cfRule type="containsBlanks" dxfId="1855" priority="147" stopIfTrue="1">
      <formula>LEN(TRIM(E80))=0</formula>
    </cfRule>
    <cfRule type="notContainsBlanks" dxfId="1854" priority="148" stopIfTrue="1">
      <formula>LEN(TRIM(E80))&gt;0</formula>
    </cfRule>
  </conditionalFormatting>
  <conditionalFormatting sqref="E81:AK81">
    <cfRule type="containsBlanks" dxfId="1853" priority="149" stopIfTrue="1">
      <formula>LEN(TRIM(E81))=0</formula>
    </cfRule>
    <cfRule type="notContainsBlanks" dxfId="1852" priority="150" stopIfTrue="1">
      <formula>LEN(TRIM(E81))&gt;0</formula>
    </cfRule>
  </conditionalFormatting>
  <conditionalFormatting sqref="E82:AK82">
    <cfRule type="containsBlanks" dxfId="1851" priority="151" stopIfTrue="1">
      <formula>LEN(TRIM(E82))=0</formula>
    </cfRule>
    <cfRule type="notContainsBlanks" dxfId="1850" priority="152" stopIfTrue="1">
      <formula>LEN(TRIM(E82))&gt;0</formula>
    </cfRule>
  </conditionalFormatting>
  <conditionalFormatting sqref="E83:AK83">
    <cfRule type="containsBlanks" dxfId="1849" priority="153" stopIfTrue="1">
      <formula>LEN(TRIM(E83))=0</formula>
    </cfRule>
    <cfRule type="notContainsBlanks" dxfId="1848" priority="154" stopIfTrue="1">
      <formula>LEN(TRIM(E83))&gt;0</formula>
    </cfRule>
  </conditionalFormatting>
  <conditionalFormatting sqref="E68:AK68">
    <cfRule type="containsBlanks" dxfId="1847" priority="155" stopIfTrue="1">
      <formula>LEN(TRIM(E68))=0</formula>
    </cfRule>
    <cfRule type="notContainsBlanks" dxfId="1846" priority="156" stopIfTrue="1">
      <formula>LEN(TRIM(E68))&gt;0</formula>
    </cfRule>
  </conditionalFormatting>
  <conditionalFormatting sqref="E69:AK69">
    <cfRule type="containsBlanks" dxfId="1845" priority="157" stopIfTrue="1">
      <formula>LEN(TRIM(E69))=0</formula>
    </cfRule>
    <cfRule type="notContainsBlanks" dxfId="1844" priority="158" stopIfTrue="1">
      <formula>LEN(TRIM(E69))&gt;0</formula>
    </cfRule>
  </conditionalFormatting>
  <conditionalFormatting sqref="E70:AK70">
    <cfRule type="containsBlanks" dxfId="1843" priority="159" stopIfTrue="1">
      <formula>LEN(TRIM(E70))=0</formula>
    </cfRule>
    <cfRule type="notContainsBlanks" dxfId="1842" priority="160" stopIfTrue="1">
      <formula>LEN(TRIM(E70))&gt;0</formula>
    </cfRule>
  </conditionalFormatting>
  <conditionalFormatting sqref="E71:AK71">
    <cfRule type="containsBlanks" dxfId="1841" priority="161" stopIfTrue="1">
      <formula>LEN(TRIM(E71))=0</formula>
    </cfRule>
    <cfRule type="notContainsBlanks" dxfId="1840" priority="162" stopIfTrue="1">
      <formula>LEN(TRIM(E71))&gt;0</formula>
    </cfRule>
  </conditionalFormatting>
  <conditionalFormatting sqref="E72:AK72">
    <cfRule type="containsBlanks" dxfId="1839" priority="163" stopIfTrue="1">
      <formula>LEN(TRIM(E72))=0</formula>
    </cfRule>
    <cfRule type="notContainsBlanks" dxfId="1838" priority="164" stopIfTrue="1">
      <formula>LEN(TRIM(E72))&gt;0</formula>
    </cfRule>
  </conditionalFormatting>
  <conditionalFormatting sqref="E73:AK73">
    <cfRule type="containsBlanks" dxfId="1837" priority="165" stopIfTrue="1">
      <formula>LEN(TRIM(E73))=0</formula>
    </cfRule>
    <cfRule type="notContainsBlanks" dxfId="1836" priority="166" stopIfTrue="1">
      <formula>LEN(TRIM(E73))&gt;0</formula>
    </cfRule>
  </conditionalFormatting>
  <conditionalFormatting sqref="E74:AK74">
    <cfRule type="containsBlanks" dxfId="1835" priority="167" stopIfTrue="1">
      <formula>LEN(TRIM(E74))=0</formula>
    </cfRule>
    <cfRule type="notContainsBlanks" dxfId="1834" priority="168" stopIfTrue="1">
      <formula>LEN(TRIM(E74))&gt;0</formula>
    </cfRule>
  </conditionalFormatting>
  <conditionalFormatting sqref="E59:AK59">
    <cfRule type="containsBlanks" dxfId="1833" priority="169" stopIfTrue="1">
      <formula>LEN(TRIM(E59))=0</formula>
    </cfRule>
    <cfRule type="notContainsBlanks" dxfId="1832" priority="170" stopIfTrue="1">
      <formula>LEN(TRIM(E59))&gt;0</formula>
    </cfRule>
  </conditionalFormatting>
  <conditionalFormatting sqref="E60:AK60">
    <cfRule type="containsBlanks" dxfId="1831" priority="171" stopIfTrue="1">
      <formula>LEN(TRIM(E60))=0</formula>
    </cfRule>
    <cfRule type="notContainsBlanks" dxfId="1830" priority="172" stopIfTrue="1">
      <formula>LEN(TRIM(E60))&gt;0</formula>
    </cfRule>
  </conditionalFormatting>
  <conditionalFormatting sqref="E61:AK61">
    <cfRule type="containsBlanks" dxfId="1829" priority="173" stopIfTrue="1">
      <formula>LEN(TRIM(E61))=0</formula>
    </cfRule>
    <cfRule type="notContainsBlanks" dxfId="1828" priority="174" stopIfTrue="1">
      <formula>LEN(TRIM(E61))&gt;0</formula>
    </cfRule>
  </conditionalFormatting>
  <conditionalFormatting sqref="E62:AK62">
    <cfRule type="containsBlanks" dxfId="1827" priority="175" stopIfTrue="1">
      <formula>LEN(TRIM(E62))=0</formula>
    </cfRule>
    <cfRule type="notContainsBlanks" dxfId="1826" priority="176" stopIfTrue="1">
      <formula>LEN(TRIM(E62))&gt;0</formula>
    </cfRule>
  </conditionalFormatting>
  <conditionalFormatting sqref="E63:AK63">
    <cfRule type="containsBlanks" dxfId="1825" priority="177" stopIfTrue="1">
      <formula>LEN(TRIM(E63))=0</formula>
    </cfRule>
    <cfRule type="notContainsBlanks" dxfId="1824" priority="178" stopIfTrue="1">
      <formula>LEN(TRIM(E63))&gt;0</formula>
    </cfRule>
  </conditionalFormatting>
  <conditionalFormatting sqref="E64:AK64">
    <cfRule type="containsBlanks" dxfId="1823" priority="179" stopIfTrue="1">
      <formula>LEN(TRIM(E64))=0</formula>
    </cfRule>
    <cfRule type="notContainsBlanks" dxfId="1822" priority="180" stopIfTrue="1">
      <formula>LEN(TRIM(E64))&gt;0</formula>
    </cfRule>
  </conditionalFormatting>
  <conditionalFormatting sqref="E65:AK65">
    <cfRule type="containsBlanks" dxfId="1821" priority="181" stopIfTrue="1">
      <formula>LEN(TRIM(E65))=0</formula>
    </cfRule>
    <cfRule type="notContainsBlanks" dxfId="1820" priority="182" stopIfTrue="1">
      <formula>LEN(TRIM(E65))&gt;0</formula>
    </cfRule>
  </conditionalFormatting>
  <conditionalFormatting sqref="E50:AK50">
    <cfRule type="containsBlanks" dxfId="1819" priority="183" stopIfTrue="1">
      <formula>LEN(TRIM(E50))=0</formula>
    </cfRule>
    <cfRule type="notContainsBlanks" dxfId="1818" priority="184" stopIfTrue="1">
      <formula>LEN(TRIM(E50))&gt;0</formula>
    </cfRule>
  </conditionalFormatting>
  <conditionalFormatting sqref="E51:AK51">
    <cfRule type="containsBlanks" dxfId="1817" priority="185" stopIfTrue="1">
      <formula>LEN(TRIM(E51))=0</formula>
    </cfRule>
    <cfRule type="notContainsBlanks" dxfId="1816" priority="186" stopIfTrue="1">
      <formula>LEN(TRIM(E51))&gt;0</formula>
    </cfRule>
  </conditionalFormatting>
  <conditionalFormatting sqref="E52:AK52">
    <cfRule type="containsBlanks" dxfId="1815" priority="187" stopIfTrue="1">
      <formula>LEN(TRIM(E52))=0</formula>
    </cfRule>
    <cfRule type="notContainsBlanks" dxfId="1814" priority="188" stopIfTrue="1">
      <formula>LEN(TRIM(E52))&gt;0</formula>
    </cfRule>
  </conditionalFormatting>
  <conditionalFormatting sqref="E53:AK53">
    <cfRule type="containsBlanks" dxfId="1813" priority="189" stopIfTrue="1">
      <formula>LEN(TRIM(E53))=0</formula>
    </cfRule>
    <cfRule type="notContainsBlanks" dxfId="1812" priority="190" stopIfTrue="1">
      <formula>LEN(TRIM(E53))&gt;0</formula>
    </cfRule>
  </conditionalFormatting>
  <conditionalFormatting sqref="E54:AK54">
    <cfRule type="containsBlanks" dxfId="1811" priority="191" stopIfTrue="1">
      <formula>LEN(TRIM(E54))=0</formula>
    </cfRule>
    <cfRule type="notContainsBlanks" dxfId="1810" priority="192" stopIfTrue="1">
      <formula>LEN(TRIM(E54))&gt;0</formula>
    </cfRule>
  </conditionalFormatting>
  <conditionalFormatting sqref="E55:AK55">
    <cfRule type="containsBlanks" dxfId="1809" priority="193" stopIfTrue="1">
      <formula>LEN(TRIM(E55))=0</formula>
    </cfRule>
    <cfRule type="notContainsBlanks" dxfId="1808" priority="194" stopIfTrue="1">
      <formula>LEN(TRIM(E55))&gt;0</formula>
    </cfRule>
  </conditionalFormatting>
  <conditionalFormatting sqref="E56:AK56">
    <cfRule type="containsBlanks" dxfId="1807" priority="195" stopIfTrue="1">
      <formula>LEN(TRIM(E56))=0</formula>
    </cfRule>
    <cfRule type="notContainsBlanks" dxfId="1806" priority="196" stopIfTrue="1">
      <formula>LEN(TRIM(E56))&gt;0</formula>
    </cfRule>
  </conditionalFormatting>
  <conditionalFormatting sqref="E41:E47">
    <cfRule type="containsBlanks" dxfId="1805" priority="211" stopIfTrue="1">
      <formula>LEN(TRIM(E41))=0</formula>
    </cfRule>
    <cfRule type="expression" dxfId="1804" priority="212" stopIfTrue="1">
      <formula>SUM($E$41:$E$47)&lt;&gt;1</formula>
    </cfRule>
    <cfRule type="notContainsBlanks" dxfId="1803" priority="213" stopIfTrue="1">
      <formula>LEN(TRIM(E41))&gt;0</formula>
    </cfRule>
  </conditionalFormatting>
  <conditionalFormatting sqref="F41:F47">
    <cfRule type="containsBlanks" dxfId="1802" priority="214" stopIfTrue="1">
      <formula>LEN(TRIM(F41))=0</formula>
    </cfRule>
    <cfRule type="expression" dxfId="1801" priority="215" stopIfTrue="1">
      <formula>SUM($F$41:$F$47)&lt;&gt;1</formula>
    </cfRule>
    <cfRule type="notContainsBlanks" dxfId="1800" priority="216" stopIfTrue="1">
      <formula>LEN(TRIM(F41))&gt;0</formula>
    </cfRule>
  </conditionalFormatting>
  <conditionalFormatting sqref="G41:G47">
    <cfRule type="containsBlanks" dxfId="1799" priority="217" stopIfTrue="1">
      <formula>LEN(TRIM(G41))=0</formula>
    </cfRule>
    <cfRule type="expression" dxfId="1798" priority="218" stopIfTrue="1">
      <formula>SUM($G$41:$G$47)&lt;&gt;1</formula>
    </cfRule>
    <cfRule type="notContainsBlanks" dxfId="1797" priority="219" stopIfTrue="1">
      <formula>LEN(TRIM(G41))&gt;0</formula>
    </cfRule>
  </conditionalFormatting>
  <conditionalFormatting sqref="H41:H47">
    <cfRule type="containsBlanks" dxfId="1796" priority="220" stopIfTrue="1">
      <formula>LEN(TRIM(H41))=0</formula>
    </cfRule>
    <cfRule type="expression" dxfId="1795" priority="221" stopIfTrue="1">
      <formula>SUM($H$41:$H$47)&lt;&gt;1</formula>
    </cfRule>
    <cfRule type="notContainsBlanks" dxfId="1794" priority="222" stopIfTrue="1">
      <formula>LEN(TRIM(H41))&gt;0</formula>
    </cfRule>
  </conditionalFormatting>
  <conditionalFormatting sqref="I41:I47">
    <cfRule type="containsBlanks" dxfId="1793" priority="223" stopIfTrue="1">
      <formula>LEN(TRIM(I41))=0</formula>
    </cfRule>
    <cfRule type="expression" dxfId="1792" priority="224" stopIfTrue="1">
      <formula>SUM($I$41:$I$47)&lt;&gt;1</formula>
    </cfRule>
    <cfRule type="notContainsBlanks" dxfId="1791" priority="225" stopIfTrue="1">
      <formula>LEN(TRIM(I41))&gt;0</formula>
    </cfRule>
  </conditionalFormatting>
  <conditionalFormatting sqref="J41:J47">
    <cfRule type="containsBlanks" dxfId="1790" priority="226" stopIfTrue="1">
      <formula>LEN(TRIM(J41))=0</formula>
    </cfRule>
    <cfRule type="expression" dxfId="1789" priority="227" stopIfTrue="1">
      <formula>SUM($J$41:$J$47)&lt;&gt;1</formula>
    </cfRule>
    <cfRule type="notContainsBlanks" dxfId="1788" priority="228" stopIfTrue="1">
      <formula>LEN(TRIM(J41))&gt;0</formula>
    </cfRule>
  </conditionalFormatting>
  <conditionalFormatting sqref="K41:K47">
    <cfRule type="containsBlanks" dxfId="1787" priority="229" stopIfTrue="1">
      <formula>LEN(TRIM(K41))=0</formula>
    </cfRule>
    <cfRule type="expression" dxfId="1786" priority="230" stopIfTrue="1">
      <formula>SUM($K$41:$K$47)&lt;&gt;1</formula>
    </cfRule>
    <cfRule type="notContainsBlanks" dxfId="1785" priority="231" stopIfTrue="1">
      <formula>LEN(TRIM(K41))&gt;0</formula>
    </cfRule>
  </conditionalFormatting>
  <conditionalFormatting sqref="L41:L47">
    <cfRule type="containsBlanks" dxfId="1784" priority="232" stopIfTrue="1">
      <formula>LEN(TRIM(L41))=0</formula>
    </cfRule>
    <cfRule type="expression" dxfId="1783" priority="233" stopIfTrue="1">
      <formula>SUM($L$41:$L$47)&lt;&gt;1</formula>
    </cfRule>
    <cfRule type="notContainsBlanks" dxfId="1782" priority="234" stopIfTrue="1">
      <formula>LEN(TRIM(L41))&gt;0</formula>
    </cfRule>
  </conditionalFormatting>
  <conditionalFormatting sqref="M41:M47">
    <cfRule type="containsBlanks" dxfId="1781" priority="235" stopIfTrue="1">
      <formula>LEN(TRIM(M41))=0</formula>
    </cfRule>
    <cfRule type="expression" dxfId="1780" priority="236" stopIfTrue="1">
      <formula>SUM($M$41:$M$47)&lt;&gt;1</formula>
    </cfRule>
    <cfRule type="notContainsBlanks" dxfId="1779" priority="237" stopIfTrue="1">
      <formula>LEN(TRIM(M41))&gt;0</formula>
    </cfRule>
  </conditionalFormatting>
  <conditionalFormatting sqref="N41:N47">
    <cfRule type="containsBlanks" dxfId="1778" priority="238" stopIfTrue="1">
      <formula>LEN(TRIM(N41))=0</formula>
    </cfRule>
    <cfRule type="expression" dxfId="1777" priority="239" stopIfTrue="1">
      <formula>SUM($N$41:$N$47)&lt;&gt;1</formula>
    </cfRule>
    <cfRule type="notContainsBlanks" dxfId="1776" priority="240" stopIfTrue="1">
      <formula>LEN(TRIM(N41))&gt;0</formula>
    </cfRule>
  </conditionalFormatting>
  <conditionalFormatting sqref="O41:O47">
    <cfRule type="containsBlanks" dxfId="1775" priority="241" stopIfTrue="1">
      <formula>LEN(TRIM(O41))=0</formula>
    </cfRule>
    <cfRule type="expression" dxfId="1774" priority="242" stopIfTrue="1">
      <formula>SUM($O$41:$O$47)&lt;&gt;1</formula>
    </cfRule>
    <cfRule type="notContainsBlanks" dxfId="1773" priority="243" stopIfTrue="1">
      <formula>LEN(TRIM(O41))&gt;0</formula>
    </cfRule>
  </conditionalFormatting>
  <conditionalFormatting sqref="P41:P47">
    <cfRule type="containsBlanks" dxfId="1772" priority="244" stopIfTrue="1">
      <formula>LEN(TRIM(P41))=0</formula>
    </cfRule>
    <cfRule type="expression" dxfId="1771" priority="245" stopIfTrue="1">
      <formula>SUM($P$41:$P$47)&lt;&gt;1</formula>
    </cfRule>
    <cfRule type="notContainsBlanks" dxfId="1770" priority="246" stopIfTrue="1">
      <formula>LEN(TRIM(P41))&gt;0</formula>
    </cfRule>
  </conditionalFormatting>
  <conditionalFormatting sqref="Q41:Q47">
    <cfRule type="containsBlanks" dxfId="1769" priority="247" stopIfTrue="1">
      <formula>LEN(TRIM(Q41))=0</formula>
    </cfRule>
    <cfRule type="expression" dxfId="1768" priority="248" stopIfTrue="1">
      <formula>SUM($Q$41:$Q$47)&lt;&gt;1</formula>
    </cfRule>
    <cfRule type="notContainsBlanks" dxfId="1767" priority="249" stopIfTrue="1">
      <formula>LEN(TRIM(Q41))&gt;0</formula>
    </cfRule>
  </conditionalFormatting>
  <conditionalFormatting sqref="R41:R47">
    <cfRule type="containsBlanks" dxfId="1766" priority="250" stopIfTrue="1">
      <formula>LEN(TRIM(R41))=0</formula>
    </cfRule>
  </conditionalFormatting>
  <conditionalFormatting sqref="R41:R47">
    <cfRule type="expression" dxfId="1765" priority="251" stopIfTrue="1">
      <formula>SUM($R$41:$R$47)&lt;&gt;1</formula>
    </cfRule>
  </conditionalFormatting>
  <conditionalFormatting sqref="R41:R47">
    <cfRule type="notContainsBlanks" dxfId="1764" priority="252" stopIfTrue="1">
      <formula>LEN(TRIM(R41))&gt;0</formula>
    </cfRule>
  </conditionalFormatting>
  <conditionalFormatting sqref="S41:S47">
    <cfRule type="containsBlanks" dxfId="1763" priority="253" stopIfTrue="1">
      <formula>LEN(TRIM(S41))=0</formula>
    </cfRule>
  </conditionalFormatting>
  <conditionalFormatting sqref="S41:S47">
    <cfRule type="expression" dxfId="1762" priority="254" stopIfTrue="1">
      <formula>SUM($S$41:$S$47)&lt;&gt;1</formula>
    </cfRule>
  </conditionalFormatting>
  <conditionalFormatting sqref="S41:S47">
    <cfRule type="notContainsBlanks" dxfId="1761" priority="255" stopIfTrue="1">
      <formula>LEN(TRIM(S41))&gt;0</formula>
    </cfRule>
  </conditionalFormatting>
  <conditionalFormatting sqref="T41:T47">
    <cfRule type="containsBlanks" dxfId="1760" priority="256" stopIfTrue="1">
      <formula>LEN(TRIM(T41))=0</formula>
    </cfRule>
  </conditionalFormatting>
  <conditionalFormatting sqref="T41:T47">
    <cfRule type="expression" dxfId="1759" priority="257" stopIfTrue="1">
      <formula>SUM($T$41:$T$47)&lt;&gt;1</formula>
    </cfRule>
  </conditionalFormatting>
  <conditionalFormatting sqref="T41:T47">
    <cfRule type="notContainsBlanks" dxfId="1758" priority="258" stopIfTrue="1">
      <formula>LEN(TRIM(T41))&gt;0</formula>
    </cfRule>
  </conditionalFormatting>
  <conditionalFormatting sqref="U41:U47">
    <cfRule type="containsBlanks" dxfId="1757" priority="259" stopIfTrue="1">
      <formula>LEN(TRIM(U41))=0</formula>
    </cfRule>
  </conditionalFormatting>
  <conditionalFormatting sqref="U41:U47">
    <cfRule type="expression" dxfId="1756" priority="260" stopIfTrue="1">
      <formula>SUM($U$41:$U$47)&lt;&gt;1</formula>
    </cfRule>
  </conditionalFormatting>
  <conditionalFormatting sqref="U41:U47">
    <cfRule type="notContainsBlanks" dxfId="1755" priority="261" stopIfTrue="1">
      <formula>LEN(TRIM(U41))&gt;0</formula>
    </cfRule>
  </conditionalFormatting>
  <conditionalFormatting sqref="V41:V47">
    <cfRule type="containsBlanks" dxfId="1754" priority="262" stopIfTrue="1">
      <formula>LEN(TRIM(V41))=0</formula>
    </cfRule>
  </conditionalFormatting>
  <conditionalFormatting sqref="V41:V47">
    <cfRule type="expression" dxfId="1753" priority="263" stopIfTrue="1">
      <formula>SUM($V$41:$V$47)&lt;&gt;1</formula>
    </cfRule>
  </conditionalFormatting>
  <conditionalFormatting sqref="V41:V47">
    <cfRule type="notContainsBlanks" dxfId="1752" priority="264" stopIfTrue="1">
      <formula>LEN(TRIM(V41))&gt;0</formula>
    </cfRule>
  </conditionalFormatting>
  <conditionalFormatting sqref="W41:W47">
    <cfRule type="containsBlanks" dxfId="1751" priority="265" stopIfTrue="1">
      <formula>LEN(TRIM(W41))=0</formula>
    </cfRule>
  </conditionalFormatting>
  <conditionalFormatting sqref="W41:W47">
    <cfRule type="expression" dxfId="1750" priority="266" stopIfTrue="1">
      <formula>SUM($W$41:$W$47)&lt;&gt;1</formula>
    </cfRule>
  </conditionalFormatting>
  <conditionalFormatting sqref="W41:W47">
    <cfRule type="notContainsBlanks" dxfId="1749" priority="267" stopIfTrue="1">
      <formula>LEN(TRIM(W41))&gt;0</formula>
    </cfRule>
  </conditionalFormatting>
  <conditionalFormatting sqref="X41:X47">
    <cfRule type="containsBlanks" dxfId="1748" priority="268" stopIfTrue="1">
      <formula>LEN(TRIM(X41))=0</formula>
    </cfRule>
  </conditionalFormatting>
  <conditionalFormatting sqref="X41:X47">
    <cfRule type="expression" dxfId="1747" priority="269" stopIfTrue="1">
      <formula>SUM($X$41:$X$47)&lt;&gt;1</formula>
    </cfRule>
  </conditionalFormatting>
  <conditionalFormatting sqref="X41:X47">
    <cfRule type="notContainsBlanks" dxfId="1746" priority="270" stopIfTrue="1">
      <formula>LEN(TRIM(X41))&gt;0</formula>
    </cfRule>
  </conditionalFormatting>
  <conditionalFormatting sqref="Y41:Y47">
    <cfRule type="containsBlanks" dxfId="1745" priority="271" stopIfTrue="1">
      <formula>LEN(TRIM(Y41))=0</formula>
    </cfRule>
  </conditionalFormatting>
  <conditionalFormatting sqref="Y41:Y47">
    <cfRule type="expression" dxfId="1744" priority="272" stopIfTrue="1">
      <formula>SUM($Y$41:$Y$47)&lt;&gt;1</formula>
    </cfRule>
  </conditionalFormatting>
  <conditionalFormatting sqref="Y41:Y47">
    <cfRule type="notContainsBlanks" dxfId="1743" priority="273" stopIfTrue="1">
      <formula>LEN(TRIM(Y41))&gt;0</formula>
    </cfRule>
  </conditionalFormatting>
  <conditionalFormatting sqref="Z41:Z47">
    <cfRule type="containsBlanks" dxfId="1742" priority="274" stopIfTrue="1">
      <formula>LEN(TRIM(Z41))=0</formula>
    </cfRule>
  </conditionalFormatting>
  <conditionalFormatting sqref="Z41:Z47">
    <cfRule type="expression" dxfId="1741" priority="275" stopIfTrue="1">
      <formula>SUM($Z$41:$Z$47)&lt;&gt;1</formula>
    </cfRule>
  </conditionalFormatting>
  <conditionalFormatting sqref="Z41:Z47">
    <cfRule type="notContainsBlanks" dxfId="1740" priority="276" stopIfTrue="1">
      <formula>LEN(TRIM(Z41))&gt;0</formula>
    </cfRule>
  </conditionalFormatting>
  <conditionalFormatting sqref="AA41:AA47">
    <cfRule type="containsBlanks" dxfId="1739" priority="277" stopIfTrue="1">
      <formula>LEN(TRIM(AA41))=0</formula>
    </cfRule>
  </conditionalFormatting>
  <conditionalFormatting sqref="AA41:AA47">
    <cfRule type="expression" dxfId="1738" priority="278" stopIfTrue="1">
      <formula>SUM($AA$41:$AA$47)&lt;&gt;1</formula>
    </cfRule>
  </conditionalFormatting>
  <conditionalFormatting sqref="AA41:AA47">
    <cfRule type="notContainsBlanks" dxfId="1737" priority="279" stopIfTrue="1">
      <formula>LEN(TRIM(AA41))&gt;0</formula>
    </cfRule>
  </conditionalFormatting>
  <conditionalFormatting sqref="AB41:AB47">
    <cfRule type="containsBlanks" dxfId="1736" priority="280" stopIfTrue="1">
      <formula>LEN(TRIM(AB41))=0</formula>
    </cfRule>
  </conditionalFormatting>
  <conditionalFormatting sqref="AB41:AB47">
    <cfRule type="expression" dxfId="1735" priority="281" stopIfTrue="1">
      <formula>SUM($AB$41:$AB$47)&lt;&gt;1</formula>
    </cfRule>
  </conditionalFormatting>
  <conditionalFormatting sqref="AB41:AB47">
    <cfRule type="notContainsBlanks" dxfId="1734" priority="282" stopIfTrue="1">
      <formula>LEN(TRIM(AB41))&gt;0</formula>
    </cfRule>
  </conditionalFormatting>
  <conditionalFormatting sqref="AC41:AC47">
    <cfRule type="containsBlanks" dxfId="1733" priority="283" stopIfTrue="1">
      <formula>LEN(TRIM(AC41))=0</formula>
    </cfRule>
  </conditionalFormatting>
  <conditionalFormatting sqref="AC41:AC47">
    <cfRule type="expression" dxfId="1732" priority="284" stopIfTrue="1">
      <formula>SUM($AC$41:$AC$47)&lt;&gt;1</formula>
    </cfRule>
  </conditionalFormatting>
  <conditionalFormatting sqref="AC41:AC47">
    <cfRule type="notContainsBlanks" dxfId="1731" priority="285" stopIfTrue="1">
      <formula>LEN(TRIM(AC41))&gt;0</formula>
    </cfRule>
  </conditionalFormatting>
  <conditionalFormatting sqref="AD41:AD47">
    <cfRule type="containsBlanks" dxfId="1730" priority="286" stopIfTrue="1">
      <formula>LEN(TRIM(AD41))=0</formula>
    </cfRule>
  </conditionalFormatting>
  <conditionalFormatting sqref="AD41:AD47">
    <cfRule type="expression" dxfId="1729" priority="287" stopIfTrue="1">
      <formula>SUM($AD$41:$AD$47)&lt;&gt;1</formula>
    </cfRule>
  </conditionalFormatting>
  <conditionalFormatting sqref="AD41:AD47">
    <cfRule type="notContainsBlanks" dxfId="1728" priority="288" stopIfTrue="1">
      <formula>LEN(TRIM(AD41))&gt;0</formula>
    </cfRule>
  </conditionalFormatting>
  <conditionalFormatting sqref="AE41:AE47">
    <cfRule type="containsBlanks" dxfId="1727" priority="289" stopIfTrue="1">
      <formula>LEN(TRIM(AE41))=0</formula>
    </cfRule>
  </conditionalFormatting>
  <conditionalFormatting sqref="AE41:AE47">
    <cfRule type="expression" dxfId="1726" priority="290" stopIfTrue="1">
      <formula>SUM($AE$41:$AE$47)&lt;&gt;1</formula>
    </cfRule>
  </conditionalFormatting>
  <conditionalFormatting sqref="AE41:AE47">
    <cfRule type="notContainsBlanks" dxfId="1725" priority="291" stopIfTrue="1">
      <formula>LEN(TRIM(AE41))&gt;0</formula>
    </cfRule>
  </conditionalFormatting>
  <conditionalFormatting sqref="AF41:AF47">
    <cfRule type="containsBlanks" dxfId="1724" priority="292" stopIfTrue="1">
      <formula>LEN(TRIM(AF41))=0</formula>
    </cfRule>
  </conditionalFormatting>
  <conditionalFormatting sqref="AF41:AF47">
    <cfRule type="expression" dxfId="1723" priority="293" stopIfTrue="1">
      <formula>SUM($AF$41:$AF$47)&lt;&gt;1</formula>
    </cfRule>
  </conditionalFormatting>
  <conditionalFormatting sqref="AF41:AF47">
    <cfRule type="notContainsBlanks" dxfId="1722" priority="294" stopIfTrue="1">
      <formula>LEN(TRIM(AF41))&gt;0</formula>
    </cfRule>
  </conditionalFormatting>
  <conditionalFormatting sqref="AG41:AG47">
    <cfRule type="containsBlanks" dxfId="1721" priority="295" stopIfTrue="1">
      <formula>LEN(TRIM(AG41))=0</formula>
    </cfRule>
  </conditionalFormatting>
  <conditionalFormatting sqref="AG41:AG47">
    <cfRule type="expression" dxfId="1720" priority="296" stopIfTrue="1">
      <formula>SUM($AG$41:$AG$47)&lt;&gt;1</formula>
    </cfRule>
  </conditionalFormatting>
  <conditionalFormatting sqref="AG41:AG47">
    <cfRule type="notContainsBlanks" dxfId="1719" priority="297" stopIfTrue="1">
      <formula>LEN(TRIM(AG41))&gt;0</formula>
    </cfRule>
  </conditionalFormatting>
  <conditionalFormatting sqref="AH41:AH47">
    <cfRule type="containsBlanks" dxfId="1718" priority="298" stopIfTrue="1">
      <formula>LEN(TRIM(AH41))=0</formula>
    </cfRule>
  </conditionalFormatting>
  <conditionalFormatting sqref="AH41:AH47">
    <cfRule type="expression" dxfId="1717" priority="299" stopIfTrue="1">
      <formula>SUM($AH$41:$AH$47)&lt;&gt;1</formula>
    </cfRule>
  </conditionalFormatting>
  <conditionalFormatting sqref="AH41:AH47">
    <cfRule type="notContainsBlanks" dxfId="1716" priority="300" stopIfTrue="1">
      <formula>LEN(TRIM(AH41))&gt;0</formula>
    </cfRule>
  </conditionalFormatting>
  <conditionalFormatting sqref="AI41:AI47">
    <cfRule type="containsBlanks" dxfId="1715" priority="301" stopIfTrue="1">
      <formula>LEN(TRIM(AI41))=0</formula>
    </cfRule>
  </conditionalFormatting>
  <conditionalFormatting sqref="AI41:AI47">
    <cfRule type="expression" dxfId="1714" priority="302" stopIfTrue="1">
      <formula>SUM($AI$41:$AI$47)&lt;&gt;1</formula>
    </cfRule>
  </conditionalFormatting>
  <conditionalFormatting sqref="AI41:AI47">
    <cfRule type="notContainsBlanks" dxfId="1713" priority="303" stopIfTrue="1">
      <formula>LEN(TRIM(AI41))&gt;0</formula>
    </cfRule>
  </conditionalFormatting>
  <conditionalFormatting sqref="AJ41:AJ47">
    <cfRule type="containsBlanks" dxfId="1712" priority="304" stopIfTrue="1">
      <formula>LEN(TRIM(AJ41))=0</formula>
    </cfRule>
  </conditionalFormatting>
  <conditionalFormatting sqref="AJ41:AJ47">
    <cfRule type="expression" dxfId="1711" priority="305" stopIfTrue="1">
      <formula>SUM($AJ$41:$AJ$47)&lt;&gt;1</formula>
    </cfRule>
  </conditionalFormatting>
  <conditionalFormatting sqref="AJ41:AJ47">
    <cfRule type="notContainsBlanks" dxfId="1710" priority="306" stopIfTrue="1">
      <formula>LEN(TRIM(AJ41))&gt;0</formula>
    </cfRule>
  </conditionalFormatting>
  <conditionalFormatting sqref="AK41:AK47">
    <cfRule type="containsBlanks" dxfId="1709" priority="307" stopIfTrue="1">
      <formula>LEN(TRIM(AK41))=0</formula>
    </cfRule>
  </conditionalFormatting>
  <conditionalFormatting sqref="AK41:AK47">
    <cfRule type="expression" dxfId="1708" priority="308" stopIfTrue="1">
      <formula>SUM($AK$41:$AK$47)&lt;&gt;1</formula>
    </cfRule>
  </conditionalFormatting>
  <conditionalFormatting sqref="AK41:AK47">
    <cfRule type="notContainsBlanks" dxfId="1707" priority="309" stopIfTrue="1">
      <formula>LEN(TRIM(AK41))&gt;0</formula>
    </cfRule>
  </conditionalFormatting>
  <conditionalFormatting sqref="E32:E38">
    <cfRule type="containsBlanks" dxfId="1706" priority="324" stopIfTrue="1">
      <formula>LEN(TRIM(E32))=0</formula>
    </cfRule>
    <cfRule type="expression" dxfId="1705" priority="325" stopIfTrue="1">
      <formula>SUM($E$32:$E$38)&lt;&gt;1</formula>
    </cfRule>
    <cfRule type="notContainsBlanks" dxfId="1704" priority="326" stopIfTrue="1">
      <formula>LEN(TRIM(E32))&gt;0</formula>
    </cfRule>
  </conditionalFormatting>
  <conditionalFormatting sqref="F32:F38">
    <cfRule type="containsBlanks" dxfId="1703" priority="327" stopIfTrue="1">
      <formula>LEN(TRIM(F32))=0</formula>
    </cfRule>
    <cfRule type="expression" dxfId="1702" priority="328" stopIfTrue="1">
      <formula>SUM($F$32:$F$38)&lt;&gt;1</formula>
    </cfRule>
    <cfRule type="notContainsBlanks" dxfId="1701" priority="329" stopIfTrue="1">
      <formula>LEN(TRIM(F32))&gt;0</formula>
    </cfRule>
  </conditionalFormatting>
  <conditionalFormatting sqref="G32:G38">
    <cfRule type="containsBlanks" dxfId="1700" priority="330" stopIfTrue="1">
      <formula>LEN(TRIM(G32))=0</formula>
    </cfRule>
    <cfRule type="expression" dxfId="1699" priority="331" stopIfTrue="1">
      <formula>SUM($G$32:$G$38)&lt;&gt;1</formula>
    </cfRule>
    <cfRule type="notContainsBlanks" dxfId="1698" priority="332" stopIfTrue="1">
      <formula>LEN(TRIM(G32))&gt;0</formula>
    </cfRule>
  </conditionalFormatting>
  <conditionalFormatting sqref="H32:H38">
    <cfRule type="containsBlanks" dxfId="1697" priority="333" stopIfTrue="1">
      <formula>LEN(TRIM(H32))=0</formula>
    </cfRule>
    <cfRule type="expression" dxfId="1696" priority="334" stopIfTrue="1">
      <formula>SUM($H$32:$H$38)&lt;&gt;1</formula>
    </cfRule>
    <cfRule type="notContainsBlanks" dxfId="1695" priority="335" stopIfTrue="1">
      <formula>LEN(TRIM(H32))&gt;0</formula>
    </cfRule>
  </conditionalFormatting>
  <conditionalFormatting sqref="I32:I38">
    <cfRule type="containsBlanks" dxfId="1694" priority="336" stopIfTrue="1">
      <formula>LEN(TRIM(I32))=0</formula>
    </cfRule>
    <cfRule type="expression" dxfId="1693" priority="337" stopIfTrue="1">
      <formula>SUM($I$32:$I$38)&lt;&gt;1</formula>
    </cfRule>
    <cfRule type="notContainsBlanks" dxfId="1692" priority="338" stopIfTrue="1">
      <formula>LEN(TRIM(I32))&gt;0</formula>
    </cfRule>
  </conditionalFormatting>
  <conditionalFormatting sqref="J32:J38">
    <cfRule type="containsBlanks" dxfId="1691" priority="339" stopIfTrue="1">
      <formula>LEN(TRIM(J32))=0</formula>
    </cfRule>
    <cfRule type="expression" dxfId="1690" priority="340" stopIfTrue="1">
      <formula>SUM($J$32:$J$38)&lt;&gt;1</formula>
    </cfRule>
    <cfRule type="notContainsBlanks" dxfId="1689" priority="341" stopIfTrue="1">
      <formula>LEN(TRIM(J32))&gt;0</formula>
    </cfRule>
  </conditionalFormatting>
  <conditionalFormatting sqref="K32:K38">
    <cfRule type="containsBlanks" dxfId="1688" priority="342" stopIfTrue="1">
      <formula>LEN(TRIM(K32))=0</formula>
    </cfRule>
  </conditionalFormatting>
  <conditionalFormatting sqref="K32:K38">
    <cfRule type="expression" dxfId="1687" priority="343" stopIfTrue="1">
      <formula>SUM($K$32:$K$38)&lt;&gt;1</formula>
    </cfRule>
  </conditionalFormatting>
  <conditionalFormatting sqref="K32:K38">
    <cfRule type="notContainsBlanks" dxfId="1686" priority="344" stopIfTrue="1">
      <formula>LEN(TRIM(K32))&gt;0</formula>
    </cfRule>
  </conditionalFormatting>
  <conditionalFormatting sqref="L32:L38">
    <cfRule type="containsBlanks" dxfId="1685" priority="345" stopIfTrue="1">
      <formula>LEN(TRIM(L32))=0</formula>
    </cfRule>
  </conditionalFormatting>
  <conditionalFormatting sqref="L32:L38">
    <cfRule type="expression" dxfId="1684" priority="346" stopIfTrue="1">
      <formula>SUM($L$32:$L$38)&lt;&gt;1</formula>
    </cfRule>
  </conditionalFormatting>
  <conditionalFormatting sqref="L32:L38">
    <cfRule type="notContainsBlanks" dxfId="1683" priority="347" stopIfTrue="1">
      <formula>LEN(TRIM(L32))&gt;0</formula>
    </cfRule>
  </conditionalFormatting>
  <conditionalFormatting sqref="M32:M38">
    <cfRule type="containsBlanks" dxfId="1682" priority="348" stopIfTrue="1">
      <formula>LEN(TRIM(M32))=0</formula>
    </cfRule>
  </conditionalFormatting>
  <conditionalFormatting sqref="M32:M38">
    <cfRule type="expression" dxfId="1681" priority="349" stopIfTrue="1">
      <formula>SUM($M$32:$M$38)&lt;&gt;1</formula>
    </cfRule>
  </conditionalFormatting>
  <conditionalFormatting sqref="M32:M38">
    <cfRule type="notContainsBlanks" dxfId="1680" priority="350" stopIfTrue="1">
      <formula>LEN(TRIM(M32))&gt;0</formula>
    </cfRule>
  </conditionalFormatting>
  <conditionalFormatting sqref="N32:N38">
    <cfRule type="containsBlanks" dxfId="1679" priority="351" stopIfTrue="1">
      <formula>LEN(TRIM(N32))=0</formula>
    </cfRule>
  </conditionalFormatting>
  <conditionalFormatting sqref="N32:N38">
    <cfRule type="expression" dxfId="1678" priority="352" stopIfTrue="1">
      <formula>SUM($N$32:$N$38)&lt;&gt;1</formula>
    </cfRule>
  </conditionalFormatting>
  <conditionalFormatting sqref="N32:N38">
    <cfRule type="notContainsBlanks" dxfId="1677" priority="353" stopIfTrue="1">
      <formula>LEN(TRIM(N32))&gt;0</formula>
    </cfRule>
  </conditionalFormatting>
  <conditionalFormatting sqref="O32:O38">
    <cfRule type="containsBlanks" dxfId="1676" priority="354" stopIfTrue="1">
      <formula>LEN(TRIM(O32))=0</formula>
    </cfRule>
  </conditionalFormatting>
  <conditionalFormatting sqref="O32:O38">
    <cfRule type="expression" dxfId="1675" priority="355" stopIfTrue="1">
      <formula>SUM($O$32:$O$38)&lt;&gt;1</formula>
    </cfRule>
  </conditionalFormatting>
  <conditionalFormatting sqref="O32:O38">
    <cfRule type="notContainsBlanks" dxfId="1674" priority="356" stopIfTrue="1">
      <formula>LEN(TRIM(O32))&gt;0</formula>
    </cfRule>
  </conditionalFormatting>
  <conditionalFormatting sqref="P32:P38">
    <cfRule type="containsBlanks" dxfId="1673" priority="357" stopIfTrue="1">
      <formula>LEN(TRIM(P32))=0</formula>
    </cfRule>
  </conditionalFormatting>
  <conditionalFormatting sqref="P32:P38">
    <cfRule type="expression" dxfId="1672" priority="358" stopIfTrue="1">
      <formula>SUM($P$32:$P$38)&lt;&gt;1</formula>
    </cfRule>
  </conditionalFormatting>
  <conditionalFormatting sqref="P32:P38">
    <cfRule type="notContainsBlanks" dxfId="1671" priority="359" stopIfTrue="1">
      <formula>LEN(TRIM(P32))&gt;0</formula>
    </cfRule>
  </conditionalFormatting>
  <conditionalFormatting sqref="Q32:Q38">
    <cfRule type="containsBlanks" dxfId="1670" priority="360" stopIfTrue="1">
      <formula>LEN(TRIM(Q32))=0</formula>
    </cfRule>
  </conditionalFormatting>
  <conditionalFormatting sqref="Q32:Q38">
    <cfRule type="expression" dxfId="1669" priority="361" stopIfTrue="1">
      <formula>SUM($Q$32:$Q$38)&lt;&gt;1</formula>
    </cfRule>
  </conditionalFormatting>
  <conditionalFormatting sqref="Q32:Q38">
    <cfRule type="notContainsBlanks" dxfId="1668" priority="362" stopIfTrue="1">
      <formula>LEN(TRIM(Q32))&gt;0</formula>
    </cfRule>
  </conditionalFormatting>
  <conditionalFormatting sqref="R32:R38">
    <cfRule type="containsBlanks" dxfId="1667" priority="363" stopIfTrue="1">
      <formula>LEN(TRIM(R32))=0</formula>
    </cfRule>
  </conditionalFormatting>
  <conditionalFormatting sqref="R32:R38">
    <cfRule type="expression" dxfId="1666" priority="364" stopIfTrue="1">
      <formula>SUM($R$32:$R$38)&lt;&gt;1</formula>
    </cfRule>
  </conditionalFormatting>
  <conditionalFormatting sqref="R32:R38">
    <cfRule type="notContainsBlanks" dxfId="1665" priority="365" stopIfTrue="1">
      <formula>LEN(TRIM(R32))&gt;0</formula>
    </cfRule>
  </conditionalFormatting>
  <conditionalFormatting sqref="S32:S38">
    <cfRule type="containsBlanks" dxfId="1664" priority="366" stopIfTrue="1">
      <formula>LEN(TRIM(S32))=0</formula>
    </cfRule>
  </conditionalFormatting>
  <conditionalFormatting sqref="S32:S38">
    <cfRule type="expression" dxfId="1663" priority="367" stopIfTrue="1">
      <formula>SUM($S$32:$S$38)&lt;&gt;1</formula>
    </cfRule>
  </conditionalFormatting>
  <conditionalFormatting sqref="S32:S38">
    <cfRule type="notContainsBlanks" dxfId="1662" priority="368" stopIfTrue="1">
      <formula>LEN(TRIM(S32))&gt;0</formula>
    </cfRule>
  </conditionalFormatting>
  <conditionalFormatting sqref="T32:T38">
    <cfRule type="containsBlanks" dxfId="1661" priority="369" stopIfTrue="1">
      <formula>LEN(TRIM(T32))=0</formula>
    </cfRule>
  </conditionalFormatting>
  <conditionalFormatting sqref="T32:T38">
    <cfRule type="expression" dxfId="1660" priority="370" stopIfTrue="1">
      <formula>SUM($T$32:$T$38)&lt;&gt;1</formula>
    </cfRule>
  </conditionalFormatting>
  <conditionalFormatting sqref="T32:T38">
    <cfRule type="notContainsBlanks" dxfId="1659" priority="371" stopIfTrue="1">
      <formula>LEN(TRIM(T32))&gt;0</formula>
    </cfRule>
  </conditionalFormatting>
  <conditionalFormatting sqref="U32:U38">
    <cfRule type="containsBlanks" dxfId="1658" priority="372" stopIfTrue="1">
      <formula>LEN(TRIM(U32))=0</formula>
    </cfRule>
  </conditionalFormatting>
  <conditionalFormatting sqref="U32:U38">
    <cfRule type="expression" dxfId="1657" priority="373" stopIfTrue="1">
      <formula>SUM($U$32:$U$38)&lt;&gt;1</formula>
    </cfRule>
  </conditionalFormatting>
  <conditionalFormatting sqref="U32:U38">
    <cfRule type="notContainsBlanks" dxfId="1656" priority="374" stopIfTrue="1">
      <formula>LEN(TRIM(U32))&gt;0</formula>
    </cfRule>
  </conditionalFormatting>
  <conditionalFormatting sqref="V32:V38">
    <cfRule type="containsBlanks" dxfId="1655" priority="375" stopIfTrue="1">
      <formula>LEN(TRIM(V32))=0</formula>
    </cfRule>
  </conditionalFormatting>
  <conditionalFormatting sqref="V32:V38">
    <cfRule type="expression" dxfId="1654" priority="376" stopIfTrue="1">
      <formula>SUM($V$32:$V$38)&lt;&gt;1</formula>
    </cfRule>
  </conditionalFormatting>
  <conditionalFormatting sqref="V32:V38">
    <cfRule type="notContainsBlanks" dxfId="1653" priority="377" stopIfTrue="1">
      <formula>LEN(TRIM(V32))&gt;0</formula>
    </cfRule>
  </conditionalFormatting>
  <conditionalFormatting sqref="W32:W38">
    <cfRule type="containsBlanks" dxfId="1652" priority="378" stopIfTrue="1">
      <formula>LEN(TRIM(W32))=0</formula>
    </cfRule>
  </conditionalFormatting>
  <conditionalFormatting sqref="W32:W38">
    <cfRule type="expression" dxfId="1651" priority="379" stopIfTrue="1">
      <formula>SUM($W$32:$W$38)&lt;&gt;1</formula>
    </cfRule>
  </conditionalFormatting>
  <conditionalFormatting sqref="W32:W38">
    <cfRule type="notContainsBlanks" dxfId="1650" priority="380" stopIfTrue="1">
      <formula>LEN(TRIM(W32))&gt;0</formula>
    </cfRule>
  </conditionalFormatting>
  <conditionalFormatting sqref="X32:X38">
    <cfRule type="containsBlanks" dxfId="1649" priority="381" stopIfTrue="1">
      <formula>LEN(TRIM(X32))=0</formula>
    </cfRule>
  </conditionalFormatting>
  <conditionalFormatting sqref="X32:X38">
    <cfRule type="expression" dxfId="1648" priority="382" stopIfTrue="1">
      <formula>SUM($X$32:$X$38)&lt;&gt;1</formula>
    </cfRule>
  </conditionalFormatting>
  <conditionalFormatting sqref="X32:X38">
    <cfRule type="notContainsBlanks" dxfId="1647" priority="383" stopIfTrue="1">
      <formula>LEN(TRIM(X32))&gt;0</formula>
    </cfRule>
  </conditionalFormatting>
  <conditionalFormatting sqref="Y32:Y38">
    <cfRule type="containsBlanks" dxfId="1646" priority="384" stopIfTrue="1">
      <formula>LEN(TRIM(Y32))=0</formula>
    </cfRule>
  </conditionalFormatting>
  <conditionalFormatting sqref="Y32:Y38">
    <cfRule type="expression" dxfId="1645" priority="385" stopIfTrue="1">
      <formula>SUM($Y$32:$Y$38)&lt;&gt;1</formula>
    </cfRule>
  </conditionalFormatting>
  <conditionalFormatting sqref="Y32:Y38">
    <cfRule type="notContainsBlanks" dxfId="1644" priority="386" stopIfTrue="1">
      <formula>LEN(TRIM(Y32))&gt;0</formula>
    </cfRule>
  </conditionalFormatting>
  <conditionalFormatting sqref="Z32:Z38">
    <cfRule type="containsBlanks" dxfId="1643" priority="387" stopIfTrue="1">
      <formula>LEN(TRIM(Z32))=0</formula>
    </cfRule>
  </conditionalFormatting>
  <conditionalFormatting sqref="Z32:Z38">
    <cfRule type="expression" dxfId="1642" priority="388" stopIfTrue="1">
      <formula>SUM($Z$32:$Z$38)&lt;&gt;1</formula>
    </cfRule>
  </conditionalFormatting>
  <conditionalFormatting sqref="Z32:Z38">
    <cfRule type="notContainsBlanks" dxfId="1641" priority="389" stopIfTrue="1">
      <formula>LEN(TRIM(Z32))&gt;0</formula>
    </cfRule>
  </conditionalFormatting>
  <conditionalFormatting sqref="AA32:AA38">
    <cfRule type="containsBlanks" dxfId="1640" priority="390" stopIfTrue="1">
      <formula>LEN(TRIM(AA32))=0</formula>
    </cfRule>
  </conditionalFormatting>
  <conditionalFormatting sqref="AA32:AA38">
    <cfRule type="expression" dxfId="1639" priority="391" stopIfTrue="1">
      <formula>SUM($AA$32:$AA$38)&lt;&gt;1</formula>
    </cfRule>
  </conditionalFormatting>
  <conditionalFormatting sqref="AA32:AA38">
    <cfRule type="notContainsBlanks" dxfId="1638" priority="392" stopIfTrue="1">
      <formula>LEN(TRIM(AA32))&gt;0</formula>
    </cfRule>
  </conditionalFormatting>
  <conditionalFormatting sqref="AB32:AB38">
    <cfRule type="containsBlanks" dxfId="1637" priority="393" stopIfTrue="1">
      <formula>LEN(TRIM(AB32))=0</formula>
    </cfRule>
  </conditionalFormatting>
  <conditionalFormatting sqref="AB32:AB38">
    <cfRule type="expression" dxfId="1636" priority="394" stopIfTrue="1">
      <formula>SUM($AB$32:$AB$38)&lt;&gt;1</formula>
    </cfRule>
  </conditionalFormatting>
  <conditionalFormatting sqref="AB32:AB38">
    <cfRule type="notContainsBlanks" dxfId="1635" priority="395" stopIfTrue="1">
      <formula>LEN(TRIM(AB32))&gt;0</formula>
    </cfRule>
  </conditionalFormatting>
  <conditionalFormatting sqref="AC32:AC38">
    <cfRule type="containsBlanks" dxfId="1634" priority="396" stopIfTrue="1">
      <formula>LEN(TRIM(AC32))=0</formula>
    </cfRule>
  </conditionalFormatting>
  <conditionalFormatting sqref="AC32:AC38">
    <cfRule type="expression" dxfId="1633" priority="397" stopIfTrue="1">
      <formula>SUM($AC$32:$AC$38)&lt;&gt;1</formula>
    </cfRule>
  </conditionalFormatting>
  <conditionalFormatting sqref="AC32:AC38">
    <cfRule type="notContainsBlanks" dxfId="1632" priority="398" stopIfTrue="1">
      <formula>LEN(TRIM(AC32))&gt;0</formula>
    </cfRule>
  </conditionalFormatting>
  <conditionalFormatting sqref="AD32:AD38">
    <cfRule type="containsBlanks" dxfId="1631" priority="399" stopIfTrue="1">
      <formula>LEN(TRIM(AD32))=0</formula>
    </cfRule>
  </conditionalFormatting>
  <conditionalFormatting sqref="AD32:AD38">
    <cfRule type="expression" dxfId="1630" priority="400" stopIfTrue="1">
      <formula>SUM($AD$32:$AD$38)&lt;&gt;1</formula>
    </cfRule>
  </conditionalFormatting>
  <conditionalFormatting sqref="AD32:AD38">
    <cfRule type="notContainsBlanks" dxfId="1629" priority="401" stopIfTrue="1">
      <formula>LEN(TRIM(AD32))&gt;0</formula>
    </cfRule>
  </conditionalFormatting>
  <conditionalFormatting sqref="AE32:AE38">
    <cfRule type="containsBlanks" dxfId="1628" priority="402" stopIfTrue="1">
      <formula>LEN(TRIM(AE32))=0</formula>
    </cfRule>
  </conditionalFormatting>
  <conditionalFormatting sqref="AE32:AE38">
    <cfRule type="expression" dxfId="1627" priority="403" stopIfTrue="1">
      <formula>SUM($AE$32:$AE$38)&lt;&gt;1</formula>
    </cfRule>
  </conditionalFormatting>
  <conditionalFormatting sqref="AE32:AE38">
    <cfRule type="notContainsBlanks" dxfId="1626" priority="404" stopIfTrue="1">
      <formula>LEN(TRIM(AE32))&gt;0</formula>
    </cfRule>
  </conditionalFormatting>
  <conditionalFormatting sqref="AF32:AF38">
    <cfRule type="containsBlanks" dxfId="1625" priority="405" stopIfTrue="1">
      <formula>LEN(TRIM(AF32))=0</formula>
    </cfRule>
  </conditionalFormatting>
  <conditionalFormatting sqref="AF32:AF38">
    <cfRule type="expression" dxfId="1624" priority="406" stopIfTrue="1">
      <formula>SUM($AF$32:$AF$38)&lt;&gt;1</formula>
    </cfRule>
  </conditionalFormatting>
  <conditionalFormatting sqref="AF32:AF38">
    <cfRule type="notContainsBlanks" dxfId="1623" priority="407" stopIfTrue="1">
      <formula>LEN(TRIM(AF32))&gt;0</formula>
    </cfRule>
  </conditionalFormatting>
  <conditionalFormatting sqref="AG32:AG38">
    <cfRule type="containsBlanks" dxfId="1622" priority="408" stopIfTrue="1">
      <formula>LEN(TRIM(AG32))=0</formula>
    </cfRule>
  </conditionalFormatting>
  <conditionalFormatting sqref="AG32:AG38">
    <cfRule type="expression" dxfId="1621" priority="409" stopIfTrue="1">
      <formula>SUM($AG$32:$AG$38)&lt;&gt;1</formula>
    </cfRule>
  </conditionalFormatting>
  <conditionalFormatting sqref="AG32:AG38">
    <cfRule type="notContainsBlanks" dxfId="1620" priority="410" stopIfTrue="1">
      <formula>LEN(TRIM(AG32))&gt;0</formula>
    </cfRule>
  </conditionalFormatting>
  <conditionalFormatting sqref="AH32:AH38">
    <cfRule type="containsBlanks" dxfId="1619" priority="411" stopIfTrue="1">
      <formula>LEN(TRIM(AH32))=0</formula>
    </cfRule>
  </conditionalFormatting>
  <conditionalFormatting sqref="AH32:AH38">
    <cfRule type="expression" dxfId="1618" priority="412" stopIfTrue="1">
      <formula>SUM($AH$32:$AH$38)&lt;&gt;1</formula>
    </cfRule>
  </conditionalFormatting>
  <conditionalFormatting sqref="AH32:AH38">
    <cfRule type="notContainsBlanks" dxfId="1617" priority="413" stopIfTrue="1">
      <formula>LEN(TRIM(AH32))&gt;0</formula>
    </cfRule>
  </conditionalFormatting>
  <conditionalFormatting sqref="AI32:AI38">
    <cfRule type="containsBlanks" dxfId="1616" priority="414" stopIfTrue="1">
      <formula>LEN(TRIM(AI32))=0</formula>
    </cfRule>
  </conditionalFormatting>
  <conditionalFormatting sqref="AI32:AI38">
    <cfRule type="expression" dxfId="1615" priority="415" stopIfTrue="1">
      <formula>SUM($AI$32:$AI$38)&lt;&gt;1</formula>
    </cfRule>
  </conditionalFormatting>
  <conditionalFormatting sqref="AI32:AI38">
    <cfRule type="notContainsBlanks" dxfId="1614" priority="416" stopIfTrue="1">
      <formula>LEN(TRIM(AI32))&gt;0</formula>
    </cfRule>
  </conditionalFormatting>
  <conditionalFormatting sqref="AJ32:AJ38">
    <cfRule type="containsBlanks" dxfId="1613" priority="417" stopIfTrue="1">
      <formula>LEN(TRIM(AJ32))=0</formula>
    </cfRule>
  </conditionalFormatting>
  <conditionalFormatting sqref="AJ32:AJ38">
    <cfRule type="expression" dxfId="1612" priority="418" stopIfTrue="1">
      <formula>SUM($AJ$32:$AJ$38)&lt;&gt;1</formula>
    </cfRule>
  </conditionalFormatting>
  <conditionalFormatting sqref="AJ32:AJ38">
    <cfRule type="notContainsBlanks" dxfId="1611" priority="419" stopIfTrue="1">
      <formula>LEN(TRIM(AJ32))&gt;0</formula>
    </cfRule>
  </conditionalFormatting>
  <conditionalFormatting sqref="AK32:AK38">
    <cfRule type="containsBlanks" dxfId="1610" priority="420" stopIfTrue="1">
      <formula>LEN(TRIM(AK32))=0</formula>
    </cfRule>
  </conditionalFormatting>
  <conditionalFormatting sqref="AK32:AK38">
    <cfRule type="expression" dxfId="1609" priority="421" stopIfTrue="1">
      <formula>SUM($AK$32:$AK$38)&lt;&gt;1</formula>
    </cfRule>
  </conditionalFormatting>
  <conditionalFormatting sqref="AK32:AK38">
    <cfRule type="notContainsBlanks" dxfId="1608" priority="422" stopIfTrue="1">
      <formula>LEN(TRIM(AK32))&gt;0</formula>
    </cfRule>
  </conditionalFormatting>
  <conditionalFormatting sqref="E21:AK21">
    <cfRule type="containsBlanks" dxfId="1607" priority="423" stopIfTrue="1">
      <formula>LEN(TRIM(E21))=0</formula>
    </cfRule>
  </conditionalFormatting>
  <conditionalFormatting sqref="E21:AK21">
    <cfRule type="notContainsBlanks" dxfId="1606" priority="424" stopIfTrue="1">
      <formula>LEN(TRIM(E21))&gt;0</formula>
    </cfRule>
  </conditionalFormatting>
  <conditionalFormatting sqref="E22:AK22">
    <cfRule type="containsBlanks" dxfId="1605" priority="425" stopIfTrue="1">
      <formula>LEN(TRIM(E22))=0</formula>
    </cfRule>
  </conditionalFormatting>
  <conditionalFormatting sqref="E22:AK22">
    <cfRule type="notContainsBlanks" dxfId="1604" priority="426" stopIfTrue="1">
      <formula>LEN(TRIM(E22))&gt;0</formula>
    </cfRule>
  </conditionalFormatting>
  <conditionalFormatting sqref="E24:AK24">
    <cfRule type="containsBlanks" dxfId="1603" priority="427" stopIfTrue="1">
      <formula>LEN(TRIM(E24))=0</formula>
    </cfRule>
  </conditionalFormatting>
  <conditionalFormatting sqref="E24:AK24">
    <cfRule type="notContainsBlanks" dxfId="1602" priority="428" stopIfTrue="1">
      <formula>LEN(TRIM(E24))&gt;0</formula>
    </cfRule>
  </conditionalFormatting>
  <conditionalFormatting sqref="E26:AK26">
    <cfRule type="containsBlanks" dxfId="1601" priority="429" stopIfTrue="1">
      <formula>LEN(TRIM(E26))=0</formula>
    </cfRule>
  </conditionalFormatting>
  <conditionalFormatting sqref="E26:AK26">
    <cfRule type="notContainsBlanks" dxfId="1600" priority="430" stopIfTrue="1">
      <formula>LEN(TRIM(E26))&gt;0</formula>
    </cfRule>
  </conditionalFormatting>
  <conditionalFormatting sqref="E27:AK27">
    <cfRule type="containsBlanks" dxfId="1599" priority="431" stopIfTrue="1">
      <formula>LEN(TRIM(E27))=0</formula>
    </cfRule>
  </conditionalFormatting>
  <conditionalFormatting sqref="E27:AK27">
    <cfRule type="notContainsBlanks" dxfId="1598" priority="432" stopIfTrue="1">
      <formula>LEN(TRIM(E27))&gt;0</formula>
    </cfRule>
  </conditionalFormatting>
  <conditionalFormatting sqref="E29:AK29">
    <cfRule type="containsBlanks" dxfId="1597" priority="433" stopIfTrue="1">
      <formula>LEN(TRIM(E29))=0</formula>
    </cfRule>
  </conditionalFormatting>
  <conditionalFormatting sqref="E29:AK29">
    <cfRule type="notContainsBlanks" dxfId="1596" priority="434" stopIfTrue="1">
      <formula>LEN(TRIM(E29))&gt;0</formula>
    </cfRule>
  </conditionalFormatting>
  <conditionalFormatting sqref="E13:AK13">
    <cfRule type="containsBlanks" dxfId="1595" priority="435" stopIfTrue="1">
      <formula>LEN(TRIM(E13))=0</formula>
    </cfRule>
  </conditionalFormatting>
  <conditionalFormatting sqref="E13:AK13">
    <cfRule type="notContainsBlanks" dxfId="1594" priority="436" stopIfTrue="1">
      <formula>LEN(TRIM(E13))&gt;0</formula>
    </cfRule>
  </conditionalFormatting>
  <conditionalFormatting sqref="E14:AK14">
    <cfRule type="containsBlanks" dxfId="1593" priority="437" stopIfTrue="1">
      <formula>LEN(TRIM(E14))=0</formula>
    </cfRule>
  </conditionalFormatting>
  <conditionalFormatting sqref="E14:AK14">
    <cfRule type="notContainsBlanks" dxfId="1592" priority="438" stopIfTrue="1">
      <formula>LEN(TRIM(E14))&gt;0</formula>
    </cfRule>
  </conditionalFormatting>
  <conditionalFormatting sqref="E15:AK15">
    <cfRule type="containsBlanks" dxfId="1591" priority="439" stopIfTrue="1">
      <formula>LEN(TRIM(E15))=0</formula>
    </cfRule>
  </conditionalFormatting>
  <conditionalFormatting sqref="E15:AK15">
    <cfRule type="notContainsBlanks" dxfId="1590" priority="440" stopIfTrue="1">
      <formula>LEN(TRIM(E15))&gt;0</formula>
    </cfRule>
  </conditionalFormatting>
  <conditionalFormatting sqref="E17:AK17">
    <cfRule type="containsBlanks" dxfId="1589" priority="441" stopIfTrue="1">
      <formula>LEN(TRIM(E17))=0</formula>
    </cfRule>
  </conditionalFormatting>
  <conditionalFormatting sqref="E17:AK17">
    <cfRule type="notContainsBlanks" dxfId="1588" priority="442" stopIfTrue="1">
      <formula>LEN(TRIM(E17))&gt;0</formula>
    </cfRule>
  </conditionalFormatting>
  <conditionalFormatting sqref="E5:AK5">
    <cfRule type="containsBlanks" dxfId="1587" priority="443" stopIfTrue="1">
      <formula>LEN(TRIM(E5))=0</formula>
    </cfRule>
  </conditionalFormatting>
  <conditionalFormatting sqref="E5:AK5">
    <cfRule type="notContainsBlanks" dxfId="1586" priority="444" stopIfTrue="1">
      <formula>LEN(TRIM(E5))&gt;0</formula>
    </cfRule>
  </conditionalFormatting>
  <conditionalFormatting sqref="E6:AK6">
    <cfRule type="containsBlanks" dxfId="1585" priority="445" stopIfTrue="1">
      <formula>LEN(TRIM(E6))=0</formula>
    </cfRule>
  </conditionalFormatting>
  <conditionalFormatting sqref="E6:AK6">
    <cfRule type="notContainsBlanks" dxfId="1584" priority="446" stopIfTrue="1">
      <formula>LEN(TRIM(E6))&gt;0</formula>
    </cfRule>
  </conditionalFormatting>
  <conditionalFormatting sqref="E7:AK7">
    <cfRule type="containsBlanks" dxfId="1583" priority="447" stopIfTrue="1">
      <formula>LEN(TRIM(E7))=0</formula>
    </cfRule>
  </conditionalFormatting>
  <conditionalFormatting sqref="E7:AK7">
    <cfRule type="notContainsBlanks" dxfId="1582" priority="448" stopIfTrue="1">
      <formula>LEN(TRIM(E7))&gt;0</formula>
    </cfRule>
  </conditionalFormatting>
  <conditionalFormatting sqref="E9:AK9">
    <cfRule type="containsBlanks" dxfId="1581" priority="449" stopIfTrue="1">
      <formula>LEN(TRIM(E9))=0</formula>
    </cfRule>
  </conditionalFormatting>
  <conditionalFormatting sqref="E9:AK9">
    <cfRule type="notContainsBlanks" dxfId="1580" priority="450" stopIfTrue="1">
      <formula>LEN(TRIM(E9))&gt;0</formula>
    </cfRule>
  </conditionalFormatting>
  <pageMargins left="0.7" right="0.7" top="0.75" bottom="0.75" header="0.3" footer="0.3"/>
  <customProperties>
    <customPr name="IsPC"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2:AL190"/>
  <sheetViews>
    <sheetView zoomScale="85" zoomScaleNormal="85" workbookViewId="0">
      <selection activeCell="AK189" sqref="AK189"/>
    </sheetView>
  </sheetViews>
  <sheetFormatPr defaultColWidth="9.109375" defaultRowHeight="14.4"/>
  <cols>
    <col min="1" max="1" width="9.109375" style="2"/>
    <col min="2" max="2" width="3.6640625" style="2" customWidth="1"/>
    <col min="3" max="3" width="35.5546875" style="2" bestFit="1" customWidth="1"/>
    <col min="4" max="4" width="10.5546875" style="2" bestFit="1" customWidth="1"/>
    <col min="5" max="5" width="9.6640625" style="148" bestFit="1" customWidth="1"/>
    <col min="6" max="37" width="9.6640625" style="2" bestFit="1" customWidth="1"/>
    <col min="38" max="38" width="3.6640625" style="2" customWidth="1"/>
    <col min="39" max="16384" width="9.109375" style="2"/>
  </cols>
  <sheetData>
    <row r="2" spans="2:38">
      <c r="B2" s="3"/>
      <c r="C2" s="3"/>
      <c r="D2" s="3"/>
      <c r="E2" s="118"/>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row>
    <row r="3" spans="2:38">
      <c r="B3" s="3"/>
      <c r="C3" s="8" t="s">
        <v>71</v>
      </c>
      <c r="D3" s="9"/>
      <c r="E3" s="139">
        <f t="array" ref="E3:AK3">_yS</f>
        <v>2018</v>
      </c>
      <c r="F3" s="10">
        <v>2019</v>
      </c>
      <c r="G3" s="10">
        <v>2020</v>
      </c>
      <c r="H3" s="10">
        <v>2021</v>
      </c>
      <c r="I3" s="10">
        <v>2022</v>
      </c>
      <c r="J3" s="10">
        <v>2023</v>
      </c>
      <c r="K3" s="10">
        <v>2024</v>
      </c>
      <c r="L3" s="10">
        <v>2025</v>
      </c>
      <c r="M3" s="10">
        <v>2026</v>
      </c>
      <c r="N3" s="10">
        <v>2027</v>
      </c>
      <c r="O3" s="10">
        <v>2028</v>
      </c>
      <c r="P3" s="10">
        <v>2029</v>
      </c>
      <c r="Q3" s="10">
        <v>2030</v>
      </c>
      <c r="R3" s="10">
        <v>2031</v>
      </c>
      <c r="S3" s="10">
        <v>2032</v>
      </c>
      <c r="T3" s="10">
        <v>2033</v>
      </c>
      <c r="U3" s="10">
        <v>2034</v>
      </c>
      <c r="V3" s="10">
        <v>2035</v>
      </c>
      <c r="W3" s="10">
        <v>2036</v>
      </c>
      <c r="X3" s="10">
        <v>2037</v>
      </c>
      <c r="Y3" s="10">
        <v>2038</v>
      </c>
      <c r="Z3" s="10">
        <v>2039</v>
      </c>
      <c r="AA3" s="10">
        <v>2040</v>
      </c>
      <c r="AB3" s="10">
        <v>2041</v>
      </c>
      <c r="AC3" s="10">
        <v>2042</v>
      </c>
      <c r="AD3" s="10">
        <v>2043</v>
      </c>
      <c r="AE3" s="10">
        <v>2044</v>
      </c>
      <c r="AF3" s="10">
        <v>2045</v>
      </c>
      <c r="AG3" s="10">
        <v>2046</v>
      </c>
      <c r="AH3" s="10">
        <v>2047</v>
      </c>
      <c r="AI3" s="10">
        <v>2048</v>
      </c>
      <c r="AJ3" s="10">
        <v>2049</v>
      </c>
      <c r="AK3" s="11">
        <v>2050</v>
      </c>
      <c r="AL3" s="3"/>
    </row>
    <row r="4" spans="2:38">
      <c r="B4" s="3"/>
      <c r="C4" s="30" t="str">
        <f>"Std (CSL " &amp; stdCSL &amp; "): " &amp; INDEX(_doName,6,stdCSL+1)</f>
        <v>Std (CSL 1): EL 1</v>
      </c>
      <c r="D4" s="31"/>
      <c r="E4" s="140"/>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2"/>
      <c r="AL4" s="3"/>
    </row>
    <row r="5" spans="2:38">
      <c r="B5" s="3"/>
      <c r="C5" s="23" t="s">
        <v>57</v>
      </c>
      <c r="D5" s="16" t="str">
        <f>"th " &amp; _yearDol &amp; "$"</f>
        <v>th 2013$</v>
      </c>
      <c r="E5" s="141">
        <f t="array" aca="1" ref="E5:AK5" ca="1">tecs-tiec</f>
        <v>8115.3154011395791</v>
      </c>
      <c r="F5" s="28">
        <f ca="1"/>
        <v>8327.2927492636518</v>
      </c>
      <c r="G5" s="28">
        <f ca="1"/>
        <v>8325.6071287983305</v>
      </c>
      <c r="H5" s="28">
        <f ca="1"/>
        <v>8359.316730599563</v>
      </c>
      <c r="I5" s="28">
        <f ca="1"/>
        <v>8385.2134064750462</v>
      </c>
      <c r="J5" s="28">
        <f ca="1"/>
        <v>8399.6097703085215</v>
      </c>
      <c r="K5" s="28">
        <f ca="1"/>
        <v>8418.4781607091081</v>
      </c>
      <c r="L5" s="28">
        <f ca="1"/>
        <v>8494.0439720305112</v>
      </c>
      <c r="M5" s="28">
        <f ca="1"/>
        <v>8542.2374914014945</v>
      </c>
      <c r="N5" s="28">
        <f ca="1"/>
        <v>8587.5910001399843</v>
      </c>
      <c r="O5" s="28">
        <f ca="1"/>
        <v>8653.3513396402122</v>
      </c>
      <c r="P5" s="28">
        <f ca="1"/>
        <v>8752.0968420271674</v>
      </c>
      <c r="Q5" s="28">
        <f ca="1"/>
        <v>8874.8046986592963</v>
      </c>
      <c r="R5" s="28">
        <f ca="1"/>
        <v>9066.1408443785622</v>
      </c>
      <c r="S5" s="28">
        <f ca="1"/>
        <v>9359.5855997827966</v>
      </c>
      <c r="T5" s="28">
        <f ca="1"/>
        <v>9629.4099800083532</v>
      </c>
      <c r="U5" s="28">
        <f ca="1"/>
        <v>9888.516439171266</v>
      </c>
      <c r="V5" s="28">
        <f ca="1"/>
        <v>10188.079847457686</v>
      </c>
      <c r="W5" s="28">
        <f ca="1"/>
        <v>10529.282225135572</v>
      </c>
      <c r="X5" s="28">
        <f ca="1"/>
        <v>10708.337565331542</v>
      </c>
      <c r="Y5" s="28">
        <f ca="1"/>
        <v>10839.206162773149</v>
      </c>
      <c r="Z5" s="28">
        <f ca="1"/>
        <v>10912.151718383804</v>
      </c>
      <c r="AA5" s="28">
        <f ca="1"/>
        <v>10948.440312529154</v>
      </c>
      <c r="AB5" s="28">
        <f ca="1"/>
        <v>11115.088470860632</v>
      </c>
      <c r="AC5" s="28">
        <f ca="1"/>
        <v>11290.293556347411</v>
      </c>
      <c r="AD5" s="28">
        <f ca="1"/>
        <v>11490.566760559301</v>
      </c>
      <c r="AE5" s="28">
        <f ca="1"/>
        <v>11700.500501974344</v>
      </c>
      <c r="AF5" s="28">
        <f ca="1"/>
        <v>11907.74037934966</v>
      </c>
      <c r="AG5" s="28">
        <f ca="1"/>
        <v>12122.745120440457</v>
      </c>
      <c r="AH5" s="28">
        <f ca="1"/>
        <v>12334.911102574877</v>
      </c>
      <c r="AI5" s="28">
        <f ca="1"/>
        <v>12555.000814845362</v>
      </c>
      <c r="AJ5" s="28">
        <f ca="1"/>
        <v>12772.130241310806</v>
      </c>
      <c r="AK5" s="29">
        <f ca="1"/>
        <v>12997.296969015722</v>
      </c>
      <c r="AL5" s="3"/>
    </row>
    <row r="6" spans="2:38">
      <c r="B6" s="3"/>
      <c r="C6" s="23" t="s">
        <v>58</v>
      </c>
      <c r="D6" s="16" t="str">
        <f>"th " &amp; _yearDol &amp; "$"</f>
        <v>th 2013$</v>
      </c>
      <c r="E6" s="141">
        <f t="array" aca="1" ref="E6:AK6" ca="1">tiecU*tShpRad</f>
        <v>1473.8795248911456</v>
      </c>
      <c r="F6" s="28">
        <f ca="1"/>
        <v>1504.5695158543404</v>
      </c>
      <c r="G6" s="28">
        <f ca="1"/>
        <v>1497.4045919772423</v>
      </c>
      <c r="H6" s="28">
        <f ca="1"/>
        <v>1496.0445183645641</v>
      </c>
      <c r="I6" s="28">
        <f ca="1"/>
        <v>1494.1740666126955</v>
      </c>
      <c r="J6" s="28">
        <f ca="1"/>
        <v>1489.7096600325231</v>
      </c>
      <c r="K6" s="28">
        <f ca="1"/>
        <v>1486.9502529503061</v>
      </c>
      <c r="L6" s="28">
        <f ca="1"/>
        <v>1493.6412542695844</v>
      </c>
      <c r="M6" s="28">
        <f ca="1"/>
        <v>1494.8975696891303</v>
      </c>
      <c r="N6" s="28">
        <f ca="1"/>
        <v>1496.4988109939536</v>
      </c>
      <c r="O6" s="28">
        <f ca="1"/>
        <v>1501.0669757672581</v>
      </c>
      <c r="P6" s="28">
        <f ca="1"/>
        <v>1510.6800321471767</v>
      </c>
      <c r="Q6" s="28">
        <f ca="1"/>
        <v>1525.1500936758757</v>
      </c>
      <c r="R6" s="28">
        <f ca="1"/>
        <v>1550.6353493295228</v>
      </c>
      <c r="S6" s="28">
        <f ca="1"/>
        <v>1594.1408792822824</v>
      </c>
      <c r="T6" s="28">
        <f ca="1"/>
        <v>1632.6716245156792</v>
      </c>
      <c r="U6" s="28">
        <f ca="1"/>
        <v>1668.3784643305876</v>
      </c>
      <c r="V6" s="28">
        <f ca="1"/>
        <v>1711.4353102049377</v>
      </c>
      <c r="W6" s="28">
        <f ca="1"/>
        <v>1760.4035688123301</v>
      </c>
      <c r="X6" s="28">
        <f ca="1"/>
        <v>1782.8798368651453</v>
      </c>
      <c r="Y6" s="28">
        <f ca="1"/>
        <v>1796.511420022317</v>
      </c>
      <c r="Z6" s="28">
        <f ca="1"/>
        <v>1799.7419453868638</v>
      </c>
      <c r="AA6" s="28">
        <f ca="1"/>
        <v>1797.8406466046042</v>
      </c>
      <c r="AB6" s="28">
        <f ca="1"/>
        <v>1816.5647940517215</v>
      </c>
      <c r="AC6" s="28">
        <f ca="1"/>
        <v>1837.4454293506935</v>
      </c>
      <c r="AD6" s="28">
        <f ca="1"/>
        <v>1861.5173301573509</v>
      </c>
      <c r="AE6" s="28">
        <f ca="1"/>
        <v>1886.1781288169209</v>
      </c>
      <c r="AF6" s="28">
        <f ca="1"/>
        <v>1911.0913122705961</v>
      </c>
      <c r="AG6" s="28">
        <f ca="1"/>
        <v>1936.2624890693564</v>
      </c>
      <c r="AH6" s="28">
        <f ca="1"/>
        <v>1961.6972677641825</v>
      </c>
      <c r="AI6" s="28">
        <f ca="1"/>
        <v>1987.4096697325242</v>
      </c>
      <c r="AJ6" s="28">
        <f ca="1"/>
        <v>2013.4024992498717</v>
      </c>
      <c r="AK6" s="29">
        <f ca="1"/>
        <v>2039.6841691426951</v>
      </c>
      <c r="AL6" s="3"/>
    </row>
    <row r="7" spans="2:38">
      <c r="B7" s="3"/>
      <c r="C7" s="23" t="s">
        <v>59</v>
      </c>
      <c r="D7" s="16" t="str">
        <f>"th " &amp; _yearDol &amp; "$"</f>
        <v>th 2013$</v>
      </c>
      <c r="E7" s="141">
        <f t="array" aca="1" ref="E7:AK7" ca="1">tecsU*tShpRad</f>
        <v>9589.1949260307247</v>
      </c>
      <c r="F7" s="28">
        <f ca="1"/>
        <v>9831.8622651179921</v>
      </c>
      <c r="G7" s="28">
        <f ca="1"/>
        <v>9823.011720775572</v>
      </c>
      <c r="H7" s="28">
        <f ca="1"/>
        <v>9855.3612489641273</v>
      </c>
      <c r="I7" s="28">
        <f ca="1"/>
        <v>9879.3874730877415</v>
      </c>
      <c r="J7" s="28">
        <f ca="1"/>
        <v>9889.3194303410437</v>
      </c>
      <c r="K7" s="28">
        <f ca="1"/>
        <v>9905.4284136594142</v>
      </c>
      <c r="L7" s="28">
        <f ca="1"/>
        <v>9987.6852263000947</v>
      </c>
      <c r="M7" s="28">
        <f ca="1"/>
        <v>10037.135061090625</v>
      </c>
      <c r="N7" s="28">
        <f ca="1"/>
        <v>10084.089811133937</v>
      </c>
      <c r="O7" s="28">
        <f ca="1"/>
        <v>10154.418315407471</v>
      </c>
      <c r="P7" s="28">
        <f ca="1"/>
        <v>10262.776874174344</v>
      </c>
      <c r="Q7" s="28">
        <f ca="1"/>
        <v>10399.954792335171</v>
      </c>
      <c r="R7" s="28">
        <f ca="1"/>
        <v>10616.776193708085</v>
      </c>
      <c r="S7" s="28">
        <f ca="1"/>
        <v>10953.726479065079</v>
      </c>
      <c r="T7" s="28">
        <f ca="1"/>
        <v>11262.081604524032</v>
      </c>
      <c r="U7" s="28">
        <f ca="1"/>
        <v>11556.894903501854</v>
      </c>
      <c r="V7" s="28">
        <f ca="1"/>
        <v>11899.515157662623</v>
      </c>
      <c r="W7" s="28">
        <f ca="1"/>
        <v>12289.685793947901</v>
      </c>
      <c r="X7" s="28">
        <f ca="1"/>
        <v>12491.217402196688</v>
      </c>
      <c r="Y7" s="28">
        <f ca="1"/>
        <v>12635.717582795465</v>
      </c>
      <c r="Z7" s="28">
        <f ca="1"/>
        <v>12711.893663770668</v>
      </c>
      <c r="AA7" s="28">
        <f ca="1"/>
        <v>12746.280959133757</v>
      </c>
      <c r="AB7" s="28">
        <f ca="1"/>
        <v>12931.653264912353</v>
      </c>
      <c r="AC7" s="28">
        <f ca="1"/>
        <v>13127.738985698104</v>
      </c>
      <c r="AD7" s="28">
        <f ca="1"/>
        <v>13352.084090716651</v>
      </c>
      <c r="AE7" s="28">
        <f ca="1"/>
        <v>13586.678630791264</v>
      </c>
      <c r="AF7" s="28">
        <f ca="1"/>
        <v>13818.831691620255</v>
      </c>
      <c r="AG7" s="28">
        <f ca="1"/>
        <v>14059.007609509814</v>
      </c>
      <c r="AH7" s="28">
        <f ca="1"/>
        <v>14296.60837033906</v>
      </c>
      <c r="AI7" s="28">
        <f ca="1"/>
        <v>14542.410484577886</v>
      </c>
      <c r="AJ7" s="28">
        <f ca="1"/>
        <v>14785.532740560679</v>
      </c>
      <c r="AK7" s="29">
        <f ca="1"/>
        <v>15036.981138158417</v>
      </c>
      <c r="AL7" s="3"/>
    </row>
    <row r="8" spans="2:38">
      <c r="B8" s="3"/>
      <c r="C8" s="23" t="s">
        <v>60</v>
      </c>
      <c r="D8" s="13"/>
      <c r="E8" s="142"/>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4"/>
      <c r="AL8" s="3"/>
    </row>
    <row r="9" spans="2:38">
      <c r="B9" s="3"/>
      <c r="C9" s="34" t="str">
        <f>INDEX(_fuel,1)</f>
        <v>Electricity</v>
      </c>
      <c r="D9" s="5" t="s">
        <v>61</v>
      </c>
      <c r="E9" s="143">
        <f t="array" aca="1" ref="E9:AK9" ca="1">tsavUElec*tShpRad</f>
        <v>2202.6133403086719</v>
      </c>
      <c r="F9" s="24">
        <f ca="1"/>
        <v>2233.3727124122515</v>
      </c>
      <c r="G9" s="24">
        <f ca="1"/>
        <v>2207.5919467813733</v>
      </c>
      <c r="H9" s="24">
        <f ca="1"/>
        <v>2192.302629257807</v>
      </c>
      <c r="I9" s="24">
        <f ca="1"/>
        <v>2176.9825461324658</v>
      </c>
      <c r="J9" s="24">
        <f ca="1"/>
        <v>2159.5566358726605</v>
      </c>
      <c r="K9" s="24">
        <f ca="1"/>
        <v>2147.1049368310055</v>
      </c>
      <c r="L9" s="24">
        <f ca="1"/>
        <v>2149.7280876230579</v>
      </c>
      <c r="M9" s="24">
        <f ca="1"/>
        <v>2144.4565213186338</v>
      </c>
      <c r="N9" s="24">
        <f ca="1"/>
        <v>2141.082351831189</v>
      </c>
      <c r="O9" s="24">
        <f ca="1"/>
        <v>2143.6989259798243</v>
      </c>
      <c r="P9" s="24">
        <f ca="1"/>
        <v>2154.5391854439249</v>
      </c>
      <c r="Q9" s="24">
        <f ca="1"/>
        <v>2172.7215098854658</v>
      </c>
      <c r="R9" s="24">
        <f ca="1"/>
        <v>2207.1862946212232</v>
      </c>
      <c r="S9" s="24">
        <f ca="1"/>
        <v>2267.6693443274548</v>
      </c>
      <c r="T9" s="24">
        <f ca="1"/>
        <v>2322.2935961266335</v>
      </c>
      <c r="U9" s="24">
        <f ca="1"/>
        <v>2373.4693560105093</v>
      </c>
      <c r="V9" s="24">
        <f ca="1"/>
        <v>2435.3065822333538</v>
      </c>
      <c r="W9" s="24">
        <f ca="1"/>
        <v>2505.8451509145352</v>
      </c>
      <c r="X9" s="24">
        <f ca="1"/>
        <v>2538.6607253239831</v>
      </c>
      <c r="Y9" s="24">
        <f ca="1"/>
        <v>2558.7569425410261</v>
      </c>
      <c r="Z9" s="24">
        <f ca="1"/>
        <v>2563.8187430481557</v>
      </c>
      <c r="AA9" s="24">
        <f ca="1"/>
        <v>2561.4134897729014</v>
      </c>
      <c r="AB9" s="24">
        <f ca="1"/>
        <v>2588.0900942573539</v>
      </c>
      <c r="AC9" s="24">
        <f ca="1"/>
        <v>2617.8390828736833</v>
      </c>
      <c r="AD9" s="24">
        <f ca="1"/>
        <v>2652.1347205694351</v>
      </c>
      <c r="AE9" s="24">
        <f ca="1"/>
        <v>2687.2693708369616</v>
      </c>
      <c r="AF9" s="24">
        <f ca="1"/>
        <v>2722.7635979209622</v>
      </c>
      <c r="AG9" s="24">
        <f ca="1"/>
        <v>2758.6253924173589</v>
      </c>
      <c r="AH9" s="24">
        <f ca="1"/>
        <v>2794.8627449220739</v>
      </c>
      <c r="AI9" s="24">
        <f ca="1"/>
        <v>2831.4956319249109</v>
      </c>
      <c r="AJ9" s="24">
        <f ca="1"/>
        <v>2868.528048723831</v>
      </c>
      <c r="AK9" s="26">
        <f ca="1"/>
        <v>2905.9719812127159</v>
      </c>
      <c r="AL9" s="3"/>
    </row>
    <row r="10" spans="2:38">
      <c r="B10" s="3"/>
      <c r="C10" s="3"/>
      <c r="D10" s="3"/>
      <c r="E10" s="118"/>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row>
    <row r="11" spans="2:38">
      <c r="B11" s="3"/>
      <c r="C11" s="8" t="s">
        <v>99</v>
      </c>
      <c r="D11" s="9"/>
      <c r="E11" s="139">
        <f t="array" ref="E11:AK11">_yS</f>
        <v>2018</v>
      </c>
      <c r="F11" s="10">
        <v>2019</v>
      </c>
      <c r="G11" s="10">
        <v>2020</v>
      </c>
      <c r="H11" s="10">
        <v>2021</v>
      </c>
      <c r="I11" s="10">
        <v>2022</v>
      </c>
      <c r="J11" s="10">
        <v>2023</v>
      </c>
      <c r="K11" s="10">
        <v>2024</v>
      </c>
      <c r="L11" s="10">
        <v>2025</v>
      </c>
      <c r="M11" s="10">
        <v>2026</v>
      </c>
      <c r="N11" s="10">
        <v>2027</v>
      </c>
      <c r="O11" s="10">
        <v>2028</v>
      </c>
      <c r="P11" s="10">
        <v>2029</v>
      </c>
      <c r="Q11" s="10">
        <v>2030</v>
      </c>
      <c r="R11" s="10">
        <v>2031</v>
      </c>
      <c r="S11" s="10">
        <v>2032</v>
      </c>
      <c r="T11" s="10">
        <v>2033</v>
      </c>
      <c r="U11" s="10">
        <v>2034</v>
      </c>
      <c r="V11" s="10">
        <v>2035</v>
      </c>
      <c r="W11" s="10">
        <v>2036</v>
      </c>
      <c r="X11" s="10">
        <v>2037</v>
      </c>
      <c r="Y11" s="10">
        <v>2038</v>
      </c>
      <c r="Z11" s="10">
        <v>2039</v>
      </c>
      <c r="AA11" s="10">
        <v>2040</v>
      </c>
      <c r="AB11" s="10">
        <v>2041</v>
      </c>
      <c r="AC11" s="10">
        <v>2042</v>
      </c>
      <c r="AD11" s="10">
        <v>2043</v>
      </c>
      <c r="AE11" s="10">
        <v>2044</v>
      </c>
      <c r="AF11" s="10">
        <v>2045</v>
      </c>
      <c r="AG11" s="10">
        <v>2046</v>
      </c>
      <c r="AH11" s="10">
        <v>2047</v>
      </c>
      <c r="AI11" s="10">
        <v>2048</v>
      </c>
      <c r="AJ11" s="10">
        <v>2049</v>
      </c>
      <c r="AK11" s="11">
        <v>2050</v>
      </c>
      <c r="AL11" s="3"/>
    </row>
    <row r="12" spans="2:38">
      <c r="B12" s="3"/>
      <c r="C12" s="30" t="str">
        <f>"Std (CSL " &amp; stdCSL &amp; "): " &amp; INDEX(_doName,6,stdCSL+1)</f>
        <v>Std (CSL 1): EL 1</v>
      </c>
      <c r="D12" s="31"/>
      <c r="E12" s="140"/>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2"/>
      <c r="AL12" s="3"/>
    </row>
    <row r="13" spans="2:38">
      <c r="B13" s="3"/>
      <c r="C13" s="23" t="s">
        <v>57</v>
      </c>
      <c r="D13" s="16" t="str">
        <f>_yearDol &amp; "$"</f>
        <v>2013$</v>
      </c>
      <c r="E13" s="141">
        <f t="array" aca="1" ref="E13:AK13" ca="1">tecsU-tiecU</f>
        <v>171.56219117394039</v>
      </c>
      <c r="F13" s="28">
        <f ca="1"/>
        <v>172.45259789687816</v>
      </c>
      <c r="G13" s="28">
        <f ca="1"/>
        <v>173.24269039488399</v>
      </c>
      <c r="H13" s="28">
        <f ca="1"/>
        <v>174.10226867132997</v>
      </c>
      <c r="I13" s="28">
        <f ca="1"/>
        <v>174.86024895785204</v>
      </c>
      <c r="J13" s="28">
        <f ca="1"/>
        <v>175.68538828501596</v>
      </c>
      <c r="K13" s="28">
        <f ca="1"/>
        <v>176.40679805919763</v>
      </c>
      <c r="L13" s="28">
        <f ca="1"/>
        <v>177.1929225839599</v>
      </c>
      <c r="M13" s="28">
        <f ca="1"/>
        <v>178.04852180067655</v>
      </c>
      <c r="N13" s="28">
        <f ca="1"/>
        <v>178.8023172147482</v>
      </c>
      <c r="O13" s="28">
        <f ca="1"/>
        <v>179.62320180957295</v>
      </c>
      <c r="P13" s="28">
        <f ca="1"/>
        <v>180.51686906581426</v>
      </c>
      <c r="Q13" s="28">
        <f ca="1"/>
        <v>181.31109702797085</v>
      </c>
      <c r="R13" s="28">
        <f ca="1"/>
        <v>182.17591024004332</v>
      </c>
      <c r="S13" s="28">
        <f ca="1"/>
        <v>182.9397530786996</v>
      </c>
      <c r="T13" s="28">
        <f ca="1"/>
        <v>183.77185511417747</v>
      </c>
      <c r="U13" s="28">
        <f ca="1"/>
        <v>184.67781658967988</v>
      </c>
      <c r="V13" s="28">
        <f ca="1"/>
        <v>185.48552289298505</v>
      </c>
      <c r="W13" s="28">
        <f ca="1"/>
        <v>186.36514562757338</v>
      </c>
      <c r="X13" s="28">
        <f ca="1"/>
        <v>187.14496471012217</v>
      </c>
      <c r="Y13" s="28">
        <f ca="1"/>
        <v>187.99472401642242</v>
      </c>
      <c r="Z13" s="28">
        <f ca="1"/>
        <v>188.92016828729948</v>
      </c>
      <c r="AA13" s="28">
        <f ca="1"/>
        <v>189.74888248900652</v>
      </c>
      <c r="AB13" s="28">
        <f ca="1"/>
        <v>190.65148723889843</v>
      </c>
      <c r="AC13" s="28">
        <f ca="1"/>
        <v>191.45598672471942</v>
      </c>
      <c r="AD13" s="28">
        <f ca="1"/>
        <v>192.33243650512713</v>
      </c>
      <c r="AE13" s="28">
        <f ca="1"/>
        <v>193.28577883856315</v>
      </c>
      <c r="AF13" s="28">
        <f ca="1"/>
        <v>194.14494438264637</v>
      </c>
      <c r="AG13" s="28">
        <f ca="1"/>
        <v>195.08097117447005</v>
      </c>
      <c r="AH13" s="28">
        <f ca="1"/>
        <v>195.9215479450545</v>
      </c>
      <c r="AI13" s="28">
        <f ca="1"/>
        <v>196.83735176008895</v>
      </c>
      <c r="AJ13" s="28">
        <f ca="1"/>
        <v>197.65640945767927</v>
      </c>
      <c r="AK13" s="29">
        <f ca="1"/>
        <v>198.54926495548398</v>
      </c>
      <c r="AL13" s="3"/>
    </row>
    <row r="14" spans="2:38">
      <c r="B14" s="3"/>
      <c r="C14" s="23" t="s">
        <v>58</v>
      </c>
      <c r="D14" s="16" t="str">
        <f>_yearDol &amp; "$"</f>
        <v>2013$</v>
      </c>
      <c r="E14" s="141">
        <f t="array" aca="1" ref="E14:AK14" ca="1">tlccQmpol-tlccQmbc</f>
        <v>31.158616556199831</v>
      </c>
      <c r="F14" s="28">
        <f ca="1"/>
        <v>31.158616556199831</v>
      </c>
      <c r="G14" s="28">
        <f ca="1"/>
        <v>31.158616556199831</v>
      </c>
      <c r="H14" s="28">
        <f ca="1"/>
        <v>31.158616556199831</v>
      </c>
      <c r="I14" s="28">
        <f ca="1"/>
        <v>31.158616556199831</v>
      </c>
      <c r="J14" s="28">
        <f ca="1"/>
        <v>31.158616556199831</v>
      </c>
      <c r="K14" s="28">
        <f ca="1"/>
        <v>31.158616556199831</v>
      </c>
      <c r="L14" s="28">
        <f ca="1"/>
        <v>31.158616556199831</v>
      </c>
      <c r="M14" s="28">
        <f ca="1"/>
        <v>31.158616556199831</v>
      </c>
      <c r="N14" s="28">
        <f ca="1"/>
        <v>31.158616556199831</v>
      </c>
      <c r="O14" s="28">
        <f ca="1"/>
        <v>31.158616556199831</v>
      </c>
      <c r="P14" s="28">
        <f ca="1"/>
        <v>31.158616556199831</v>
      </c>
      <c r="Q14" s="28">
        <f ca="1"/>
        <v>31.158616556199831</v>
      </c>
      <c r="R14" s="28">
        <f ca="1"/>
        <v>31.158616556199831</v>
      </c>
      <c r="S14" s="28">
        <f ca="1"/>
        <v>31.158616556199831</v>
      </c>
      <c r="T14" s="28">
        <f ca="1"/>
        <v>31.158616556199831</v>
      </c>
      <c r="U14" s="28">
        <f ca="1"/>
        <v>31.158616556199831</v>
      </c>
      <c r="V14" s="28">
        <f ca="1"/>
        <v>31.158616556199831</v>
      </c>
      <c r="W14" s="28">
        <f ca="1"/>
        <v>31.158616556199831</v>
      </c>
      <c r="X14" s="28">
        <f ca="1"/>
        <v>31.158616556199831</v>
      </c>
      <c r="Y14" s="28">
        <f ca="1"/>
        <v>31.158616556199831</v>
      </c>
      <c r="Z14" s="28">
        <f ca="1"/>
        <v>31.158616556199831</v>
      </c>
      <c r="AA14" s="28">
        <f ca="1"/>
        <v>31.158616556199831</v>
      </c>
      <c r="AB14" s="28">
        <f ca="1"/>
        <v>31.158616556199831</v>
      </c>
      <c r="AC14" s="28">
        <f ca="1"/>
        <v>31.158616556199831</v>
      </c>
      <c r="AD14" s="28">
        <f ca="1"/>
        <v>31.158616556199831</v>
      </c>
      <c r="AE14" s="28">
        <f ca="1"/>
        <v>31.158616556199831</v>
      </c>
      <c r="AF14" s="28">
        <f ca="1"/>
        <v>31.158616556199831</v>
      </c>
      <c r="AG14" s="28">
        <f ca="1"/>
        <v>31.158616556199831</v>
      </c>
      <c r="AH14" s="28">
        <f ca="1"/>
        <v>31.158616556199831</v>
      </c>
      <c r="AI14" s="28">
        <f ca="1"/>
        <v>31.158616556199831</v>
      </c>
      <c r="AJ14" s="28">
        <f ca="1"/>
        <v>31.158616556199831</v>
      </c>
      <c r="AK14" s="29">
        <f ca="1"/>
        <v>31.158616556199831</v>
      </c>
      <c r="AL14" s="3"/>
    </row>
    <row r="15" spans="2:38">
      <c r="B15" s="3"/>
      <c r="C15" s="23" t="s">
        <v>59</v>
      </c>
      <c r="D15" s="16" t="str">
        <f>_yearDol &amp; "$"</f>
        <v>2013$</v>
      </c>
      <c r="E15" s="141">
        <f t="array" aca="1" ref="E15:AK15" ca="1">tlccEmbc-tlccEmpol</f>
        <v>202.72080773014022</v>
      </c>
      <c r="F15" s="28">
        <f ca="1"/>
        <v>203.61121445307799</v>
      </c>
      <c r="G15" s="28">
        <f ca="1"/>
        <v>204.40130695108382</v>
      </c>
      <c r="H15" s="28">
        <f ca="1"/>
        <v>205.2608852275298</v>
      </c>
      <c r="I15" s="28">
        <f ca="1"/>
        <v>206.01886551405187</v>
      </c>
      <c r="J15" s="28">
        <f ca="1"/>
        <v>206.84400484121579</v>
      </c>
      <c r="K15" s="28">
        <f ca="1"/>
        <v>207.56541461539746</v>
      </c>
      <c r="L15" s="28">
        <f ca="1"/>
        <v>208.35153914015973</v>
      </c>
      <c r="M15" s="28">
        <f ca="1"/>
        <v>209.20713835687638</v>
      </c>
      <c r="N15" s="28">
        <f ca="1"/>
        <v>209.96093377094803</v>
      </c>
      <c r="O15" s="28">
        <f ca="1"/>
        <v>210.78181836577278</v>
      </c>
      <c r="P15" s="28">
        <f ca="1"/>
        <v>211.67548562201409</v>
      </c>
      <c r="Q15" s="28">
        <f ca="1"/>
        <v>212.46971358417068</v>
      </c>
      <c r="R15" s="28">
        <f ca="1"/>
        <v>213.33452679624315</v>
      </c>
      <c r="S15" s="28">
        <f ca="1"/>
        <v>214.09836963489943</v>
      </c>
      <c r="T15" s="28">
        <f ca="1"/>
        <v>214.9304716703773</v>
      </c>
      <c r="U15" s="28">
        <f ca="1"/>
        <v>215.83643314587971</v>
      </c>
      <c r="V15" s="28">
        <f ca="1"/>
        <v>216.64413944918488</v>
      </c>
      <c r="W15" s="28">
        <f ca="1"/>
        <v>217.52376218377321</v>
      </c>
      <c r="X15" s="28">
        <f ca="1"/>
        <v>218.303581266322</v>
      </c>
      <c r="Y15" s="28">
        <f ca="1"/>
        <v>219.15334057262226</v>
      </c>
      <c r="Z15" s="28">
        <f ca="1"/>
        <v>220.07878484349931</v>
      </c>
      <c r="AA15" s="28">
        <f ca="1"/>
        <v>220.90749904520635</v>
      </c>
      <c r="AB15" s="28">
        <f ca="1"/>
        <v>221.81010379509826</v>
      </c>
      <c r="AC15" s="28">
        <f ca="1"/>
        <v>222.61460328091925</v>
      </c>
      <c r="AD15" s="28">
        <f ca="1"/>
        <v>223.49105306132697</v>
      </c>
      <c r="AE15" s="28">
        <f ca="1"/>
        <v>224.44439539476298</v>
      </c>
      <c r="AF15" s="28">
        <f ca="1"/>
        <v>225.3035609388462</v>
      </c>
      <c r="AG15" s="28">
        <f ca="1"/>
        <v>226.23958773066988</v>
      </c>
      <c r="AH15" s="28">
        <f ca="1"/>
        <v>227.08016450125433</v>
      </c>
      <c r="AI15" s="28">
        <f ca="1"/>
        <v>227.99596831628878</v>
      </c>
      <c r="AJ15" s="28">
        <f ca="1"/>
        <v>228.81502601387911</v>
      </c>
      <c r="AK15" s="29">
        <f ca="1"/>
        <v>229.70788151168381</v>
      </c>
      <c r="AL15" s="3"/>
    </row>
    <row r="16" spans="2:38">
      <c r="B16" s="3"/>
      <c r="C16" s="23" t="s">
        <v>60</v>
      </c>
      <c r="D16" s="13"/>
      <c r="E16" s="142"/>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4"/>
      <c r="AL16" s="3"/>
    </row>
    <row r="17" spans="2:38">
      <c r="B17" s="3"/>
      <c r="C17" s="34" t="str">
        <f>INDEX(_fuel,1)</f>
        <v>Electricity</v>
      </c>
      <c r="D17" s="5" t="s">
        <v>48</v>
      </c>
      <c r="E17" s="143">
        <f t="array" aca="1" ref="E17:AK17" ca="1">tlccFmElecbc-tlccFmElecpol</f>
        <v>46.564446641130417</v>
      </c>
      <c r="F17" s="24">
        <f ca="1"/>
        <v>46.251637587924051</v>
      </c>
      <c r="G17" s="24">
        <f ca="1"/>
        <v>45.936489944569985</v>
      </c>
      <c r="H17" s="24">
        <f ca="1"/>
        <v>45.659815708469978</v>
      </c>
      <c r="I17" s="24">
        <f ca="1"/>
        <v>45.397498136382637</v>
      </c>
      <c r="J17" s="24">
        <f ca="1"/>
        <v>45.169068143844925</v>
      </c>
      <c r="K17" s="24">
        <f ca="1"/>
        <v>44.991968830094265</v>
      </c>
      <c r="L17" s="24">
        <f ca="1"/>
        <v>44.845141355643136</v>
      </c>
      <c r="M17" s="24">
        <f ca="1"/>
        <v>44.697576492217195</v>
      </c>
      <c r="N17" s="24">
        <f ca="1"/>
        <v>44.579496840124193</v>
      </c>
      <c r="O17" s="24">
        <f ca="1"/>
        <v>44.49814293756026</v>
      </c>
      <c r="P17" s="24">
        <f ca="1"/>
        <v>44.438569985688446</v>
      </c>
      <c r="Q17" s="24">
        <f ca="1"/>
        <v>44.38841573078389</v>
      </c>
      <c r="R17" s="24">
        <f ca="1"/>
        <v>44.351414697168366</v>
      </c>
      <c r="S17" s="24">
        <f ca="1"/>
        <v>44.323209130650866</v>
      </c>
      <c r="T17" s="24">
        <f ca="1"/>
        <v>44.319662696467276</v>
      </c>
      <c r="U17" s="24">
        <f ca="1"/>
        <v>44.326885747410415</v>
      </c>
      <c r="V17" s="24">
        <f ca="1"/>
        <v>44.337512227390107</v>
      </c>
      <c r="W17" s="24">
        <f ca="1"/>
        <v>44.352709566042904</v>
      </c>
      <c r="X17" s="24">
        <f ca="1"/>
        <v>44.367070887816226</v>
      </c>
      <c r="Y17" s="24">
        <f ca="1"/>
        <v>44.378970010755438</v>
      </c>
      <c r="Z17" s="24">
        <f ca="1"/>
        <v>44.386944105513976</v>
      </c>
      <c r="AA17" s="24">
        <f ca="1"/>
        <v>44.39219956476154</v>
      </c>
      <c r="AB17" s="24">
        <f ca="1"/>
        <v>44.39219956476154</v>
      </c>
      <c r="AC17" s="24">
        <f ca="1"/>
        <v>44.39219956476154</v>
      </c>
      <c r="AD17" s="24">
        <f ca="1"/>
        <v>44.39219956476154</v>
      </c>
      <c r="AE17" s="24">
        <f ca="1"/>
        <v>44.39219956476154</v>
      </c>
      <c r="AF17" s="24">
        <f ca="1"/>
        <v>44.39219956476154</v>
      </c>
      <c r="AG17" s="24">
        <f ca="1"/>
        <v>44.39219956476154</v>
      </c>
      <c r="AH17" s="24">
        <f ca="1"/>
        <v>44.39219956476154</v>
      </c>
      <c r="AI17" s="24">
        <f ca="1"/>
        <v>44.39219956476154</v>
      </c>
      <c r="AJ17" s="24">
        <f ca="1"/>
        <v>44.39219956476154</v>
      </c>
      <c r="AK17" s="26">
        <f ca="1"/>
        <v>44.39219956476154</v>
      </c>
      <c r="AL17" s="3"/>
    </row>
    <row r="18" spans="2:38">
      <c r="B18" s="3"/>
      <c r="C18" s="3"/>
      <c r="D18" s="3"/>
      <c r="E18" s="118"/>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2:38">
      <c r="B19" s="3"/>
      <c r="C19" s="8" t="s">
        <v>140</v>
      </c>
      <c r="D19" s="9"/>
      <c r="E19" s="139">
        <f t="array" ref="E19:AK19">_yS</f>
        <v>2018</v>
      </c>
      <c r="F19" s="10">
        <v>2019</v>
      </c>
      <c r="G19" s="10">
        <v>2020</v>
      </c>
      <c r="H19" s="10">
        <v>2021</v>
      </c>
      <c r="I19" s="10">
        <v>2022</v>
      </c>
      <c r="J19" s="10">
        <v>2023</v>
      </c>
      <c r="K19" s="10">
        <v>2024</v>
      </c>
      <c r="L19" s="10">
        <v>2025</v>
      </c>
      <c r="M19" s="10">
        <v>2026</v>
      </c>
      <c r="N19" s="10">
        <v>2027</v>
      </c>
      <c r="O19" s="10">
        <v>2028</v>
      </c>
      <c r="P19" s="10">
        <v>2029</v>
      </c>
      <c r="Q19" s="10">
        <v>2030</v>
      </c>
      <c r="R19" s="10">
        <v>2031</v>
      </c>
      <c r="S19" s="10">
        <v>2032</v>
      </c>
      <c r="T19" s="10">
        <v>2033</v>
      </c>
      <c r="U19" s="10">
        <v>2034</v>
      </c>
      <c r="V19" s="10">
        <v>2035</v>
      </c>
      <c r="W19" s="10">
        <v>2036</v>
      </c>
      <c r="X19" s="10">
        <v>2037</v>
      </c>
      <c r="Y19" s="10">
        <v>2038</v>
      </c>
      <c r="Z19" s="10">
        <v>2039</v>
      </c>
      <c r="AA19" s="10">
        <v>2040</v>
      </c>
      <c r="AB19" s="10">
        <v>2041</v>
      </c>
      <c r="AC19" s="10">
        <v>2042</v>
      </c>
      <c r="AD19" s="10">
        <v>2043</v>
      </c>
      <c r="AE19" s="10">
        <v>2044</v>
      </c>
      <c r="AF19" s="10">
        <v>2045</v>
      </c>
      <c r="AG19" s="10">
        <v>2046</v>
      </c>
      <c r="AH19" s="10">
        <v>2047</v>
      </c>
      <c r="AI19" s="10">
        <v>2048</v>
      </c>
      <c r="AJ19" s="10">
        <v>2049</v>
      </c>
      <c r="AK19" s="11">
        <v>2050</v>
      </c>
      <c r="AL19" s="3"/>
    </row>
    <row r="20" spans="2:38">
      <c r="B20" s="3"/>
      <c r="C20" s="12" t="str">
        <f>"BC (CSL 0): " &amp; INDEX(_doName,6,1)</f>
        <v>BC (CSL 0): EL 0</v>
      </c>
      <c r="D20" s="13"/>
      <c r="E20" s="142"/>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4"/>
      <c r="AL20" s="3"/>
    </row>
    <row r="21" spans="2:38">
      <c r="B21" s="3"/>
      <c r="C21" s="23" t="s">
        <v>39</v>
      </c>
      <c r="D21" s="16" t="str">
        <f>_yearDol &amp; "$"</f>
        <v>2013$</v>
      </c>
      <c r="E21" s="141">
        <f ca="1">SUMPRODUCT(INDEX(bcEff,,1),INDEX(tlccQubc,,1))</f>
        <v>1549.9340983490001</v>
      </c>
      <c r="F21" s="28">
        <f ca="1">SUMPRODUCT(INDEX(bcEff,,2),INDEX(tlccQubc,,2))</f>
        <v>1549.9340983490001</v>
      </c>
      <c r="G21" s="28">
        <f ca="1">SUMPRODUCT(INDEX(bcEff,,3),INDEX(tlccQubc,,3))</f>
        <v>1549.9340983490001</v>
      </c>
      <c r="H21" s="28">
        <f ca="1">SUMPRODUCT(INDEX(bcEff,,4),INDEX(tlccQubc,,4))</f>
        <v>1549.9340983490001</v>
      </c>
      <c r="I21" s="28">
        <f ca="1">SUMPRODUCT(INDEX(bcEff,,5),INDEX(tlccQubc,,5))</f>
        <v>1549.9340983490001</v>
      </c>
      <c r="J21" s="28">
        <f ca="1">SUMPRODUCT(INDEX(bcEff,,6),INDEX(tlccQubc,,6))</f>
        <v>1549.9340983490001</v>
      </c>
      <c r="K21" s="28">
        <f ca="1">SUMPRODUCT(INDEX(bcEff,,7),INDEX(tlccQubc,,7))</f>
        <v>1549.9340983490001</v>
      </c>
      <c r="L21" s="28">
        <f ca="1">SUMPRODUCT(INDEX(bcEff,,8),INDEX(tlccQubc,,8))</f>
        <v>1549.9340983490001</v>
      </c>
      <c r="M21" s="28">
        <f ca="1">SUMPRODUCT(INDEX(bcEff,,9),INDEX(tlccQubc,,9))</f>
        <v>1549.9340983490001</v>
      </c>
      <c r="N21" s="28">
        <f ca="1">SUMPRODUCT(INDEX(bcEff,,10),INDEX(tlccQubc,,10))</f>
        <v>1549.9340983490001</v>
      </c>
      <c r="O21" s="28">
        <f ca="1">SUMPRODUCT(INDEX(bcEff,,11),INDEX(tlccQubc,,11))</f>
        <v>1549.9340983490001</v>
      </c>
      <c r="P21" s="28">
        <f ca="1">SUMPRODUCT(INDEX(bcEff,,12),INDEX(tlccQubc,,12))</f>
        <v>1549.9340983490001</v>
      </c>
      <c r="Q21" s="28">
        <f ca="1">SUMPRODUCT(INDEX(bcEff,,13),INDEX(tlccQubc,,13))</f>
        <v>1549.9340983490001</v>
      </c>
      <c r="R21" s="28">
        <f ca="1">SUMPRODUCT(INDEX(bcEff,,14),INDEX(tlccQubc,,14))</f>
        <v>1549.9340983490001</v>
      </c>
      <c r="S21" s="28">
        <f ca="1">SUMPRODUCT(INDEX(bcEff,,15),INDEX(tlccQubc,,15))</f>
        <v>1549.9340983490001</v>
      </c>
      <c r="T21" s="28">
        <f ca="1">SUMPRODUCT(INDEX(bcEff,,16),INDEX(tlccQubc,,16))</f>
        <v>1549.9340983490001</v>
      </c>
      <c r="U21" s="28">
        <f ca="1">SUMPRODUCT(INDEX(bcEff,,17),INDEX(tlccQubc,,17))</f>
        <v>1549.9340983490001</v>
      </c>
      <c r="V21" s="28">
        <f ca="1">SUMPRODUCT(INDEX(bcEff,,18),INDEX(tlccQubc,,18))</f>
        <v>1549.9340983490001</v>
      </c>
      <c r="W21" s="28">
        <f ca="1">SUMPRODUCT(INDEX(bcEff,,19),INDEX(tlccQubc,,19))</f>
        <v>1549.9340983490001</v>
      </c>
      <c r="X21" s="28">
        <f ca="1">SUMPRODUCT(INDEX(bcEff,,20),INDEX(tlccQubc,,20))</f>
        <v>1549.9340983490001</v>
      </c>
      <c r="Y21" s="28">
        <f ca="1">SUMPRODUCT(INDEX(bcEff,,21),INDEX(tlccQubc,,21))</f>
        <v>1549.9340983490001</v>
      </c>
      <c r="Z21" s="28">
        <f ca="1">SUMPRODUCT(INDEX(bcEff,,22),INDEX(tlccQubc,,22))</f>
        <v>1549.9340983490001</v>
      </c>
      <c r="AA21" s="28">
        <f ca="1">SUMPRODUCT(INDEX(bcEff,,23),INDEX(tlccQubc,,23))</f>
        <v>1549.9340983490001</v>
      </c>
      <c r="AB21" s="28">
        <f ca="1">SUMPRODUCT(INDEX(bcEff,,24),INDEX(tlccQubc,,24))</f>
        <v>1549.9340983490001</v>
      </c>
      <c r="AC21" s="28">
        <f ca="1">SUMPRODUCT(INDEX(bcEff,,25),INDEX(tlccQubc,,25))</f>
        <v>1549.9340983490001</v>
      </c>
      <c r="AD21" s="28">
        <f ca="1">SUMPRODUCT(INDEX(bcEff,,26),INDEX(tlccQubc,,26))</f>
        <v>1549.9340983490001</v>
      </c>
      <c r="AE21" s="28">
        <f ca="1">SUMPRODUCT(INDEX(bcEff,,27),INDEX(tlccQubc,,27))</f>
        <v>1549.9340983490001</v>
      </c>
      <c r="AF21" s="28">
        <f ca="1">SUMPRODUCT(INDEX(bcEff,,28),INDEX(tlccQubc,,28))</f>
        <v>1549.9340983490001</v>
      </c>
      <c r="AG21" s="28">
        <f ca="1">SUMPRODUCT(INDEX(bcEff,,29),INDEX(tlccQubc,,29))</f>
        <v>1549.9340983490001</v>
      </c>
      <c r="AH21" s="28">
        <f ca="1">SUMPRODUCT(INDEX(bcEff,,30),INDEX(tlccQubc,,30))</f>
        <v>1549.9340983490001</v>
      </c>
      <c r="AI21" s="28">
        <f ca="1">SUMPRODUCT(INDEX(bcEff,,31),INDEX(tlccQubc,,31))</f>
        <v>1549.9340983490001</v>
      </c>
      <c r="AJ21" s="28">
        <f ca="1">SUMPRODUCT(INDEX(bcEff,,32),INDEX(tlccQubc,,32))</f>
        <v>1549.9340983490001</v>
      </c>
      <c r="AK21" s="29">
        <f ca="1">SUMPRODUCT(INDEX(bcEff,,33),INDEX(tlccQubc,,33))</f>
        <v>1549.9340983490001</v>
      </c>
      <c r="AL21" s="3"/>
    </row>
    <row r="22" spans="2:38">
      <c r="B22" s="3"/>
      <c r="C22" s="23" t="s">
        <v>47</v>
      </c>
      <c r="D22" s="16" t="str">
        <f>_yearDol &amp; "$"</f>
        <v>2013$</v>
      </c>
      <c r="E22" s="141">
        <f ca="1">SUMPRODUCT(INDEX(bcEff,,1),INDEX(tlccEubc,,1))</f>
        <v>60911.766966095092</v>
      </c>
      <c r="F22" s="28">
        <f ca="1">SUMPRODUCT(INDEX(bcEff,,2),INDEX(tlccEubc,,2))</f>
        <v>61179.308554055737</v>
      </c>
      <c r="G22" s="28">
        <f ca="1">SUMPRODUCT(INDEX(bcEff,,3),INDEX(tlccEubc,,3))</f>
        <v>61416.708605186133</v>
      </c>
      <c r="H22" s="28">
        <f ca="1">SUMPRODUCT(INDEX(bcEff,,4),INDEX(tlccEubc,,4))</f>
        <v>61674.987132436872</v>
      </c>
      <c r="I22" s="28">
        <f ca="1">SUMPRODUCT(INDEX(bcEff,,5),INDEX(tlccEubc,,5))</f>
        <v>61902.738388437989</v>
      </c>
      <c r="J22" s="28">
        <f ca="1">SUMPRODUCT(INDEX(bcEff,,6),INDEX(tlccEubc,,6))</f>
        <v>62150.669002829512</v>
      </c>
      <c r="K22" s="28">
        <f ca="1">SUMPRODUCT(INDEX(bcEff,,7),INDEX(tlccEubc,,7))</f>
        <v>62367.43187263103</v>
      </c>
      <c r="L22" s="28">
        <f ca="1">SUMPRODUCT(INDEX(bcEff,,8),INDEX(tlccEubc,,8))</f>
        <v>62603.639662027366</v>
      </c>
      <c r="M22" s="28">
        <f ca="1">SUMPRODUCT(INDEX(bcEff,,9),INDEX(tlccEubc,,9))</f>
        <v>62860.722596374682</v>
      </c>
      <c r="N22" s="28">
        <f ca="1">SUMPRODUCT(INDEX(bcEff,,10),INDEX(tlccEubc,,10))</f>
        <v>63087.216418674499</v>
      </c>
      <c r="O22" s="28">
        <f ca="1">SUMPRODUCT(INDEX(bcEff,,11),INDEX(tlccEubc,,11))</f>
        <v>63333.868608482117</v>
      </c>
      <c r="P22" s="28">
        <f ca="1">SUMPRODUCT(INDEX(bcEff,,12),INDEX(tlccEubc,,12))</f>
        <v>63602.389892835883</v>
      </c>
      <c r="Q22" s="28">
        <f ca="1">SUMPRODUCT(INDEX(bcEff,,13),INDEX(tlccEubc,,13))</f>
        <v>63841.032531893681</v>
      </c>
      <c r="R22" s="28">
        <f ca="1">SUMPRODUCT(INDEX(bcEff,,14),INDEX(tlccEubc,,14))</f>
        <v>64100.884006605935</v>
      </c>
      <c r="S22" s="28">
        <f ca="1">SUMPRODUCT(INDEX(bcEff,,15),INDEX(tlccEubc,,15))</f>
        <v>64330.39679075373</v>
      </c>
      <c r="T22" s="28">
        <f ca="1">SUMPRODUCT(INDEX(bcEff,,16),INDEX(tlccEubc,,16))</f>
        <v>64580.419498559662</v>
      </c>
      <c r="U22" s="28">
        <f ca="1">SUMPRODUCT(INDEX(bcEff,,17),INDEX(tlccEubc,,17))</f>
        <v>64852.634841886109</v>
      </c>
      <c r="V22" s="28">
        <f ca="1">SUMPRODUCT(INDEX(bcEff,,18),INDEX(tlccEubc,,18))</f>
        <v>65095.327334460038</v>
      </c>
      <c r="W22" s="28">
        <f ca="1">SUMPRODUCT(INDEX(bcEff,,19),INDEX(tlccEubc,,19))</f>
        <v>65359.628644357676</v>
      </c>
      <c r="X22" s="28">
        <f ca="1">SUMPRODUCT(INDEX(bcEff,,20),INDEX(tlccEubc,,20))</f>
        <v>65593.94182988473</v>
      </c>
      <c r="Y22" s="28">
        <f ca="1">SUMPRODUCT(INDEX(bcEff,,21),INDEX(tlccEubc,,21))</f>
        <v>65849.270039270807</v>
      </c>
      <c r="Z22" s="28">
        <f ca="1">SUMPRODUCT(INDEX(bcEff,,22),INDEX(tlccEubc,,22))</f>
        <v>66127.339401760779</v>
      </c>
      <c r="AA22" s="28">
        <f ca="1">SUMPRODUCT(INDEX(bcEff,,23),INDEX(tlccEubc,,23))</f>
        <v>66376.344163033951</v>
      </c>
      <c r="AB22" s="28">
        <f ca="1">SUMPRODUCT(INDEX(bcEff,,24),INDEX(tlccEubc,,24))</f>
        <v>66647.55090694582</v>
      </c>
      <c r="AC22" s="28">
        <f ca="1">SUMPRODUCT(INDEX(bcEff,,25),INDEX(tlccEubc,,25))</f>
        <v>66889.279843178912</v>
      </c>
      <c r="AD22" s="28">
        <f ca="1">SUMPRODUCT(INDEX(bcEff,,26),INDEX(tlccEubc,,26))</f>
        <v>67152.627771688829</v>
      </c>
      <c r="AE22" s="28">
        <f ca="1">SUMPRODUCT(INDEX(bcEff,,27),INDEX(tlccEubc,,27))</f>
        <v>67439.079698867281</v>
      </c>
      <c r="AF22" s="28">
        <f ca="1">SUMPRODUCT(INDEX(bcEff,,28),INDEX(tlccEubc,,28))</f>
        <v>67697.234211927396</v>
      </c>
      <c r="AG22" s="28">
        <f ca="1">SUMPRODUCT(INDEX(bcEff,,29),INDEX(tlccEubc,,29))</f>
        <v>67978.483317317921</v>
      </c>
      <c r="AH22" s="28">
        <f ca="1">SUMPRODUCT(INDEX(bcEff,,30),INDEX(tlccEubc,,30))</f>
        <v>68231.052439057545</v>
      </c>
      <c r="AI22" s="28">
        <f ca="1">SUMPRODUCT(INDEX(bcEff,,31),INDEX(tlccEubc,,31))</f>
        <v>68506.225122079501</v>
      </c>
      <c r="AJ22" s="28">
        <f ca="1">SUMPRODUCT(INDEX(bcEff,,32),INDEX(tlccEubc,,32))</f>
        <v>68752.328381862797</v>
      </c>
      <c r="AK22" s="29">
        <f ca="1">SUMPRODUCT(INDEX(bcEff,,33),INDEX(tlccEubc,,33))</f>
        <v>69020.605756173172</v>
      </c>
      <c r="AL22" s="3"/>
    </row>
    <row r="23" spans="2:38">
      <c r="B23" s="3"/>
      <c r="C23" s="23" t="s">
        <v>44</v>
      </c>
      <c r="D23" s="13"/>
      <c r="E23" s="142"/>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4"/>
      <c r="AL23" s="3"/>
    </row>
    <row r="24" spans="2:38">
      <c r="B24" s="3"/>
      <c r="C24" s="27" t="str">
        <f>INDEX(_fuel,1)</f>
        <v>Electricity</v>
      </c>
      <c r="D24" s="16" t="s">
        <v>48</v>
      </c>
      <c r="E24" s="144">
        <f ca="1">SUMPRODUCT(INDEX(bcEff,,1),INDEX(tlccFubcElec,,1))</f>
        <v>13991.275757373029</v>
      </c>
      <c r="F24" s="22">
        <f ca="1">SUMPRODUCT(INDEX(bcEff,,2),INDEX(tlccFubcElec,,2))</f>
        <v>13897.285641769255</v>
      </c>
      <c r="G24" s="22">
        <f ca="1">SUMPRODUCT(INDEX(bcEff,,3),INDEX(tlccFubcElec,,3))</f>
        <v>13802.592847147851</v>
      </c>
      <c r="H24" s="22">
        <f ca="1">SUMPRODUCT(INDEX(bcEff,,4),INDEX(tlccFubcElec,,4))</f>
        <v>13719.460203865943</v>
      </c>
      <c r="I24" s="22">
        <f ca="1">SUMPRODUCT(INDEX(bcEff,,5),INDEX(tlccFubcElec,,5))</f>
        <v>13640.641324831537</v>
      </c>
      <c r="J24" s="22">
        <f ca="1">SUMPRODUCT(INDEX(bcEff,,6),INDEX(tlccFubcElec,,6))</f>
        <v>13572.004687925755</v>
      </c>
      <c r="K24" s="22">
        <f ca="1">SUMPRODUCT(INDEX(bcEff,,7),INDEX(tlccFubcElec,,7))</f>
        <v>13518.791442330998</v>
      </c>
      <c r="L24" s="22">
        <f ca="1">SUMPRODUCT(INDEX(bcEff,,8),INDEX(tlccFubcElec,,8))</f>
        <v>13474.674013004118</v>
      </c>
      <c r="M24" s="22">
        <f ca="1">SUMPRODUCT(INDEX(bcEff,,9),INDEX(tlccFubcElec,,9))</f>
        <v>13430.335019518676</v>
      </c>
      <c r="N24" s="22">
        <f ca="1">SUMPRODUCT(INDEX(bcEff,,10),INDEX(tlccFubcElec,,10))</f>
        <v>13394.85548324177</v>
      </c>
      <c r="O24" s="22">
        <f ca="1">SUMPRODUCT(INDEX(bcEff,,11),INDEX(tlccFubcElec,,11))</f>
        <v>13370.410977470128</v>
      </c>
      <c r="P24" s="22">
        <f ca="1">SUMPRODUCT(INDEX(bcEff,,12),INDEX(tlccFubcElec,,12))</f>
        <v>13352.511020369144</v>
      </c>
      <c r="Q24" s="22">
        <f ca="1">SUMPRODUCT(INDEX(bcEff,,13),INDEX(tlccFubcElec,,13))</f>
        <v>13337.441110568783</v>
      </c>
      <c r="R24" s="22">
        <f ca="1">SUMPRODUCT(INDEX(bcEff,,14),INDEX(tlccFubcElec,,14))</f>
        <v>13326.323365122167</v>
      </c>
      <c r="S24" s="22">
        <f ca="1">SUMPRODUCT(INDEX(bcEff,,15),INDEX(tlccFubcElec,,15))</f>
        <v>13317.848404341885</v>
      </c>
      <c r="T24" s="22">
        <f ca="1">SUMPRODUCT(INDEX(bcEff,,16),INDEX(tlccFubcElec,,16))</f>
        <v>13316.782802962067</v>
      </c>
      <c r="U24" s="22">
        <f ca="1">SUMPRODUCT(INDEX(bcEff,,17),INDEX(tlccFubcElec,,17))</f>
        <v>13318.953121838642</v>
      </c>
      <c r="V24" s="22">
        <f ca="1">SUMPRODUCT(INDEX(bcEff,,18),INDEX(tlccFubcElec,,18))</f>
        <v>13322.146073166112</v>
      </c>
      <c r="W24" s="22">
        <f ca="1">SUMPRODUCT(INDEX(bcEff,,19),INDEX(tlccFubcElec,,19))</f>
        <v>13326.7124359425</v>
      </c>
      <c r="X24" s="22">
        <f ca="1">SUMPRODUCT(INDEX(bcEff,,20),INDEX(tlccFubcElec,,20))</f>
        <v>13331.027599714209</v>
      </c>
      <c r="Y24" s="22">
        <f ca="1">SUMPRODUCT(INDEX(bcEff,,21),INDEX(tlccFubcElec,,21))</f>
        <v>13334.602943615428</v>
      </c>
      <c r="Z24" s="22">
        <f ca="1">SUMPRODUCT(INDEX(bcEff,,22),INDEX(tlccFubcElec,,22))</f>
        <v>13336.998929537962</v>
      </c>
      <c r="AA24" s="22">
        <f ca="1">SUMPRODUCT(INDEX(bcEff,,23),INDEX(tlccFubcElec,,23))</f>
        <v>13338.578043753565</v>
      </c>
      <c r="AB24" s="22">
        <f ca="1">SUMPRODUCT(INDEX(bcEff,,24),INDEX(tlccFubcElec,,24))</f>
        <v>13338.578043753565</v>
      </c>
      <c r="AC24" s="22">
        <f ca="1">SUMPRODUCT(INDEX(bcEff,,25),INDEX(tlccFubcElec,,25))</f>
        <v>13338.578043753565</v>
      </c>
      <c r="AD24" s="22">
        <f ca="1">SUMPRODUCT(INDEX(bcEff,,26),INDEX(tlccFubcElec,,26))</f>
        <v>13338.578043753565</v>
      </c>
      <c r="AE24" s="22">
        <f ca="1">SUMPRODUCT(INDEX(bcEff,,27),INDEX(tlccFubcElec,,27))</f>
        <v>13338.578043753565</v>
      </c>
      <c r="AF24" s="22">
        <f ca="1">SUMPRODUCT(INDEX(bcEff,,28),INDEX(tlccFubcElec,,28))</f>
        <v>13338.578043753565</v>
      </c>
      <c r="AG24" s="22">
        <f ca="1">SUMPRODUCT(INDEX(bcEff,,29),INDEX(tlccFubcElec,,29))</f>
        <v>13338.578043753565</v>
      </c>
      <c r="AH24" s="22">
        <f ca="1">SUMPRODUCT(INDEX(bcEff,,30),INDEX(tlccFubcElec,,30))</f>
        <v>13338.578043753565</v>
      </c>
      <c r="AI24" s="22">
        <f ca="1">SUMPRODUCT(INDEX(bcEff,,31),INDEX(tlccFubcElec,,31))</f>
        <v>13338.578043753565</v>
      </c>
      <c r="AJ24" s="22">
        <f ca="1">SUMPRODUCT(INDEX(bcEff,,32),INDEX(tlccFubcElec,,32))</f>
        <v>13338.578043753565</v>
      </c>
      <c r="AK24" s="25">
        <f ca="1">SUMPRODUCT(INDEX(bcEff,,33),INDEX(tlccFubcElec,,33))</f>
        <v>13338.578043753565</v>
      </c>
      <c r="AL24" s="3"/>
    </row>
    <row r="25" spans="2:38">
      <c r="B25" s="3"/>
      <c r="C25" s="30" t="str">
        <f>"Std (CSL " &amp; stdCSL &amp; "): " &amp; INDEX(_doName,6,stdCSL+1)</f>
        <v>Std (CSL 1): EL 1</v>
      </c>
      <c r="D25" s="31"/>
      <c r="E25" s="140"/>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2"/>
      <c r="AL25" s="3"/>
    </row>
    <row r="26" spans="2:38">
      <c r="B26" s="3"/>
      <c r="C26" s="23" t="s">
        <v>39</v>
      </c>
      <c r="D26" s="16" t="str">
        <f>_yearDol &amp; "$"</f>
        <v>2013$</v>
      </c>
      <c r="E26" s="141">
        <f ca="1">SUMPRODUCT(INDEX(polEff,,1),INDEX(tlccQupol,,1))</f>
        <v>1581.0927149052</v>
      </c>
      <c r="F26" s="28">
        <f ca="1">SUMPRODUCT(INDEX(polEff,,2),INDEX(tlccQupol,,2))</f>
        <v>1581.0927149052</v>
      </c>
      <c r="G26" s="28">
        <f ca="1">SUMPRODUCT(INDEX(polEff,,3),INDEX(tlccQupol,,3))</f>
        <v>1581.0927149052</v>
      </c>
      <c r="H26" s="28">
        <f ca="1">SUMPRODUCT(INDEX(polEff,,4),INDEX(tlccQupol,,4))</f>
        <v>1581.0927149052</v>
      </c>
      <c r="I26" s="28">
        <f ca="1">SUMPRODUCT(INDEX(polEff,,5),INDEX(tlccQupol,,5))</f>
        <v>1581.0927149052</v>
      </c>
      <c r="J26" s="28">
        <f ca="1">SUMPRODUCT(INDEX(polEff,,6),INDEX(tlccQupol,,6))</f>
        <v>1581.0927149052</v>
      </c>
      <c r="K26" s="28">
        <f ca="1">SUMPRODUCT(INDEX(polEff,,7),INDEX(tlccQupol,,7))</f>
        <v>1581.0927149052</v>
      </c>
      <c r="L26" s="28">
        <f ca="1">SUMPRODUCT(INDEX(polEff,,8),INDEX(tlccQupol,,8))</f>
        <v>1581.0927149052</v>
      </c>
      <c r="M26" s="28">
        <f ca="1">SUMPRODUCT(INDEX(polEff,,9),INDEX(tlccQupol,,9))</f>
        <v>1581.0927149052</v>
      </c>
      <c r="N26" s="28">
        <f ca="1">SUMPRODUCT(INDEX(polEff,,10),INDEX(tlccQupol,,10))</f>
        <v>1581.0927149052</v>
      </c>
      <c r="O26" s="28">
        <f ca="1">SUMPRODUCT(INDEX(polEff,,11),INDEX(tlccQupol,,11))</f>
        <v>1581.0927149052</v>
      </c>
      <c r="P26" s="28">
        <f ca="1">SUMPRODUCT(INDEX(polEff,,12),INDEX(tlccQupol,,12))</f>
        <v>1581.0927149052</v>
      </c>
      <c r="Q26" s="28">
        <f ca="1">SUMPRODUCT(INDEX(polEff,,13),INDEX(tlccQupol,,13))</f>
        <v>1581.0927149052</v>
      </c>
      <c r="R26" s="28">
        <f ca="1">SUMPRODUCT(INDEX(polEff,,14),INDEX(tlccQupol,,14))</f>
        <v>1581.0927149052</v>
      </c>
      <c r="S26" s="28">
        <f ca="1">SUMPRODUCT(INDEX(polEff,,15),INDEX(tlccQupol,,15))</f>
        <v>1581.0927149052</v>
      </c>
      <c r="T26" s="28">
        <f ca="1">SUMPRODUCT(INDEX(polEff,,16),INDEX(tlccQupol,,16))</f>
        <v>1581.0927149052</v>
      </c>
      <c r="U26" s="28">
        <f ca="1">SUMPRODUCT(INDEX(polEff,,17),INDEX(tlccQupol,,17))</f>
        <v>1581.0927149052</v>
      </c>
      <c r="V26" s="28">
        <f ca="1">SUMPRODUCT(INDEX(polEff,,18),INDEX(tlccQupol,,18))</f>
        <v>1581.0927149052</v>
      </c>
      <c r="W26" s="28">
        <f ca="1">SUMPRODUCT(INDEX(polEff,,19),INDEX(tlccQupol,,19))</f>
        <v>1581.0927149052</v>
      </c>
      <c r="X26" s="28">
        <f ca="1">SUMPRODUCT(INDEX(polEff,,20),INDEX(tlccQupol,,20))</f>
        <v>1581.0927149052</v>
      </c>
      <c r="Y26" s="28">
        <f ca="1">SUMPRODUCT(INDEX(polEff,,21),INDEX(tlccQupol,,21))</f>
        <v>1581.0927149052</v>
      </c>
      <c r="Z26" s="28">
        <f ca="1">SUMPRODUCT(INDEX(polEff,,22),INDEX(tlccQupol,,22))</f>
        <v>1581.0927149052</v>
      </c>
      <c r="AA26" s="28">
        <f ca="1">SUMPRODUCT(INDEX(polEff,,23),INDEX(tlccQupol,,23))</f>
        <v>1581.0927149052</v>
      </c>
      <c r="AB26" s="28">
        <f ca="1">SUMPRODUCT(INDEX(polEff,,24),INDEX(tlccQupol,,24))</f>
        <v>1581.0927149052</v>
      </c>
      <c r="AC26" s="28">
        <f ca="1">SUMPRODUCT(INDEX(polEff,,25),INDEX(tlccQupol,,25))</f>
        <v>1581.0927149052</v>
      </c>
      <c r="AD26" s="28">
        <f ca="1">SUMPRODUCT(INDEX(polEff,,26),INDEX(tlccQupol,,26))</f>
        <v>1581.0927149052</v>
      </c>
      <c r="AE26" s="28">
        <f ca="1">SUMPRODUCT(INDEX(polEff,,27),INDEX(tlccQupol,,27))</f>
        <v>1581.0927149052</v>
      </c>
      <c r="AF26" s="28">
        <f ca="1">SUMPRODUCT(INDEX(polEff,,28),INDEX(tlccQupol,,28))</f>
        <v>1581.0927149052</v>
      </c>
      <c r="AG26" s="28">
        <f ca="1">SUMPRODUCT(INDEX(polEff,,29),INDEX(tlccQupol,,29))</f>
        <v>1581.0927149052</v>
      </c>
      <c r="AH26" s="28">
        <f ca="1">SUMPRODUCT(INDEX(polEff,,30),INDEX(tlccQupol,,30))</f>
        <v>1581.0927149052</v>
      </c>
      <c r="AI26" s="28">
        <f ca="1">SUMPRODUCT(INDEX(polEff,,31),INDEX(tlccQupol,,31))</f>
        <v>1581.0927149052</v>
      </c>
      <c r="AJ26" s="28">
        <f ca="1">SUMPRODUCT(INDEX(polEff,,32),INDEX(tlccQupol,,32))</f>
        <v>1581.0927149052</v>
      </c>
      <c r="AK26" s="29">
        <f ca="1">SUMPRODUCT(INDEX(polEff,,33),INDEX(tlccQupol,,33))</f>
        <v>1581.0927149052</v>
      </c>
      <c r="AL26" s="3"/>
    </row>
    <row r="27" spans="2:38">
      <c r="B27" s="3"/>
      <c r="C27" s="23" t="s">
        <v>47</v>
      </c>
      <c r="D27" s="16" t="str">
        <f>_yearDol &amp; "$"</f>
        <v>2013$</v>
      </c>
      <c r="E27" s="141">
        <f ca="1">SUMPRODUCT(INDEX(polEff,,1),INDEX(tlccEupol,,1))</f>
        <v>60709.046158364952</v>
      </c>
      <c r="F27" s="28">
        <f ca="1">SUMPRODUCT(INDEX(polEff,,2),INDEX(tlccEupol,,2))</f>
        <v>60975.697339602659</v>
      </c>
      <c r="G27" s="28">
        <f ca="1">SUMPRODUCT(INDEX(polEff,,3),INDEX(tlccEupol,,3))</f>
        <v>61212.30729823505</v>
      </c>
      <c r="H27" s="28">
        <f ca="1">SUMPRODUCT(INDEX(polEff,,4),INDEX(tlccEupol,,4))</f>
        <v>61469.726247209343</v>
      </c>
      <c r="I27" s="28">
        <f ca="1">SUMPRODUCT(INDEX(polEff,,5),INDEX(tlccEupol,,5))</f>
        <v>61696.719522923937</v>
      </c>
      <c r="J27" s="28">
        <f ca="1">SUMPRODUCT(INDEX(polEff,,6),INDEX(tlccEupol,,6))</f>
        <v>61943.824997988297</v>
      </c>
      <c r="K27" s="28">
        <f ca="1">SUMPRODUCT(INDEX(polEff,,7),INDEX(tlccEupol,,7))</f>
        <v>62159.866458015633</v>
      </c>
      <c r="L27" s="28">
        <f ca="1">SUMPRODUCT(INDEX(polEff,,8),INDEX(tlccEupol,,8))</f>
        <v>62395.288122887207</v>
      </c>
      <c r="M27" s="28">
        <f ca="1">SUMPRODUCT(INDEX(polEff,,9),INDEX(tlccEupol,,9))</f>
        <v>62651.515458017806</v>
      </c>
      <c r="N27" s="28">
        <f ca="1">SUMPRODUCT(INDEX(polEff,,10),INDEX(tlccEupol,,10))</f>
        <v>62877.255484903551</v>
      </c>
      <c r="O27" s="28">
        <f ca="1">SUMPRODUCT(INDEX(polEff,,11),INDEX(tlccEupol,,11))</f>
        <v>63123.086790116344</v>
      </c>
      <c r="P27" s="28">
        <f ca="1">SUMPRODUCT(INDEX(polEff,,12),INDEX(tlccEupol,,12))</f>
        <v>63390.714407213869</v>
      </c>
      <c r="Q27" s="28">
        <f ca="1">SUMPRODUCT(INDEX(polEff,,13),INDEX(tlccEupol,,13))</f>
        <v>63628.56281830951</v>
      </c>
      <c r="R27" s="28">
        <f ca="1">SUMPRODUCT(INDEX(polEff,,14),INDEX(tlccEupol,,14))</f>
        <v>63887.549479809692</v>
      </c>
      <c r="S27" s="28">
        <f ca="1">SUMPRODUCT(INDEX(polEff,,15),INDEX(tlccEupol,,15))</f>
        <v>64116.29842111883</v>
      </c>
      <c r="T27" s="28">
        <f ca="1">SUMPRODUCT(INDEX(polEff,,16),INDEX(tlccEupol,,16))</f>
        <v>64365.489026889285</v>
      </c>
      <c r="U27" s="28">
        <f ca="1">SUMPRODUCT(INDEX(polEff,,17),INDEX(tlccEupol,,17))</f>
        <v>64636.798408740229</v>
      </c>
      <c r="V27" s="28">
        <f ca="1">SUMPRODUCT(INDEX(polEff,,18),INDEX(tlccEupol,,18))</f>
        <v>64878.683195010854</v>
      </c>
      <c r="W27" s="28">
        <f ca="1">SUMPRODUCT(INDEX(polEff,,19),INDEX(tlccEupol,,19))</f>
        <v>65142.104882173902</v>
      </c>
      <c r="X27" s="28">
        <f ca="1">SUMPRODUCT(INDEX(polEff,,20),INDEX(tlccEupol,,20))</f>
        <v>65375.638248618408</v>
      </c>
      <c r="Y27" s="28">
        <f ca="1">SUMPRODUCT(INDEX(polEff,,21),INDEX(tlccEupol,,21))</f>
        <v>65630.116698698184</v>
      </c>
      <c r="Z27" s="28">
        <f ca="1">SUMPRODUCT(INDEX(polEff,,22),INDEX(tlccEupol,,22))</f>
        <v>65907.26061691728</v>
      </c>
      <c r="AA27" s="28">
        <f ca="1">SUMPRODUCT(INDEX(polEff,,23),INDEX(tlccEupol,,23))</f>
        <v>66155.436663988745</v>
      </c>
      <c r="AB27" s="28">
        <f ca="1">SUMPRODUCT(INDEX(polEff,,24),INDEX(tlccEupol,,24))</f>
        <v>66425.740803150722</v>
      </c>
      <c r="AC27" s="28">
        <f ca="1">SUMPRODUCT(INDEX(polEff,,25),INDEX(tlccEupol,,25))</f>
        <v>66666.665239897993</v>
      </c>
      <c r="AD27" s="28">
        <f ca="1">SUMPRODUCT(INDEX(polEff,,26),INDEX(tlccEupol,,26))</f>
        <v>66929.136718627502</v>
      </c>
      <c r="AE27" s="28">
        <f ca="1">SUMPRODUCT(INDEX(polEff,,27),INDEX(tlccEupol,,27))</f>
        <v>67214.635303472518</v>
      </c>
      <c r="AF27" s="28">
        <f ca="1">SUMPRODUCT(INDEX(polEff,,28),INDEX(tlccEupol,,28))</f>
        <v>67471.93065098855</v>
      </c>
      <c r="AG27" s="28">
        <f ca="1">SUMPRODUCT(INDEX(polEff,,29),INDEX(tlccEupol,,29))</f>
        <v>67752.243729587251</v>
      </c>
      <c r="AH27" s="28">
        <f ca="1">SUMPRODUCT(INDEX(polEff,,30),INDEX(tlccEupol,,30))</f>
        <v>68003.97227455629</v>
      </c>
      <c r="AI27" s="28">
        <f ca="1">SUMPRODUCT(INDEX(polEff,,31),INDEX(tlccEupol,,31))</f>
        <v>68278.229153763212</v>
      </c>
      <c r="AJ27" s="28">
        <f ca="1">SUMPRODUCT(INDEX(polEff,,32),INDEX(tlccEupol,,32))</f>
        <v>68523.513355848918</v>
      </c>
      <c r="AK27" s="29">
        <f ca="1">SUMPRODUCT(INDEX(polEff,,33),INDEX(tlccEupol,,33))</f>
        <v>68790.897874661488</v>
      </c>
      <c r="AL27" s="3"/>
    </row>
    <row r="28" spans="2:38">
      <c r="B28" s="3"/>
      <c r="C28" s="23" t="s">
        <v>44</v>
      </c>
      <c r="D28" s="13"/>
      <c r="E28" s="142"/>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4"/>
      <c r="AL28" s="3"/>
    </row>
    <row r="29" spans="2:38">
      <c r="B29" s="3"/>
      <c r="C29" s="34" t="str">
        <f>INDEX(_fuel,1)</f>
        <v>Electricity</v>
      </c>
      <c r="D29" s="5" t="s">
        <v>48</v>
      </c>
      <c r="E29" s="143">
        <f ca="1">SUMPRODUCT(INDEX(polEff,,1),INDEX(tlccFupolElec,,1))</f>
        <v>13944.711310731898</v>
      </c>
      <c r="F29" s="24">
        <f ca="1">SUMPRODUCT(INDEX(polEff,,2),INDEX(tlccFupolElec,,2))</f>
        <v>13851.034004181331</v>
      </c>
      <c r="G29" s="24">
        <f ca="1">SUMPRODUCT(INDEX(polEff,,3),INDEX(tlccFupolElec,,3))</f>
        <v>13756.656357203281</v>
      </c>
      <c r="H29" s="24">
        <f ca="1">SUMPRODUCT(INDEX(polEff,,4),INDEX(tlccFupolElec,,4))</f>
        <v>13673.800388157473</v>
      </c>
      <c r="I29" s="24">
        <f ca="1">SUMPRODUCT(INDEX(polEff,,5),INDEX(tlccFupolElec,,5))</f>
        <v>13595.243826695154</v>
      </c>
      <c r="J29" s="24">
        <f ca="1">SUMPRODUCT(INDEX(polEff,,6),INDEX(tlccFupolElec,,6))</f>
        <v>13526.83561978191</v>
      </c>
      <c r="K29" s="24">
        <f ca="1">SUMPRODUCT(INDEX(polEff,,7),INDEX(tlccFupolElec,,7))</f>
        <v>13473.799473500903</v>
      </c>
      <c r="L29" s="24">
        <f ca="1">SUMPRODUCT(INDEX(polEff,,8),INDEX(tlccFupolElec,,8))</f>
        <v>13429.828871648475</v>
      </c>
      <c r="M29" s="24">
        <f ca="1">SUMPRODUCT(INDEX(polEff,,9),INDEX(tlccFupolElec,,9))</f>
        <v>13385.637443026459</v>
      </c>
      <c r="N29" s="24">
        <f ca="1">SUMPRODUCT(INDEX(polEff,,10),INDEX(tlccFupolElec,,10))</f>
        <v>13350.275986401646</v>
      </c>
      <c r="O29" s="24">
        <f ca="1">SUMPRODUCT(INDEX(polEff,,11),INDEX(tlccFupolElec,,11))</f>
        <v>13325.912834532568</v>
      </c>
      <c r="P29" s="24">
        <f ca="1">SUMPRODUCT(INDEX(polEff,,12),INDEX(tlccFupolElec,,12))</f>
        <v>13308.072450383455</v>
      </c>
      <c r="Q29" s="24">
        <f ca="1">SUMPRODUCT(INDEX(polEff,,13),INDEX(tlccFupolElec,,13))</f>
        <v>13293.052694837999</v>
      </c>
      <c r="R29" s="24">
        <f ca="1">SUMPRODUCT(INDEX(polEff,,14),INDEX(tlccFupolElec,,14))</f>
        <v>13281.971950424999</v>
      </c>
      <c r="S29" s="24">
        <f ca="1">SUMPRODUCT(INDEX(polEff,,15),INDEX(tlccFupolElec,,15))</f>
        <v>13273.525195211234</v>
      </c>
      <c r="T29" s="24">
        <f ca="1">SUMPRODUCT(INDEX(polEff,,16),INDEX(tlccFupolElec,,16))</f>
        <v>13272.4631402656</v>
      </c>
      <c r="U29" s="24">
        <f ca="1">SUMPRODUCT(INDEX(polEff,,17),INDEX(tlccFupolElec,,17))</f>
        <v>13274.626236091231</v>
      </c>
      <c r="V29" s="24">
        <f ca="1">SUMPRODUCT(INDEX(polEff,,18),INDEX(tlccFupolElec,,18))</f>
        <v>13277.808560938722</v>
      </c>
      <c r="W29" s="24">
        <f ca="1">SUMPRODUCT(INDEX(polEff,,19),INDEX(tlccFupolElec,,19))</f>
        <v>13282.359726376457</v>
      </c>
      <c r="X29" s="24">
        <f ca="1">SUMPRODUCT(INDEX(polEff,,20),INDEX(tlccFupolElec,,20))</f>
        <v>13286.660528826393</v>
      </c>
      <c r="Y29" s="24">
        <f ca="1">SUMPRODUCT(INDEX(polEff,,21),INDEX(tlccFupolElec,,21))</f>
        <v>13290.223973604672</v>
      </c>
      <c r="Z29" s="24">
        <f ca="1">SUMPRODUCT(INDEX(polEff,,22),INDEX(tlccFupolElec,,22))</f>
        <v>13292.611985432448</v>
      </c>
      <c r="AA29" s="24">
        <f ca="1">SUMPRODUCT(INDEX(polEff,,23),INDEX(tlccFupolElec,,23))</f>
        <v>13294.185844188803</v>
      </c>
      <c r="AB29" s="24">
        <f ca="1">SUMPRODUCT(INDEX(polEff,,24),INDEX(tlccFupolElec,,24))</f>
        <v>13294.185844188803</v>
      </c>
      <c r="AC29" s="24">
        <f ca="1">SUMPRODUCT(INDEX(polEff,,25),INDEX(tlccFupolElec,,25))</f>
        <v>13294.185844188803</v>
      </c>
      <c r="AD29" s="24">
        <f ca="1">SUMPRODUCT(INDEX(polEff,,26),INDEX(tlccFupolElec,,26))</f>
        <v>13294.185844188803</v>
      </c>
      <c r="AE29" s="24">
        <f ca="1">SUMPRODUCT(INDEX(polEff,,27),INDEX(tlccFupolElec,,27))</f>
        <v>13294.185844188803</v>
      </c>
      <c r="AF29" s="24">
        <f ca="1">SUMPRODUCT(INDEX(polEff,,28),INDEX(tlccFupolElec,,28))</f>
        <v>13294.185844188803</v>
      </c>
      <c r="AG29" s="24">
        <f ca="1">SUMPRODUCT(INDEX(polEff,,29),INDEX(tlccFupolElec,,29))</f>
        <v>13294.185844188803</v>
      </c>
      <c r="AH29" s="24">
        <f ca="1">SUMPRODUCT(INDEX(polEff,,30),INDEX(tlccFupolElec,,30))</f>
        <v>13294.185844188803</v>
      </c>
      <c r="AI29" s="24">
        <f ca="1">SUMPRODUCT(INDEX(polEff,,31),INDEX(tlccFupolElec,,31))</f>
        <v>13294.185844188803</v>
      </c>
      <c r="AJ29" s="24">
        <f ca="1">SUMPRODUCT(INDEX(polEff,,32),INDEX(tlccFupolElec,,32))</f>
        <v>13294.185844188803</v>
      </c>
      <c r="AK29" s="26">
        <f ca="1">SUMPRODUCT(INDEX(polEff,,33),INDEX(tlccFupolElec,,33))</f>
        <v>13294.185844188803</v>
      </c>
      <c r="AL29" s="3"/>
    </row>
    <row r="30" spans="2:38">
      <c r="B30" s="3"/>
      <c r="C30" s="3"/>
      <c r="D30" s="3"/>
      <c r="E30" s="118"/>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2:38">
      <c r="B31" s="3"/>
      <c r="C31" s="8" t="s">
        <v>56</v>
      </c>
      <c r="D31" s="9"/>
      <c r="E31" s="139">
        <f t="array" ref="E31:AK31">_yS</f>
        <v>2018</v>
      </c>
      <c r="F31" s="10">
        <v>2019</v>
      </c>
      <c r="G31" s="10">
        <v>2020</v>
      </c>
      <c r="H31" s="10">
        <v>2021</v>
      </c>
      <c r="I31" s="10">
        <v>2022</v>
      </c>
      <c r="J31" s="10">
        <v>2023</v>
      </c>
      <c r="K31" s="10">
        <v>2024</v>
      </c>
      <c r="L31" s="10">
        <v>2025</v>
      </c>
      <c r="M31" s="10">
        <v>2026</v>
      </c>
      <c r="N31" s="10">
        <v>2027</v>
      </c>
      <c r="O31" s="10">
        <v>2028</v>
      </c>
      <c r="P31" s="10">
        <v>2029</v>
      </c>
      <c r="Q31" s="10">
        <v>2030</v>
      </c>
      <c r="R31" s="10">
        <v>2031</v>
      </c>
      <c r="S31" s="10">
        <v>2032</v>
      </c>
      <c r="T31" s="10">
        <v>2033</v>
      </c>
      <c r="U31" s="10">
        <v>2034</v>
      </c>
      <c r="V31" s="10">
        <v>2035</v>
      </c>
      <c r="W31" s="10">
        <v>2036</v>
      </c>
      <c r="X31" s="10">
        <v>2037</v>
      </c>
      <c r="Y31" s="10">
        <v>2038</v>
      </c>
      <c r="Z31" s="10">
        <v>2039</v>
      </c>
      <c r="AA31" s="10">
        <v>2040</v>
      </c>
      <c r="AB31" s="10">
        <v>2041</v>
      </c>
      <c r="AC31" s="10">
        <v>2042</v>
      </c>
      <c r="AD31" s="10">
        <v>2043</v>
      </c>
      <c r="AE31" s="10">
        <v>2044</v>
      </c>
      <c r="AF31" s="10">
        <v>2045</v>
      </c>
      <c r="AG31" s="10">
        <v>2046</v>
      </c>
      <c r="AH31" s="10">
        <v>2047</v>
      </c>
      <c r="AI31" s="10">
        <v>2048</v>
      </c>
      <c r="AJ31" s="10">
        <v>2049</v>
      </c>
      <c r="AK31" s="11">
        <v>2050</v>
      </c>
      <c r="AL31" s="3"/>
    </row>
    <row r="32" spans="2:38">
      <c r="B32" s="3"/>
      <c r="C32" s="12" t="str">
        <f>"EL 0: " &amp; INDEX(_doName,6,1)</f>
        <v>EL 0: EL 0</v>
      </c>
      <c r="D32" s="16" t="s">
        <v>35</v>
      </c>
      <c r="E32" s="145">
        <f t="array" ref="E32:E38">MMULT(mRoll,INDEX(refEff,,1))</f>
        <v>0</v>
      </c>
      <c r="F32" s="17">
        <f t="array" ref="F32:AK32">$E$32</f>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8">
        <v>0</v>
      </c>
      <c r="AL32" s="3"/>
    </row>
    <row r="33" spans="2:38">
      <c r="B33" s="3"/>
      <c r="C33" s="12" t="str">
        <f>"EL 1: " &amp; INDEX(_doName,6,2)</f>
        <v>EL 1: EL 1</v>
      </c>
      <c r="D33" s="16" t="s">
        <v>35</v>
      </c>
      <c r="E33" s="145">
        <v>0.1255</v>
      </c>
      <c r="F33" s="17">
        <f t="array" ref="F33:AK33">$E$33</f>
        <v>0.1255</v>
      </c>
      <c r="G33" s="17">
        <v>0.1255</v>
      </c>
      <c r="H33" s="17">
        <v>0.1255</v>
      </c>
      <c r="I33" s="17">
        <v>0.1255</v>
      </c>
      <c r="J33" s="17">
        <v>0.1255</v>
      </c>
      <c r="K33" s="17">
        <v>0.1255</v>
      </c>
      <c r="L33" s="17">
        <v>0.1255</v>
      </c>
      <c r="M33" s="17">
        <v>0.1255</v>
      </c>
      <c r="N33" s="17">
        <v>0.1255</v>
      </c>
      <c r="O33" s="17">
        <v>0.1255</v>
      </c>
      <c r="P33" s="17">
        <v>0.1255</v>
      </c>
      <c r="Q33" s="17">
        <v>0.1255</v>
      </c>
      <c r="R33" s="17">
        <v>0.1255</v>
      </c>
      <c r="S33" s="17">
        <v>0.1255</v>
      </c>
      <c r="T33" s="17">
        <v>0.1255</v>
      </c>
      <c r="U33" s="17">
        <v>0.1255</v>
      </c>
      <c r="V33" s="17">
        <v>0.1255</v>
      </c>
      <c r="W33" s="17">
        <v>0.1255</v>
      </c>
      <c r="X33" s="17">
        <v>0.1255</v>
      </c>
      <c r="Y33" s="17">
        <v>0.1255</v>
      </c>
      <c r="Z33" s="17">
        <v>0.1255</v>
      </c>
      <c r="AA33" s="17">
        <v>0.1255</v>
      </c>
      <c r="AB33" s="17">
        <v>0.1255</v>
      </c>
      <c r="AC33" s="17">
        <v>0.1255</v>
      </c>
      <c r="AD33" s="17">
        <v>0.1255</v>
      </c>
      <c r="AE33" s="17">
        <v>0.1255</v>
      </c>
      <c r="AF33" s="17">
        <v>0.1255</v>
      </c>
      <c r="AG33" s="17">
        <v>0.1255</v>
      </c>
      <c r="AH33" s="17">
        <v>0.1255</v>
      </c>
      <c r="AI33" s="17">
        <v>0.1255</v>
      </c>
      <c r="AJ33" s="17">
        <v>0.1255</v>
      </c>
      <c r="AK33" s="18">
        <v>0.1255</v>
      </c>
      <c r="AL33" s="3"/>
    </row>
    <row r="34" spans="2:38">
      <c r="B34" s="3"/>
      <c r="C34" s="12" t="str">
        <f>"EL 2: " &amp; INDEX(_doName,6,3)</f>
        <v>EL 2: EL 2</v>
      </c>
      <c r="D34" s="16" t="s">
        <v>35</v>
      </c>
      <c r="E34" s="145">
        <v>6.0499999999999998E-2</v>
      </c>
      <c r="F34" s="17">
        <f t="array" ref="F34:AK34">$E$34</f>
        <v>6.0499999999999998E-2</v>
      </c>
      <c r="G34" s="17">
        <v>6.0499999999999998E-2</v>
      </c>
      <c r="H34" s="17">
        <v>6.0499999999999998E-2</v>
      </c>
      <c r="I34" s="17">
        <v>6.0499999999999998E-2</v>
      </c>
      <c r="J34" s="17">
        <v>6.0499999999999998E-2</v>
      </c>
      <c r="K34" s="17">
        <v>6.0499999999999998E-2</v>
      </c>
      <c r="L34" s="17">
        <v>6.0499999999999998E-2</v>
      </c>
      <c r="M34" s="17">
        <v>6.0499999999999998E-2</v>
      </c>
      <c r="N34" s="17">
        <v>6.0499999999999998E-2</v>
      </c>
      <c r="O34" s="17">
        <v>6.0499999999999998E-2</v>
      </c>
      <c r="P34" s="17">
        <v>6.0499999999999998E-2</v>
      </c>
      <c r="Q34" s="17">
        <v>6.0499999999999998E-2</v>
      </c>
      <c r="R34" s="17">
        <v>6.0499999999999998E-2</v>
      </c>
      <c r="S34" s="17">
        <v>6.0499999999999998E-2</v>
      </c>
      <c r="T34" s="17">
        <v>6.0499999999999998E-2</v>
      </c>
      <c r="U34" s="17">
        <v>6.0499999999999998E-2</v>
      </c>
      <c r="V34" s="17">
        <v>6.0499999999999998E-2</v>
      </c>
      <c r="W34" s="17">
        <v>6.0499999999999998E-2</v>
      </c>
      <c r="X34" s="17">
        <v>6.0499999999999998E-2</v>
      </c>
      <c r="Y34" s="17">
        <v>6.0499999999999998E-2</v>
      </c>
      <c r="Z34" s="17">
        <v>6.0499999999999998E-2</v>
      </c>
      <c r="AA34" s="17">
        <v>6.0499999999999998E-2</v>
      </c>
      <c r="AB34" s="17">
        <v>6.0499999999999998E-2</v>
      </c>
      <c r="AC34" s="17">
        <v>6.0499999999999998E-2</v>
      </c>
      <c r="AD34" s="17">
        <v>6.0499999999999998E-2</v>
      </c>
      <c r="AE34" s="17">
        <v>6.0499999999999998E-2</v>
      </c>
      <c r="AF34" s="17">
        <v>6.0499999999999998E-2</v>
      </c>
      <c r="AG34" s="17">
        <v>6.0499999999999998E-2</v>
      </c>
      <c r="AH34" s="17">
        <v>6.0499999999999998E-2</v>
      </c>
      <c r="AI34" s="17">
        <v>6.0499999999999998E-2</v>
      </c>
      <c r="AJ34" s="17">
        <v>6.0499999999999998E-2</v>
      </c>
      <c r="AK34" s="18">
        <v>6.0499999999999998E-2</v>
      </c>
      <c r="AL34" s="3"/>
    </row>
    <row r="35" spans="2:38">
      <c r="B35" s="3"/>
      <c r="C35" s="12" t="str">
        <f>"EL 3: " &amp; INDEX(_doName,6,4)</f>
        <v>EL 3: EL 3</v>
      </c>
      <c r="D35" s="16" t="s">
        <v>35</v>
      </c>
      <c r="E35" s="145">
        <v>3.9899999999999998E-2</v>
      </c>
      <c r="F35" s="17">
        <f t="array" ref="F35:AK35">$E$35</f>
        <v>3.9899999999999998E-2</v>
      </c>
      <c r="G35" s="17">
        <v>3.9899999999999998E-2</v>
      </c>
      <c r="H35" s="17">
        <v>3.9899999999999998E-2</v>
      </c>
      <c r="I35" s="17">
        <v>3.9899999999999998E-2</v>
      </c>
      <c r="J35" s="17">
        <v>3.9899999999999998E-2</v>
      </c>
      <c r="K35" s="17">
        <v>3.9899999999999998E-2</v>
      </c>
      <c r="L35" s="17">
        <v>3.9899999999999998E-2</v>
      </c>
      <c r="M35" s="17">
        <v>3.9899999999999998E-2</v>
      </c>
      <c r="N35" s="17">
        <v>3.9899999999999998E-2</v>
      </c>
      <c r="O35" s="17">
        <v>3.9899999999999998E-2</v>
      </c>
      <c r="P35" s="17">
        <v>3.9899999999999998E-2</v>
      </c>
      <c r="Q35" s="17">
        <v>3.9899999999999998E-2</v>
      </c>
      <c r="R35" s="17">
        <v>3.9899999999999998E-2</v>
      </c>
      <c r="S35" s="17">
        <v>3.9899999999999998E-2</v>
      </c>
      <c r="T35" s="17">
        <v>3.9899999999999998E-2</v>
      </c>
      <c r="U35" s="17">
        <v>3.9899999999999998E-2</v>
      </c>
      <c r="V35" s="17">
        <v>3.9899999999999998E-2</v>
      </c>
      <c r="W35" s="17">
        <v>3.9899999999999998E-2</v>
      </c>
      <c r="X35" s="17">
        <v>3.9899999999999998E-2</v>
      </c>
      <c r="Y35" s="17">
        <v>3.9899999999999998E-2</v>
      </c>
      <c r="Z35" s="17">
        <v>3.9899999999999998E-2</v>
      </c>
      <c r="AA35" s="17">
        <v>3.9899999999999998E-2</v>
      </c>
      <c r="AB35" s="17">
        <v>3.9899999999999998E-2</v>
      </c>
      <c r="AC35" s="17">
        <v>3.9899999999999998E-2</v>
      </c>
      <c r="AD35" s="17">
        <v>3.9899999999999998E-2</v>
      </c>
      <c r="AE35" s="17">
        <v>3.9899999999999998E-2</v>
      </c>
      <c r="AF35" s="17">
        <v>3.9899999999999998E-2</v>
      </c>
      <c r="AG35" s="17">
        <v>3.9899999999999998E-2</v>
      </c>
      <c r="AH35" s="17">
        <v>3.9899999999999998E-2</v>
      </c>
      <c r="AI35" s="17">
        <v>3.9899999999999998E-2</v>
      </c>
      <c r="AJ35" s="17">
        <v>3.9899999999999998E-2</v>
      </c>
      <c r="AK35" s="18">
        <v>3.9899999999999998E-2</v>
      </c>
      <c r="AL35" s="3"/>
    </row>
    <row r="36" spans="2:38">
      <c r="B36" s="3"/>
      <c r="C36" s="12" t="str">
        <f>"EL 4: " &amp; INDEX(_doName,6,5)</f>
        <v>EL 4: EL 4</v>
      </c>
      <c r="D36" s="16" t="s">
        <v>35</v>
      </c>
      <c r="E36" s="145">
        <v>0.2571</v>
      </c>
      <c r="F36" s="17">
        <f t="array" ref="F36:AK36">$E$36</f>
        <v>0.2571</v>
      </c>
      <c r="G36" s="17">
        <v>0.2571</v>
      </c>
      <c r="H36" s="17">
        <v>0.2571</v>
      </c>
      <c r="I36" s="17">
        <v>0.2571</v>
      </c>
      <c r="J36" s="17">
        <v>0.2571</v>
      </c>
      <c r="K36" s="17">
        <v>0.2571</v>
      </c>
      <c r="L36" s="17">
        <v>0.2571</v>
      </c>
      <c r="M36" s="17">
        <v>0.2571</v>
      </c>
      <c r="N36" s="17">
        <v>0.2571</v>
      </c>
      <c r="O36" s="17">
        <v>0.2571</v>
      </c>
      <c r="P36" s="17">
        <v>0.2571</v>
      </c>
      <c r="Q36" s="17">
        <v>0.2571</v>
      </c>
      <c r="R36" s="17">
        <v>0.2571</v>
      </c>
      <c r="S36" s="17">
        <v>0.2571</v>
      </c>
      <c r="T36" s="17">
        <v>0.2571</v>
      </c>
      <c r="U36" s="17">
        <v>0.2571</v>
      </c>
      <c r="V36" s="17">
        <v>0.2571</v>
      </c>
      <c r="W36" s="17">
        <v>0.2571</v>
      </c>
      <c r="X36" s="17">
        <v>0.2571</v>
      </c>
      <c r="Y36" s="17">
        <v>0.2571</v>
      </c>
      <c r="Z36" s="17">
        <v>0.2571</v>
      </c>
      <c r="AA36" s="17">
        <v>0.2571</v>
      </c>
      <c r="AB36" s="17">
        <v>0.2571</v>
      </c>
      <c r="AC36" s="17">
        <v>0.2571</v>
      </c>
      <c r="AD36" s="17">
        <v>0.2571</v>
      </c>
      <c r="AE36" s="17">
        <v>0.2571</v>
      </c>
      <c r="AF36" s="17">
        <v>0.2571</v>
      </c>
      <c r="AG36" s="17">
        <v>0.2571</v>
      </c>
      <c r="AH36" s="17">
        <v>0.2571</v>
      </c>
      <c r="AI36" s="17">
        <v>0.2571</v>
      </c>
      <c r="AJ36" s="17">
        <v>0.2571</v>
      </c>
      <c r="AK36" s="18">
        <v>0.2571</v>
      </c>
      <c r="AL36" s="3"/>
    </row>
    <row r="37" spans="2:38">
      <c r="B37" s="3"/>
      <c r="C37" s="12" t="str">
        <f>"EL 5: " &amp; INDEX(_doName,6,6)</f>
        <v>EL 5: EL 5</v>
      </c>
      <c r="D37" s="16" t="s">
        <v>35</v>
      </c>
      <c r="E37" s="145">
        <v>0.25040000000000001</v>
      </c>
      <c r="F37" s="17">
        <f t="array" ref="F37:AK37">$E$37</f>
        <v>0.25040000000000001</v>
      </c>
      <c r="G37" s="17">
        <v>0.25040000000000001</v>
      </c>
      <c r="H37" s="17">
        <v>0.25040000000000001</v>
      </c>
      <c r="I37" s="17">
        <v>0.25040000000000001</v>
      </c>
      <c r="J37" s="17">
        <v>0.25040000000000001</v>
      </c>
      <c r="K37" s="17">
        <v>0.25040000000000001</v>
      </c>
      <c r="L37" s="17">
        <v>0.25040000000000001</v>
      </c>
      <c r="M37" s="17">
        <v>0.25040000000000001</v>
      </c>
      <c r="N37" s="17">
        <v>0.25040000000000001</v>
      </c>
      <c r="O37" s="17">
        <v>0.25040000000000001</v>
      </c>
      <c r="P37" s="17">
        <v>0.25040000000000001</v>
      </c>
      <c r="Q37" s="17">
        <v>0.25040000000000001</v>
      </c>
      <c r="R37" s="17">
        <v>0.25040000000000001</v>
      </c>
      <c r="S37" s="17">
        <v>0.25040000000000001</v>
      </c>
      <c r="T37" s="17">
        <v>0.25040000000000001</v>
      </c>
      <c r="U37" s="17">
        <v>0.25040000000000001</v>
      </c>
      <c r="V37" s="17">
        <v>0.25040000000000001</v>
      </c>
      <c r="W37" s="17">
        <v>0.25040000000000001</v>
      </c>
      <c r="X37" s="17">
        <v>0.25040000000000001</v>
      </c>
      <c r="Y37" s="17">
        <v>0.25040000000000001</v>
      </c>
      <c r="Z37" s="17">
        <v>0.25040000000000001</v>
      </c>
      <c r="AA37" s="17">
        <v>0.25040000000000001</v>
      </c>
      <c r="AB37" s="17">
        <v>0.25040000000000001</v>
      </c>
      <c r="AC37" s="17">
        <v>0.25040000000000001</v>
      </c>
      <c r="AD37" s="17">
        <v>0.25040000000000001</v>
      </c>
      <c r="AE37" s="17">
        <v>0.25040000000000001</v>
      </c>
      <c r="AF37" s="17">
        <v>0.25040000000000001</v>
      </c>
      <c r="AG37" s="17">
        <v>0.25040000000000001</v>
      </c>
      <c r="AH37" s="17">
        <v>0.25040000000000001</v>
      </c>
      <c r="AI37" s="17">
        <v>0.25040000000000001</v>
      </c>
      <c r="AJ37" s="17">
        <v>0.25040000000000001</v>
      </c>
      <c r="AK37" s="18">
        <v>0.25040000000000001</v>
      </c>
      <c r="AL37" s="3"/>
    </row>
    <row r="38" spans="2:38">
      <c r="B38" s="3"/>
      <c r="C38" s="4" t="str">
        <f>"EL 6: " &amp; INDEX(_doName,6,7)</f>
        <v>EL 6: EL 6</v>
      </c>
      <c r="D38" s="5" t="s">
        <v>35</v>
      </c>
      <c r="E38" s="146">
        <v>0.26659999999999995</v>
      </c>
      <c r="F38" s="19">
        <f t="array" ref="F38:AK38">$E$38</f>
        <v>0.26659999999999995</v>
      </c>
      <c r="G38" s="19">
        <v>0.26659999999999995</v>
      </c>
      <c r="H38" s="19">
        <v>0.26659999999999995</v>
      </c>
      <c r="I38" s="19">
        <v>0.26659999999999995</v>
      </c>
      <c r="J38" s="19">
        <v>0.26659999999999995</v>
      </c>
      <c r="K38" s="19">
        <v>0.26659999999999995</v>
      </c>
      <c r="L38" s="19">
        <v>0.26659999999999995</v>
      </c>
      <c r="M38" s="19">
        <v>0.26659999999999995</v>
      </c>
      <c r="N38" s="19">
        <v>0.26659999999999995</v>
      </c>
      <c r="O38" s="19">
        <v>0.26659999999999995</v>
      </c>
      <c r="P38" s="19">
        <v>0.26659999999999995</v>
      </c>
      <c r="Q38" s="19">
        <v>0.26659999999999995</v>
      </c>
      <c r="R38" s="19">
        <v>0.26659999999999995</v>
      </c>
      <c r="S38" s="19">
        <v>0.26659999999999995</v>
      </c>
      <c r="T38" s="19">
        <v>0.26659999999999995</v>
      </c>
      <c r="U38" s="19">
        <v>0.26659999999999995</v>
      </c>
      <c r="V38" s="19">
        <v>0.26659999999999995</v>
      </c>
      <c r="W38" s="19">
        <v>0.26659999999999995</v>
      </c>
      <c r="X38" s="19">
        <v>0.26659999999999995</v>
      </c>
      <c r="Y38" s="19">
        <v>0.26659999999999995</v>
      </c>
      <c r="Z38" s="19">
        <v>0.26659999999999995</v>
      </c>
      <c r="AA38" s="19">
        <v>0.26659999999999995</v>
      </c>
      <c r="AB38" s="19">
        <v>0.26659999999999995</v>
      </c>
      <c r="AC38" s="19">
        <v>0.26659999999999995</v>
      </c>
      <c r="AD38" s="19">
        <v>0.26659999999999995</v>
      </c>
      <c r="AE38" s="19">
        <v>0.26659999999999995</v>
      </c>
      <c r="AF38" s="19">
        <v>0.26659999999999995</v>
      </c>
      <c r="AG38" s="19">
        <v>0.26659999999999995</v>
      </c>
      <c r="AH38" s="19">
        <v>0.26659999999999995</v>
      </c>
      <c r="AI38" s="19">
        <v>0.26659999999999995</v>
      </c>
      <c r="AJ38" s="19">
        <v>0.26659999999999995</v>
      </c>
      <c r="AK38" s="20">
        <v>0.26659999999999995</v>
      </c>
      <c r="AL38" s="3"/>
    </row>
    <row r="39" spans="2:38">
      <c r="B39" s="3"/>
      <c r="C39" s="3"/>
      <c r="D39" s="3"/>
      <c r="E39" s="118"/>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2:38">
      <c r="B40" s="3"/>
      <c r="C40" s="8" t="s">
        <v>55</v>
      </c>
      <c r="D40" s="9"/>
      <c r="E40" s="139">
        <f t="array" ref="E40:AK40">_yS</f>
        <v>2018</v>
      </c>
      <c r="F40" s="10">
        <v>2019</v>
      </c>
      <c r="G40" s="10">
        <v>2020</v>
      </c>
      <c r="H40" s="10">
        <v>2021</v>
      </c>
      <c r="I40" s="10">
        <v>2022</v>
      </c>
      <c r="J40" s="10">
        <v>2023</v>
      </c>
      <c r="K40" s="10">
        <v>2024</v>
      </c>
      <c r="L40" s="10">
        <v>2025</v>
      </c>
      <c r="M40" s="10">
        <v>2026</v>
      </c>
      <c r="N40" s="10">
        <v>2027</v>
      </c>
      <c r="O40" s="10">
        <v>2028</v>
      </c>
      <c r="P40" s="10">
        <v>2029</v>
      </c>
      <c r="Q40" s="10">
        <v>2030</v>
      </c>
      <c r="R40" s="10">
        <v>2031</v>
      </c>
      <c r="S40" s="10">
        <v>2032</v>
      </c>
      <c r="T40" s="10">
        <v>2033</v>
      </c>
      <c r="U40" s="10">
        <v>2034</v>
      </c>
      <c r="V40" s="10">
        <v>2035</v>
      </c>
      <c r="W40" s="10">
        <v>2036</v>
      </c>
      <c r="X40" s="10">
        <v>2037</v>
      </c>
      <c r="Y40" s="10">
        <v>2038</v>
      </c>
      <c r="Z40" s="10">
        <v>2039</v>
      </c>
      <c r="AA40" s="10">
        <v>2040</v>
      </c>
      <c r="AB40" s="10">
        <v>2041</v>
      </c>
      <c r="AC40" s="10">
        <v>2042</v>
      </c>
      <c r="AD40" s="10">
        <v>2043</v>
      </c>
      <c r="AE40" s="10">
        <v>2044</v>
      </c>
      <c r="AF40" s="10">
        <v>2045</v>
      </c>
      <c r="AG40" s="10">
        <v>2046</v>
      </c>
      <c r="AH40" s="10">
        <v>2047</v>
      </c>
      <c r="AI40" s="10">
        <v>2048</v>
      </c>
      <c r="AJ40" s="10">
        <v>2049</v>
      </c>
      <c r="AK40" s="11">
        <v>2050</v>
      </c>
      <c r="AL40" s="3"/>
    </row>
    <row r="41" spans="2:38">
      <c r="B41" s="3"/>
      <c r="C41" s="12" t="str">
        <f>"EL 0: " &amp; INDEX(_doName,6,1)</f>
        <v>EL 0: EL 0</v>
      </c>
      <c r="D41" s="16" t="s">
        <v>35</v>
      </c>
      <c r="E41" s="145">
        <f>INDEX(bcRad,1)</f>
        <v>5.62E-2</v>
      </c>
      <c r="F41" s="17">
        <f t="array" ref="F41:AK41">$E$41</f>
        <v>5.62E-2</v>
      </c>
      <c r="G41" s="17">
        <v>5.62E-2</v>
      </c>
      <c r="H41" s="17">
        <v>5.62E-2</v>
      </c>
      <c r="I41" s="17">
        <v>5.62E-2</v>
      </c>
      <c r="J41" s="17">
        <v>5.62E-2</v>
      </c>
      <c r="K41" s="17">
        <v>5.62E-2</v>
      </c>
      <c r="L41" s="17">
        <v>5.62E-2</v>
      </c>
      <c r="M41" s="17">
        <v>5.62E-2</v>
      </c>
      <c r="N41" s="17">
        <v>5.62E-2</v>
      </c>
      <c r="O41" s="17">
        <v>5.62E-2</v>
      </c>
      <c r="P41" s="17">
        <v>5.62E-2</v>
      </c>
      <c r="Q41" s="17">
        <v>5.62E-2</v>
      </c>
      <c r="R41" s="17">
        <v>5.62E-2</v>
      </c>
      <c r="S41" s="17">
        <v>5.62E-2</v>
      </c>
      <c r="T41" s="17">
        <v>5.62E-2</v>
      </c>
      <c r="U41" s="17">
        <v>5.62E-2</v>
      </c>
      <c r="V41" s="17">
        <v>5.62E-2</v>
      </c>
      <c r="W41" s="17">
        <v>5.62E-2</v>
      </c>
      <c r="X41" s="17">
        <v>5.62E-2</v>
      </c>
      <c r="Y41" s="17">
        <v>5.62E-2</v>
      </c>
      <c r="Z41" s="17">
        <v>5.62E-2</v>
      </c>
      <c r="AA41" s="17">
        <v>5.62E-2</v>
      </c>
      <c r="AB41" s="17">
        <v>5.62E-2</v>
      </c>
      <c r="AC41" s="17">
        <v>5.62E-2</v>
      </c>
      <c r="AD41" s="17">
        <v>5.62E-2</v>
      </c>
      <c r="AE41" s="17">
        <v>5.62E-2</v>
      </c>
      <c r="AF41" s="17">
        <v>5.62E-2</v>
      </c>
      <c r="AG41" s="17">
        <v>5.62E-2</v>
      </c>
      <c r="AH41" s="17">
        <v>5.62E-2</v>
      </c>
      <c r="AI41" s="17">
        <v>5.62E-2</v>
      </c>
      <c r="AJ41" s="17">
        <v>5.62E-2</v>
      </c>
      <c r="AK41" s="18">
        <v>5.62E-2</v>
      </c>
      <c r="AL41" s="3"/>
    </row>
    <row r="42" spans="2:38">
      <c r="B42" s="3"/>
      <c r="C42" s="12" t="str">
        <f>"EL 1: " &amp; INDEX(_doName,6,2)</f>
        <v>EL 1: EL 1</v>
      </c>
      <c r="D42" s="16" t="s">
        <v>35</v>
      </c>
      <c r="E42" s="145">
        <f>INDEX(bcRad,2)</f>
        <v>6.93E-2</v>
      </c>
      <c r="F42" s="17">
        <f t="array" ref="F42:AK42">$E$42</f>
        <v>6.93E-2</v>
      </c>
      <c r="G42" s="17">
        <v>6.93E-2</v>
      </c>
      <c r="H42" s="17">
        <v>6.93E-2</v>
      </c>
      <c r="I42" s="17">
        <v>6.93E-2</v>
      </c>
      <c r="J42" s="17">
        <v>6.93E-2</v>
      </c>
      <c r="K42" s="17">
        <v>6.93E-2</v>
      </c>
      <c r="L42" s="17">
        <v>6.93E-2</v>
      </c>
      <c r="M42" s="17">
        <v>6.93E-2</v>
      </c>
      <c r="N42" s="17">
        <v>6.93E-2</v>
      </c>
      <c r="O42" s="17">
        <v>6.93E-2</v>
      </c>
      <c r="P42" s="17">
        <v>6.93E-2</v>
      </c>
      <c r="Q42" s="17">
        <v>6.93E-2</v>
      </c>
      <c r="R42" s="17">
        <v>6.93E-2</v>
      </c>
      <c r="S42" s="17">
        <v>6.93E-2</v>
      </c>
      <c r="T42" s="17">
        <v>6.93E-2</v>
      </c>
      <c r="U42" s="17">
        <v>6.93E-2</v>
      </c>
      <c r="V42" s="17">
        <v>6.93E-2</v>
      </c>
      <c r="W42" s="17">
        <v>6.93E-2</v>
      </c>
      <c r="X42" s="17">
        <v>6.93E-2</v>
      </c>
      <c r="Y42" s="17">
        <v>6.93E-2</v>
      </c>
      <c r="Z42" s="17">
        <v>6.93E-2</v>
      </c>
      <c r="AA42" s="17">
        <v>6.93E-2</v>
      </c>
      <c r="AB42" s="17">
        <v>6.93E-2</v>
      </c>
      <c r="AC42" s="17">
        <v>6.93E-2</v>
      </c>
      <c r="AD42" s="17">
        <v>6.93E-2</v>
      </c>
      <c r="AE42" s="17">
        <v>6.93E-2</v>
      </c>
      <c r="AF42" s="17">
        <v>6.93E-2</v>
      </c>
      <c r="AG42" s="17">
        <v>6.93E-2</v>
      </c>
      <c r="AH42" s="17">
        <v>6.93E-2</v>
      </c>
      <c r="AI42" s="17">
        <v>6.93E-2</v>
      </c>
      <c r="AJ42" s="17">
        <v>6.93E-2</v>
      </c>
      <c r="AK42" s="18">
        <v>6.93E-2</v>
      </c>
      <c r="AL42" s="3"/>
    </row>
    <row r="43" spans="2:38">
      <c r="B43" s="3"/>
      <c r="C43" s="12" t="str">
        <f>"EL 2: " &amp; INDEX(_doName,6,3)</f>
        <v>EL 2: EL 2</v>
      </c>
      <c r="D43" s="16" t="s">
        <v>35</v>
      </c>
      <c r="E43" s="145">
        <f>INDEX(bcRad,3)</f>
        <v>6.0499999999999998E-2</v>
      </c>
      <c r="F43" s="17">
        <f t="array" ref="F43:AK43">$E$43</f>
        <v>6.0499999999999998E-2</v>
      </c>
      <c r="G43" s="17">
        <v>6.0499999999999998E-2</v>
      </c>
      <c r="H43" s="17">
        <v>6.0499999999999998E-2</v>
      </c>
      <c r="I43" s="17">
        <v>6.0499999999999998E-2</v>
      </c>
      <c r="J43" s="17">
        <v>6.0499999999999998E-2</v>
      </c>
      <c r="K43" s="17">
        <v>6.0499999999999998E-2</v>
      </c>
      <c r="L43" s="17">
        <v>6.0499999999999998E-2</v>
      </c>
      <c r="M43" s="17">
        <v>6.0499999999999998E-2</v>
      </c>
      <c r="N43" s="17">
        <v>6.0499999999999998E-2</v>
      </c>
      <c r="O43" s="17">
        <v>6.0499999999999998E-2</v>
      </c>
      <c r="P43" s="17">
        <v>6.0499999999999998E-2</v>
      </c>
      <c r="Q43" s="17">
        <v>6.0499999999999998E-2</v>
      </c>
      <c r="R43" s="17">
        <v>6.0499999999999998E-2</v>
      </c>
      <c r="S43" s="17">
        <v>6.0499999999999998E-2</v>
      </c>
      <c r="T43" s="17">
        <v>6.0499999999999998E-2</v>
      </c>
      <c r="U43" s="17">
        <v>6.0499999999999998E-2</v>
      </c>
      <c r="V43" s="17">
        <v>6.0499999999999998E-2</v>
      </c>
      <c r="W43" s="17">
        <v>6.0499999999999998E-2</v>
      </c>
      <c r="X43" s="17">
        <v>6.0499999999999998E-2</v>
      </c>
      <c r="Y43" s="17">
        <v>6.0499999999999998E-2</v>
      </c>
      <c r="Z43" s="17">
        <v>6.0499999999999998E-2</v>
      </c>
      <c r="AA43" s="17">
        <v>6.0499999999999998E-2</v>
      </c>
      <c r="AB43" s="17">
        <v>6.0499999999999998E-2</v>
      </c>
      <c r="AC43" s="17">
        <v>6.0499999999999998E-2</v>
      </c>
      <c r="AD43" s="17">
        <v>6.0499999999999998E-2</v>
      </c>
      <c r="AE43" s="17">
        <v>6.0499999999999998E-2</v>
      </c>
      <c r="AF43" s="17">
        <v>6.0499999999999998E-2</v>
      </c>
      <c r="AG43" s="17">
        <v>6.0499999999999998E-2</v>
      </c>
      <c r="AH43" s="17">
        <v>6.0499999999999998E-2</v>
      </c>
      <c r="AI43" s="17">
        <v>6.0499999999999998E-2</v>
      </c>
      <c r="AJ43" s="17">
        <v>6.0499999999999998E-2</v>
      </c>
      <c r="AK43" s="18">
        <v>6.0499999999999998E-2</v>
      </c>
      <c r="AL43" s="3"/>
    </row>
    <row r="44" spans="2:38">
      <c r="B44" s="3"/>
      <c r="C44" s="12" t="str">
        <f>"EL 3: " &amp; INDEX(_doName,6,4)</f>
        <v>EL 3: EL 3</v>
      </c>
      <c r="D44" s="16" t="s">
        <v>35</v>
      </c>
      <c r="E44" s="145">
        <f>INDEX(bcRad,4)</f>
        <v>3.9899999999999998E-2</v>
      </c>
      <c r="F44" s="17">
        <f t="array" ref="F44:AK44">$E$44</f>
        <v>3.9899999999999998E-2</v>
      </c>
      <c r="G44" s="17">
        <v>3.9899999999999998E-2</v>
      </c>
      <c r="H44" s="17">
        <v>3.9899999999999998E-2</v>
      </c>
      <c r="I44" s="17">
        <v>3.9899999999999998E-2</v>
      </c>
      <c r="J44" s="17">
        <v>3.9899999999999998E-2</v>
      </c>
      <c r="K44" s="17">
        <v>3.9899999999999998E-2</v>
      </c>
      <c r="L44" s="17">
        <v>3.9899999999999998E-2</v>
      </c>
      <c r="M44" s="17">
        <v>3.9899999999999998E-2</v>
      </c>
      <c r="N44" s="17">
        <v>3.9899999999999998E-2</v>
      </c>
      <c r="O44" s="17">
        <v>3.9899999999999998E-2</v>
      </c>
      <c r="P44" s="17">
        <v>3.9899999999999998E-2</v>
      </c>
      <c r="Q44" s="17">
        <v>3.9899999999999998E-2</v>
      </c>
      <c r="R44" s="17">
        <v>3.9899999999999998E-2</v>
      </c>
      <c r="S44" s="17">
        <v>3.9899999999999998E-2</v>
      </c>
      <c r="T44" s="17">
        <v>3.9899999999999998E-2</v>
      </c>
      <c r="U44" s="17">
        <v>3.9899999999999998E-2</v>
      </c>
      <c r="V44" s="17">
        <v>3.9899999999999998E-2</v>
      </c>
      <c r="W44" s="17">
        <v>3.9899999999999998E-2</v>
      </c>
      <c r="X44" s="17">
        <v>3.9899999999999998E-2</v>
      </c>
      <c r="Y44" s="17">
        <v>3.9899999999999998E-2</v>
      </c>
      <c r="Z44" s="17">
        <v>3.9899999999999998E-2</v>
      </c>
      <c r="AA44" s="17">
        <v>3.9899999999999998E-2</v>
      </c>
      <c r="AB44" s="17">
        <v>3.9899999999999998E-2</v>
      </c>
      <c r="AC44" s="17">
        <v>3.9899999999999998E-2</v>
      </c>
      <c r="AD44" s="17">
        <v>3.9899999999999998E-2</v>
      </c>
      <c r="AE44" s="17">
        <v>3.9899999999999998E-2</v>
      </c>
      <c r="AF44" s="17">
        <v>3.9899999999999998E-2</v>
      </c>
      <c r="AG44" s="17">
        <v>3.9899999999999998E-2</v>
      </c>
      <c r="AH44" s="17">
        <v>3.9899999999999998E-2</v>
      </c>
      <c r="AI44" s="17">
        <v>3.9899999999999998E-2</v>
      </c>
      <c r="AJ44" s="17">
        <v>3.9899999999999998E-2</v>
      </c>
      <c r="AK44" s="18">
        <v>3.9899999999999998E-2</v>
      </c>
      <c r="AL44" s="3"/>
    </row>
    <row r="45" spans="2:38">
      <c r="B45" s="3"/>
      <c r="C45" s="12" t="str">
        <f>"EL 4: " &amp; INDEX(_doName,6,5)</f>
        <v>EL 4: EL 4</v>
      </c>
      <c r="D45" s="16" t="s">
        <v>35</v>
      </c>
      <c r="E45" s="145">
        <f>INDEX(bcRad,5)</f>
        <v>0.2571</v>
      </c>
      <c r="F45" s="17">
        <f t="array" ref="F45:AK45">$E$45</f>
        <v>0.2571</v>
      </c>
      <c r="G45" s="17">
        <v>0.2571</v>
      </c>
      <c r="H45" s="17">
        <v>0.2571</v>
      </c>
      <c r="I45" s="17">
        <v>0.2571</v>
      </c>
      <c r="J45" s="17">
        <v>0.2571</v>
      </c>
      <c r="K45" s="17">
        <v>0.2571</v>
      </c>
      <c r="L45" s="17">
        <v>0.2571</v>
      </c>
      <c r="M45" s="17">
        <v>0.2571</v>
      </c>
      <c r="N45" s="17">
        <v>0.2571</v>
      </c>
      <c r="O45" s="17">
        <v>0.2571</v>
      </c>
      <c r="P45" s="17">
        <v>0.2571</v>
      </c>
      <c r="Q45" s="17">
        <v>0.2571</v>
      </c>
      <c r="R45" s="17">
        <v>0.2571</v>
      </c>
      <c r="S45" s="17">
        <v>0.2571</v>
      </c>
      <c r="T45" s="17">
        <v>0.2571</v>
      </c>
      <c r="U45" s="17">
        <v>0.2571</v>
      </c>
      <c r="V45" s="17">
        <v>0.2571</v>
      </c>
      <c r="W45" s="17">
        <v>0.2571</v>
      </c>
      <c r="X45" s="17">
        <v>0.2571</v>
      </c>
      <c r="Y45" s="17">
        <v>0.2571</v>
      </c>
      <c r="Z45" s="17">
        <v>0.2571</v>
      </c>
      <c r="AA45" s="17">
        <v>0.2571</v>
      </c>
      <c r="AB45" s="17">
        <v>0.2571</v>
      </c>
      <c r="AC45" s="17">
        <v>0.2571</v>
      </c>
      <c r="AD45" s="17">
        <v>0.2571</v>
      </c>
      <c r="AE45" s="17">
        <v>0.2571</v>
      </c>
      <c r="AF45" s="17">
        <v>0.2571</v>
      </c>
      <c r="AG45" s="17">
        <v>0.2571</v>
      </c>
      <c r="AH45" s="17">
        <v>0.2571</v>
      </c>
      <c r="AI45" s="17">
        <v>0.2571</v>
      </c>
      <c r="AJ45" s="17">
        <v>0.2571</v>
      </c>
      <c r="AK45" s="18">
        <v>0.2571</v>
      </c>
      <c r="AL45" s="3"/>
    </row>
    <row r="46" spans="2:38">
      <c r="B46" s="3"/>
      <c r="C46" s="12" t="str">
        <f>"EL 5: " &amp; INDEX(_doName,6,6)</f>
        <v>EL 5: EL 5</v>
      </c>
      <c r="D46" s="16" t="s">
        <v>35</v>
      </c>
      <c r="E46" s="145">
        <f>INDEX(bcRad,6)</f>
        <v>0.25040000000000001</v>
      </c>
      <c r="F46" s="17">
        <f t="array" ref="F46:AK46">$E$46</f>
        <v>0.25040000000000001</v>
      </c>
      <c r="G46" s="17">
        <v>0.25040000000000001</v>
      </c>
      <c r="H46" s="17">
        <v>0.25040000000000001</v>
      </c>
      <c r="I46" s="17">
        <v>0.25040000000000001</v>
      </c>
      <c r="J46" s="17">
        <v>0.25040000000000001</v>
      </c>
      <c r="K46" s="17">
        <v>0.25040000000000001</v>
      </c>
      <c r="L46" s="17">
        <v>0.25040000000000001</v>
      </c>
      <c r="M46" s="17">
        <v>0.25040000000000001</v>
      </c>
      <c r="N46" s="17">
        <v>0.25040000000000001</v>
      </c>
      <c r="O46" s="17">
        <v>0.25040000000000001</v>
      </c>
      <c r="P46" s="17">
        <v>0.25040000000000001</v>
      </c>
      <c r="Q46" s="17">
        <v>0.25040000000000001</v>
      </c>
      <c r="R46" s="17">
        <v>0.25040000000000001</v>
      </c>
      <c r="S46" s="17">
        <v>0.25040000000000001</v>
      </c>
      <c r="T46" s="17">
        <v>0.25040000000000001</v>
      </c>
      <c r="U46" s="17">
        <v>0.25040000000000001</v>
      </c>
      <c r="V46" s="17">
        <v>0.25040000000000001</v>
      </c>
      <c r="W46" s="17">
        <v>0.25040000000000001</v>
      </c>
      <c r="X46" s="17">
        <v>0.25040000000000001</v>
      </c>
      <c r="Y46" s="17">
        <v>0.25040000000000001</v>
      </c>
      <c r="Z46" s="17">
        <v>0.25040000000000001</v>
      </c>
      <c r="AA46" s="17">
        <v>0.25040000000000001</v>
      </c>
      <c r="AB46" s="17">
        <v>0.25040000000000001</v>
      </c>
      <c r="AC46" s="17">
        <v>0.25040000000000001</v>
      </c>
      <c r="AD46" s="17">
        <v>0.25040000000000001</v>
      </c>
      <c r="AE46" s="17">
        <v>0.25040000000000001</v>
      </c>
      <c r="AF46" s="17">
        <v>0.25040000000000001</v>
      </c>
      <c r="AG46" s="17">
        <v>0.25040000000000001</v>
      </c>
      <c r="AH46" s="17">
        <v>0.25040000000000001</v>
      </c>
      <c r="AI46" s="17">
        <v>0.25040000000000001</v>
      </c>
      <c r="AJ46" s="17">
        <v>0.25040000000000001</v>
      </c>
      <c r="AK46" s="18">
        <v>0.25040000000000001</v>
      </c>
      <c r="AL46" s="3"/>
    </row>
    <row r="47" spans="2:38">
      <c r="B47" s="3"/>
      <c r="C47" s="4" t="str">
        <f>"EL 6: " &amp; INDEX(_doName,6,7)</f>
        <v>EL 6: EL 6</v>
      </c>
      <c r="D47" s="5" t="s">
        <v>35</v>
      </c>
      <c r="E47" s="146">
        <f>INDEX(bcRad,7)</f>
        <v>0.26659999999999995</v>
      </c>
      <c r="F47" s="19">
        <f t="array" ref="F47:AK47">$E$47</f>
        <v>0.26659999999999995</v>
      </c>
      <c r="G47" s="19">
        <v>0.26659999999999995</v>
      </c>
      <c r="H47" s="19">
        <v>0.26659999999999995</v>
      </c>
      <c r="I47" s="19">
        <v>0.26659999999999995</v>
      </c>
      <c r="J47" s="19">
        <v>0.26659999999999995</v>
      </c>
      <c r="K47" s="19">
        <v>0.26659999999999995</v>
      </c>
      <c r="L47" s="19">
        <v>0.26659999999999995</v>
      </c>
      <c r="M47" s="19">
        <v>0.26659999999999995</v>
      </c>
      <c r="N47" s="19">
        <v>0.26659999999999995</v>
      </c>
      <c r="O47" s="19">
        <v>0.26659999999999995</v>
      </c>
      <c r="P47" s="19">
        <v>0.26659999999999995</v>
      </c>
      <c r="Q47" s="19">
        <v>0.26659999999999995</v>
      </c>
      <c r="R47" s="19">
        <v>0.26659999999999995</v>
      </c>
      <c r="S47" s="19">
        <v>0.26659999999999995</v>
      </c>
      <c r="T47" s="19">
        <v>0.26659999999999995</v>
      </c>
      <c r="U47" s="19">
        <v>0.26659999999999995</v>
      </c>
      <c r="V47" s="19">
        <v>0.26659999999999995</v>
      </c>
      <c r="W47" s="19">
        <v>0.26659999999999995</v>
      </c>
      <c r="X47" s="19">
        <v>0.26659999999999995</v>
      </c>
      <c r="Y47" s="19">
        <v>0.26659999999999995</v>
      </c>
      <c r="Z47" s="19">
        <v>0.26659999999999995</v>
      </c>
      <c r="AA47" s="19">
        <v>0.26659999999999995</v>
      </c>
      <c r="AB47" s="19">
        <v>0.26659999999999995</v>
      </c>
      <c r="AC47" s="19">
        <v>0.26659999999999995</v>
      </c>
      <c r="AD47" s="19">
        <v>0.26659999999999995</v>
      </c>
      <c r="AE47" s="19">
        <v>0.26659999999999995</v>
      </c>
      <c r="AF47" s="19">
        <v>0.26659999999999995</v>
      </c>
      <c r="AG47" s="19">
        <v>0.26659999999999995</v>
      </c>
      <c r="AH47" s="19">
        <v>0.26659999999999995</v>
      </c>
      <c r="AI47" s="19">
        <v>0.26659999999999995</v>
      </c>
      <c r="AJ47" s="19">
        <v>0.26659999999999995</v>
      </c>
      <c r="AK47" s="20">
        <v>0.26659999999999995</v>
      </c>
      <c r="AL47" s="3"/>
    </row>
    <row r="48" spans="2:38">
      <c r="B48" s="3"/>
      <c r="C48" s="3"/>
      <c r="D48" s="3"/>
      <c r="E48" s="118"/>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2:38" hidden="1">
      <c r="B49" s="3"/>
      <c r="C49" s="8" t="s">
        <v>54</v>
      </c>
      <c r="D49" s="9"/>
      <c r="E49" s="139">
        <f t="array" ref="E49:AK49">_yS</f>
        <v>2018</v>
      </c>
      <c r="F49" s="10">
        <v>2019</v>
      </c>
      <c r="G49" s="10">
        <v>2020</v>
      </c>
      <c r="H49" s="10">
        <v>2021</v>
      </c>
      <c r="I49" s="10">
        <v>2022</v>
      </c>
      <c r="J49" s="10">
        <v>2023</v>
      </c>
      <c r="K49" s="10">
        <v>2024</v>
      </c>
      <c r="L49" s="10">
        <v>2025</v>
      </c>
      <c r="M49" s="10">
        <v>2026</v>
      </c>
      <c r="N49" s="10">
        <v>2027</v>
      </c>
      <c r="O49" s="10">
        <v>2028</v>
      </c>
      <c r="P49" s="10">
        <v>2029</v>
      </c>
      <c r="Q49" s="10">
        <v>2030</v>
      </c>
      <c r="R49" s="10">
        <v>2031</v>
      </c>
      <c r="S49" s="10">
        <v>2032</v>
      </c>
      <c r="T49" s="10">
        <v>2033</v>
      </c>
      <c r="U49" s="10">
        <v>2034</v>
      </c>
      <c r="V49" s="10">
        <v>2035</v>
      </c>
      <c r="W49" s="10">
        <v>2036</v>
      </c>
      <c r="X49" s="10">
        <v>2037</v>
      </c>
      <c r="Y49" s="10">
        <v>2038</v>
      </c>
      <c r="Z49" s="10">
        <v>2039</v>
      </c>
      <c r="AA49" s="10">
        <v>2040</v>
      </c>
      <c r="AB49" s="10">
        <v>2041</v>
      </c>
      <c r="AC49" s="10">
        <v>2042</v>
      </c>
      <c r="AD49" s="10">
        <v>2043</v>
      </c>
      <c r="AE49" s="10">
        <v>2044</v>
      </c>
      <c r="AF49" s="10">
        <v>2045</v>
      </c>
      <c r="AG49" s="10">
        <v>2046</v>
      </c>
      <c r="AH49" s="10">
        <v>2047</v>
      </c>
      <c r="AI49" s="10">
        <v>2048</v>
      </c>
      <c r="AJ49" s="10">
        <v>2049</v>
      </c>
      <c r="AK49" s="11">
        <v>2050</v>
      </c>
      <c r="AL49" s="3"/>
    </row>
    <row r="50" spans="2:38" hidden="1">
      <c r="B50" s="3"/>
      <c r="C50" s="12"/>
      <c r="D50" s="16"/>
      <c r="E50" s="141">
        <f t="array" aca="1" ref="E50:AK50" ca="1">tlccQubc0</f>
        <v>1565.2476070000002</v>
      </c>
      <c r="F50" s="28">
        <f ca="1"/>
        <v>1565.2476070000002</v>
      </c>
      <c r="G50" s="28">
        <f ca="1"/>
        <v>1565.2476070000002</v>
      </c>
      <c r="H50" s="28">
        <f ca="1"/>
        <v>1565.2476070000002</v>
      </c>
      <c r="I50" s="28">
        <f ca="1"/>
        <v>1565.2476070000002</v>
      </c>
      <c r="J50" s="28">
        <f ca="1"/>
        <v>1565.2476070000002</v>
      </c>
      <c r="K50" s="28">
        <f ca="1"/>
        <v>1565.2476070000002</v>
      </c>
      <c r="L50" s="28">
        <f ca="1"/>
        <v>1565.2476070000002</v>
      </c>
      <c r="M50" s="28">
        <f ca="1"/>
        <v>1565.2476070000002</v>
      </c>
      <c r="N50" s="28">
        <f ca="1"/>
        <v>1565.2476070000002</v>
      </c>
      <c r="O50" s="28">
        <f ca="1"/>
        <v>1565.2476070000002</v>
      </c>
      <c r="P50" s="28">
        <f ca="1"/>
        <v>1565.2476070000002</v>
      </c>
      <c r="Q50" s="28">
        <f ca="1"/>
        <v>1565.2476070000002</v>
      </c>
      <c r="R50" s="28">
        <f ca="1"/>
        <v>1565.2476070000002</v>
      </c>
      <c r="S50" s="28">
        <f ca="1"/>
        <v>1565.2476070000002</v>
      </c>
      <c r="T50" s="28">
        <f ca="1"/>
        <v>1565.2476070000002</v>
      </c>
      <c r="U50" s="28">
        <f ca="1"/>
        <v>1565.2476070000002</v>
      </c>
      <c r="V50" s="28">
        <f ca="1"/>
        <v>1565.2476070000002</v>
      </c>
      <c r="W50" s="28">
        <f ca="1"/>
        <v>1565.2476070000002</v>
      </c>
      <c r="X50" s="28">
        <f ca="1"/>
        <v>1565.2476070000002</v>
      </c>
      <c r="Y50" s="28">
        <f ca="1"/>
        <v>1565.2476070000002</v>
      </c>
      <c r="Z50" s="28">
        <f ca="1"/>
        <v>1565.2476070000002</v>
      </c>
      <c r="AA50" s="28">
        <f ca="1"/>
        <v>1565.2476070000002</v>
      </c>
      <c r="AB50" s="28">
        <f ca="1"/>
        <v>1565.2476070000002</v>
      </c>
      <c r="AC50" s="28">
        <f ca="1"/>
        <v>1565.2476070000002</v>
      </c>
      <c r="AD50" s="28">
        <f ca="1"/>
        <v>1565.2476070000002</v>
      </c>
      <c r="AE50" s="28">
        <f ca="1"/>
        <v>1565.2476070000002</v>
      </c>
      <c r="AF50" s="28">
        <f ca="1"/>
        <v>1565.2476070000002</v>
      </c>
      <c r="AG50" s="28">
        <f ca="1"/>
        <v>1565.2476070000002</v>
      </c>
      <c r="AH50" s="28">
        <f ca="1"/>
        <v>1565.2476070000002</v>
      </c>
      <c r="AI50" s="28">
        <f ca="1"/>
        <v>1565.2476070000002</v>
      </c>
      <c r="AJ50" s="28">
        <f ca="1"/>
        <v>1565.2476070000002</v>
      </c>
      <c r="AK50" s="29">
        <f ca="1"/>
        <v>1565.2476070000002</v>
      </c>
      <c r="AL50" s="3"/>
    </row>
    <row r="51" spans="2:38" hidden="1">
      <c r="B51" s="3"/>
      <c r="C51" s="12"/>
      <c r="D51" s="16"/>
      <c r="E51" s="141">
        <f t="array" aca="1" ref="E51:AK51" ca="1">tlccQubc1</f>
        <v>871.80046800000002</v>
      </c>
      <c r="F51" s="28">
        <f ca="1"/>
        <v>871.80046800000002</v>
      </c>
      <c r="G51" s="28">
        <f ca="1"/>
        <v>871.80046800000002</v>
      </c>
      <c r="H51" s="28">
        <f ca="1"/>
        <v>871.80046800000002</v>
      </c>
      <c r="I51" s="28">
        <f ca="1"/>
        <v>871.80046800000002</v>
      </c>
      <c r="J51" s="28">
        <f ca="1"/>
        <v>871.80046800000002</v>
      </c>
      <c r="K51" s="28">
        <f ca="1"/>
        <v>871.80046800000002</v>
      </c>
      <c r="L51" s="28">
        <f ca="1"/>
        <v>871.80046800000002</v>
      </c>
      <c r="M51" s="28">
        <f ca="1"/>
        <v>871.80046800000002</v>
      </c>
      <c r="N51" s="28">
        <f ca="1"/>
        <v>871.80046800000002</v>
      </c>
      <c r="O51" s="28">
        <f ca="1"/>
        <v>871.80046800000002</v>
      </c>
      <c r="P51" s="28">
        <f ca="1"/>
        <v>871.80046800000002</v>
      </c>
      <c r="Q51" s="28">
        <f ca="1"/>
        <v>871.80046800000002</v>
      </c>
      <c r="R51" s="28">
        <f ca="1"/>
        <v>871.80046800000002</v>
      </c>
      <c r="S51" s="28">
        <f ca="1"/>
        <v>871.80046800000002</v>
      </c>
      <c r="T51" s="28">
        <f ca="1"/>
        <v>871.80046800000002</v>
      </c>
      <c r="U51" s="28">
        <f ca="1"/>
        <v>871.80046800000002</v>
      </c>
      <c r="V51" s="28">
        <f ca="1"/>
        <v>871.80046800000002</v>
      </c>
      <c r="W51" s="28">
        <f ca="1"/>
        <v>871.80046800000002</v>
      </c>
      <c r="X51" s="28">
        <f ca="1"/>
        <v>871.80046800000002</v>
      </c>
      <c r="Y51" s="28">
        <f ca="1"/>
        <v>871.80046800000002</v>
      </c>
      <c r="Z51" s="28">
        <f ca="1"/>
        <v>871.80046800000002</v>
      </c>
      <c r="AA51" s="28">
        <f ca="1"/>
        <v>871.80046800000002</v>
      </c>
      <c r="AB51" s="28">
        <f ca="1"/>
        <v>871.80046800000002</v>
      </c>
      <c r="AC51" s="28">
        <f ca="1"/>
        <v>871.80046800000002</v>
      </c>
      <c r="AD51" s="28">
        <f ca="1"/>
        <v>871.80046800000002</v>
      </c>
      <c r="AE51" s="28">
        <f ca="1"/>
        <v>871.80046800000002</v>
      </c>
      <c r="AF51" s="28">
        <f ca="1"/>
        <v>871.80046800000002</v>
      </c>
      <c r="AG51" s="28">
        <f ca="1"/>
        <v>871.80046800000002</v>
      </c>
      <c r="AH51" s="28">
        <f ca="1"/>
        <v>871.80046800000002</v>
      </c>
      <c r="AI51" s="28">
        <f ca="1"/>
        <v>871.80046800000002</v>
      </c>
      <c r="AJ51" s="28">
        <f ca="1"/>
        <v>871.80046800000002</v>
      </c>
      <c r="AK51" s="29">
        <f ca="1"/>
        <v>871.80046800000002</v>
      </c>
      <c r="AL51" s="3"/>
    </row>
    <row r="52" spans="2:38" hidden="1">
      <c r="B52" s="3"/>
      <c r="C52" s="12"/>
      <c r="D52" s="16"/>
      <c r="E52" s="141">
        <f t="array" aca="1" ref="E52:AK52" ca="1">tlccQubc2</f>
        <v>2365.8775770000002</v>
      </c>
      <c r="F52" s="28">
        <f ca="1"/>
        <v>2365.8775770000002</v>
      </c>
      <c r="G52" s="28">
        <f ca="1"/>
        <v>2365.8775770000002</v>
      </c>
      <c r="H52" s="28">
        <f ca="1"/>
        <v>2365.8775770000002</v>
      </c>
      <c r="I52" s="28">
        <f ca="1"/>
        <v>2365.8775770000002</v>
      </c>
      <c r="J52" s="28">
        <f ca="1"/>
        <v>2365.8775770000002</v>
      </c>
      <c r="K52" s="28">
        <f ca="1"/>
        <v>2365.8775770000002</v>
      </c>
      <c r="L52" s="28">
        <f ca="1"/>
        <v>2365.8775770000002</v>
      </c>
      <c r="M52" s="28">
        <f ca="1"/>
        <v>2365.8775770000002</v>
      </c>
      <c r="N52" s="28">
        <f ca="1"/>
        <v>2365.8775770000002</v>
      </c>
      <c r="O52" s="28">
        <f ca="1"/>
        <v>2365.8775770000002</v>
      </c>
      <c r="P52" s="28">
        <f ca="1"/>
        <v>2365.8775770000002</v>
      </c>
      <c r="Q52" s="28">
        <f ca="1"/>
        <v>2365.8775770000002</v>
      </c>
      <c r="R52" s="28">
        <f ca="1"/>
        <v>2365.8775770000002</v>
      </c>
      <c r="S52" s="28">
        <f ca="1"/>
        <v>2365.8775770000002</v>
      </c>
      <c r="T52" s="28">
        <f ca="1"/>
        <v>2365.8775770000002</v>
      </c>
      <c r="U52" s="28">
        <f ca="1"/>
        <v>2365.8775770000002</v>
      </c>
      <c r="V52" s="28">
        <f ca="1"/>
        <v>2365.8775770000002</v>
      </c>
      <c r="W52" s="28">
        <f ca="1"/>
        <v>2365.8775770000002</v>
      </c>
      <c r="X52" s="28">
        <f ca="1"/>
        <v>2365.8775770000002</v>
      </c>
      <c r="Y52" s="28">
        <f ca="1"/>
        <v>2365.8775770000002</v>
      </c>
      <c r="Z52" s="28">
        <f ca="1"/>
        <v>2365.8775770000002</v>
      </c>
      <c r="AA52" s="28">
        <f ca="1"/>
        <v>2365.8775770000002</v>
      </c>
      <c r="AB52" s="28">
        <f ca="1"/>
        <v>2365.8775770000002</v>
      </c>
      <c r="AC52" s="28">
        <f ca="1"/>
        <v>2365.8775770000002</v>
      </c>
      <c r="AD52" s="28">
        <f ca="1"/>
        <v>2365.8775770000002</v>
      </c>
      <c r="AE52" s="28">
        <f ca="1"/>
        <v>2365.8775770000002</v>
      </c>
      <c r="AF52" s="28">
        <f ca="1"/>
        <v>2365.8775770000002</v>
      </c>
      <c r="AG52" s="28">
        <f ca="1"/>
        <v>2365.8775770000002</v>
      </c>
      <c r="AH52" s="28">
        <f ca="1"/>
        <v>2365.8775770000002</v>
      </c>
      <c r="AI52" s="28">
        <f ca="1"/>
        <v>2365.8775770000002</v>
      </c>
      <c r="AJ52" s="28">
        <f ca="1"/>
        <v>2365.8775770000002</v>
      </c>
      <c r="AK52" s="29">
        <f ca="1"/>
        <v>2365.8775770000002</v>
      </c>
      <c r="AL52" s="3"/>
    </row>
    <row r="53" spans="2:38" hidden="1">
      <c r="B53" s="3"/>
      <c r="C53" s="12"/>
      <c r="D53" s="16"/>
      <c r="E53" s="141">
        <f t="array" aca="1" ref="E53:AK53" ca="1">tlccQubc3</f>
        <v>1984.217011</v>
      </c>
      <c r="F53" s="28">
        <f ca="1"/>
        <v>1984.217011</v>
      </c>
      <c r="G53" s="28">
        <f ca="1"/>
        <v>1984.217011</v>
      </c>
      <c r="H53" s="28">
        <f ca="1"/>
        <v>1984.217011</v>
      </c>
      <c r="I53" s="28">
        <f ca="1"/>
        <v>1984.217011</v>
      </c>
      <c r="J53" s="28">
        <f ca="1"/>
        <v>1984.217011</v>
      </c>
      <c r="K53" s="28">
        <f ca="1"/>
        <v>1984.217011</v>
      </c>
      <c r="L53" s="28">
        <f ca="1"/>
        <v>1984.217011</v>
      </c>
      <c r="M53" s="28">
        <f ca="1"/>
        <v>1984.217011</v>
      </c>
      <c r="N53" s="28">
        <f ca="1"/>
        <v>1984.217011</v>
      </c>
      <c r="O53" s="28">
        <f ca="1"/>
        <v>1984.217011</v>
      </c>
      <c r="P53" s="28">
        <f ca="1"/>
        <v>1984.217011</v>
      </c>
      <c r="Q53" s="28">
        <f ca="1"/>
        <v>1984.217011</v>
      </c>
      <c r="R53" s="28">
        <f ca="1"/>
        <v>1984.217011</v>
      </c>
      <c r="S53" s="28">
        <f ca="1"/>
        <v>1984.217011</v>
      </c>
      <c r="T53" s="28">
        <f ca="1"/>
        <v>1984.217011</v>
      </c>
      <c r="U53" s="28">
        <f ca="1"/>
        <v>1984.217011</v>
      </c>
      <c r="V53" s="28">
        <f ca="1"/>
        <v>1984.217011</v>
      </c>
      <c r="W53" s="28">
        <f ca="1"/>
        <v>1984.217011</v>
      </c>
      <c r="X53" s="28">
        <f ca="1"/>
        <v>1984.217011</v>
      </c>
      <c r="Y53" s="28">
        <f ca="1"/>
        <v>1984.217011</v>
      </c>
      <c r="Z53" s="28">
        <f ca="1"/>
        <v>1984.217011</v>
      </c>
      <c r="AA53" s="28">
        <f ca="1"/>
        <v>1984.217011</v>
      </c>
      <c r="AB53" s="28">
        <f ca="1"/>
        <v>1984.217011</v>
      </c>
      <c r="AC53" s="28">
        <f ca="1"/>
        <v>1984.217011</v>
      </c>
      <c r="AD53" s="28">
        <f ca="1"/>
        <v>1984.217011</v>
      </c>
      <c r="AE53" s="28">
        <f ca="1"/>
        <v>1984.217011</v>
      </c>
      <c r="AF53" s="28">
        <f ca="1"/>
        <v>1984.217011</v>
      </c>
      <c r="AG53" s="28">
        <f ca="1"/>
        <v>1984.217011</v>
      </c>
      <c r="AH53" s="28">
        <f ca="1"/>
        <v>1984.217011</v>
      </c>
      <c r="AI53" s="28">
        <f ca="1"/>
        <v>1984.217011</v>
      </c>
      <c r="AJ53" s="28">
        <f ca="1"/>
        <v>1984.217011</v>
      </c>
      <c r="AK53" s="29">
        <f ca="1"/>
        <v>1984.217011</v>
      </c>
      <c r="AL53" s="3"/>
    </row>
    <row r="54" spans="2:38" hidden="1">
      <c r="B54" s="3"/>
      <c r="C54" s="12"/>
      <c r="D54" s="16"/>
      <c r="E54" s="141">
        <f t="array" aca="1" ref="E54:AK54" ca="1">tlccQubc4</f>
        <v>2032.5232620000002</v>
      </c>
      <c r="F54" s="28">
        <f ca="1"/>
        <v>2032.5232620000002</v>
      </c>
      <c r="G54" s="28">
        <f ca="1"/>
        <v>2032.5232620000002</v>
      </c>
      <c r="H54" s="28">
        <f ca="1"/>
        <v>2032.5232620000002</v>
      </c>
      <c r="I54" s="28">
        <f ca="1"/>
        <v>2032.5232620000002</v>
      </c>
      <c r="J54" s="28">
        <f ca="1"/>
        <v>2032.5232620000002</v>
      </c>
      <c r="K54" s="28">
        <f ca="1"/>
        <v>2032.5232620000002</v>
      </c>
      <c r="L54" s="28">
        <f ca="1"/>
        <v>2032.5232620000002</v>
      </c>
      <c r="M54" s="28">
        <f ca="1"/>
        <v>2032.5232620000002</v>
      </c>
      <c r="N54" s="28">
        <f ca="1"/>
        <v>2032.5232620000002</v>
      </c>
      <c r="O54" s="28">
        <f ca="1"/>
        <v>2032.5232620000002</v>
      </c>
      <c r="P54" s="28">
        <f ca="1"/>
        <v>2032.5232620000002</v>
      </c>
      <c r="Q54" s="28">
        <f ca="1"/>
        <v>2032.5232620000002</v>
      </c>
      <c r="R54" s="28">
        <f ca="1"/>
        <v>2032.5232620000002</v>
      </c>
      <c r="S54" s="28">
        <f ca="1"/>
        <v>2032.5232620000002</v>
      </c>
      <c r="T54" s="28">
        <f ca="1"/>
        <v>2032.5232620000002</v>
      </c>
      <c r="U54" s="28">
        <f ca="1"/>
        <v>2032.5232620000002</v>
      </c>
      <c r="V54" s="28">
        <f ca="1"/>
        <v>2032.5232620000002</v>
      </c>
      <c r="W54" s="28">
        <f ca="1"/>
        <v>2032.5232620000002</v>
      </c>
      <c r="X54" s="28">
        <f ca="1"/>
        <v>2032.5232620000002</v>
      </c>
      <c r="Y54" s="28">
        <f ca="1"/>
        <v>2032.5232620000002</v>
      </c>
      <c r="Z54" s="28">
        <f ca="1"/>
        <v>2032.5232620000002</v>
      </c>
      <c r="AA54" s="28">
        <f ca="1"/>
        <v>2032.5232620000002</v>
      </c>
      <c r="AB54" s="28">
        <f ca="1"/>
        <v>2032.5232620000002</v>
      </c>
      <c r="AC54" s="28">
        <f ca="1"/>
        <v>2032.5232620000002</v>
      </c>
      <c r="AD54" s="28">
        <f ca="1"/>
        <v>2032.5232620000002</v>
      </c>
      <c r="AE54" s="28">
        <f ca="1"/>
        <v>2032.5232620000002</v>
      </c>
      <c r="AF54" s="28">
        <f ca="1"/>
        <v>2032.5232620000002</v>
      </c>
      <c r="AG54" s="28">
        <f ca="1"/>
        <v>2032.5232620000002</v>
      </c>
      <c r="AH54" s="28">
        <f ca="1"/>
        <v>2032.5232620000002</v>
      </c>
      <c r="AI54" s="28">
        <f ca="1"/>
        <v>2032.5232620000002</v>
      </c>
      <c r="AJ54" s="28">
        <f ca="1"/>
        <v>2032.5232620000002</v>
      </c>
      <c r="AK54" s="29">
        <f ca="1"/>
        <v>2032.5232620000002</v>
      </c>
      <c r="AL54" s="3"/>
    </row>
    <row r="55" spans="2:38" hidden="1">
      <c r="B55" s="3"/>
      <c r="C55" s="12"/>
      <c r="D55" s="16"/>
      <c r="E55" s="141">
        <f t="array" aca="1" ref="E55:AK55" ca="1">tlccQubc5</f>
        <v>1400.103376</v>
      </c>
      <c r="F55" s="28">
        <f ca="1"/>
        <v>1400.103376</v>
      </c>
      <c r="G55" s="28">
        <f ca="1"/>
        <v>1400.103376</v>
      </c>
      <c r="H55" s="28">
        <f ca="1"/>
        <v>1400.103376</v>
      </c>
      <c r="I55" s="28">
        <f ca="1"/>
        <v>1400.103376</v>
      </c>
      <c r="J55" s="28">
        <f ca="1"/>
        <v>1400.103376</v>
      </c>
      <c r="K55" s="28">
        <f ca="1"/>
        <v>1400.103376</v>
      </c>
      <c r="L55" s="28">
        <f ca="1"/>
        <v>1400.103376</v>
      </c>
      <c r="M55" s="28">
        <f ca="1"/>
        <v>1400.103376</v>
      </c>
      <c r="N55" s="28">
        <f ca="1"/>
        <v>1400.103376</v>
      </c>
      <c r="O55" s="28">
        <f ca="1"/>
        <v>1400.103376</v>
      </c>
      <c r="P55" s="28">
        <f ca="1"/>
        <v>1400.103376</v>
      </c>
      <c r="Q55" s="28">
        <f ca="1"/>
        <v>1400.103376</v>
      </c>
      <c r="R55" s="28">
        <f ca="1"/>
        <v>1400.103376</v>
      </c>
      <c r="S55" s="28">
        <f ca="1"/>
        <v>1400.103376</v>
      </c>
      <c r="T55" s="28">
        <f ca="1"/>
        <v>1400.103376</v>
      </c>
      <c r="U55" s="28">
        <f ca="1"/>
        <v>1400.103376</v>
      </c>
      <c r="V55" s="28">
        <f ca="1"/>
        <v>1400.103376</v>
      </c>
      <c r="W55" s="28">
        <f ca="1"/>
        <v>1400.103376</v>
      </c>
      <c r="X55" s="28">
        <f ca="1"/>
        <v>1400.103376</v>
      </c>
      <c r="Y55" s="28">
        <f ca="1"/>
        <v>1400.103376</v>
      </c>
      <c r="Z55" s="28">
        <f ca="1"/>
        <v>1400.103376</v>
      </c>
      <c r="AA55" s="28">
        <f ca="1"/>
        <v>1400.103376</v>
      </c>
      <c r="AB55" s="28">
        <f ca="1"/>
        <v>1400.103376</v>
      </c>
      <c r="AC55" s="28">
        <f ca="1"/>
        <v>1400.103376</v>
      </c>
      <c r="AD55" s="28">
        <f ca="1"/>
        <v>1400.103376</v>
      </c>
      <c r="AE55" s="28">
        <f ca="1"/>
        <v>1400.103376</v>
      </c>
      <c r="AF55" s="28">
        <f ca="1"/>
        <v>1400.103376</v>
      </c>
      <c r="AG55" s="28">
        <f ca="1"/>
        <v>1400.103376</v>
      </c>
      <c r="AH55" s="28">
        <f ca="1"/>
        <v>1400.103376</v>
      </c>
      <c r="AI55" s="28">
        <f ca="1"/>
        <v>1400.103376</v>
      </c>
      <c r="AJ55" s="28">
        <f ca="1"/>
        <v>1400.103376</v>
      </c>
      <c r="AK55" s="29">
        <f ca="1"/>
        <v>1400.103376</v>
      </c>
      <c r="AL55" s="3"/>
    </row>
    <row r="56" spans="2:38" hidden="1">
      <c r="B56" s="3"/>
      <c r="C56" s="4"/>
      <c r="D56" s="5"/>
      <c r="E56" s="147">
        <f t="array" aca="1" ref="E56:AK56" ca="1">tlccQubc6</f>
        <v>1148.1543220000001</v>
      </c>
      <c r="F56" s="35">
        <f ca="1"/>
        <v>1148.1543220000001</v>
      </c>
      <c r="G56" s="35">
        <f ca="1"/>
        <v>1148.1543220000001</v>
      </c>
      <c r="H56" s="35">
        <f ca="1"/>
        <v>1148.1543220000001</v>
      </c>
      <c r="I56" s="35">
        <f ca="1"/>
        <v>1148.1543220000001</v>
      </c>
      <c r="J56" s="35">
        <f ca="1"/>
        <v>1148.1543220000001</v>
      </c>
      <c r="K56" s="35">
        <f ca="1"/>
        <v>1148.1543220000001</v>
      </c>
      <c r="L56" s="35">
        <f ca="1"/>
        <v>1148.1543220000001</v>
      </c>
      <c r="M56" s="35">
        <f ca="1"/>
        <v>1148.1543220000001</v>
      </c>
      <c r="N56" s="35">
        <f ca="1"/>
        <v>1148.1543220000001</v>
      </c>
      <c r="O56" s="35">
        <f ca="1"/>
        <v>1148.1543220000001</v>
      </c>
      <c r="P56" s="35">
        <f ca="1"/>
        <v>1148.1543220000001</v>
      </c>
      <c r="Q56" s="35">
        <f ca="1"/>
        <v>1148.1543220000001</v>
      </c>
      <c r="R56" s="35">
        <f ca="1"/>
        <v>1148.1543220000001</v>
      </c>
      <c r="S56" s="35">
        <f ca="1"/>
        <v>1148.1543220000001</v>
      </c>
      <c r="T56" s="35">
        <f ca="1"/>
        <v>1148.1543220000001</v>
      </c>
      <c r="U56" s="35">
        <f ca="1"/>
        <v>1148.1543220000001</v>
      </c>
      <c r="V56" s="35">
        <f ca="1"/>
        <v>1148.1543220000001</v>
      </c>
      <c r="W56" s="35">
        <f ca="1"/>
        <v>1148.1543220000001</v>
      </c>
      <c r="X56" s="35">
        <f ca="1"/>
        <v>1148.1543220000001</v>
      </c>
      <c r="Y56" s="35">
        <f ca="1"/>
        <v>1148.1543220000001</v>
      </c>
      <c r="Z56" s="35">
        <f ca="1"/>
        <v>1148.1543220000001</v>
      </c>
      <c r="AA56" s="35">
        <f ca="1"/>
        <v>1148.1543220000001</v>
      </c>
      <c r="AB56" s="35">
        <f ca="1"/>
        <v>1148.1543220000001</v>
      </c>
      <c r="AC56" s="35">
        <f ca="1"/>
        <v>1148.1543220000001</v>
      </c>
      <c r="AD56" s="35">
        <f ca="1"/>
        <v>1148.1543220000001</v>
      </c>
      <c r="AE56" s="35">
        <f ca="1"/>
        <v>1148.1543220000001</v>
      </c>
      <c r="AF56" s="35">
        <f ca="1"/>
        <v>1148.1543220000001</v>
      </c>
      <c r="AG56" s="35">
        <f ca="1"/>
        <v>1148.1543220000001</v>
      </c>
      <c r="AH56" s="35">
        <f ca="1"/>
        <v>1148.1543220000001</v>
      </c>
      <c r="AI56" s="35">
        <f ca="1"/>
        <v>1148.1543220000001</v>
      </c>
      <c r="AJ56" s="35">
        <f ca="1"/>
        <v>1148.1543220000001</v>
      </c>
      <c r="AK56" s="36">
        <f ca="1"/>
        <v>1148.1543220000001</v>
      </c>
      <c r="AL56" s="3"/>
    </row>
    <row r="57" spans="2:38" hidden="1">
      <c r="B57" s="3"/>
      <c r="C57" s="3"/>
      <c r="D57" s="3"/>
      <c r="E57" s="118"/>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2:38" hidden="1">
      <c r="B58" s="3"/>
      <c r="C58" s="8" t="s">
        <v>53</v>
      </c>
      <c r="D58" s="9"/>
      <c r="E58" s="139">
        <f t="array" ref="E58:AK58">_yS</f>
        <v>2018</v>
      </c>
      <c r="F58" s="10">
        <v>2019</v>
      </c>
      <c r="G58" s="10">
        <v>2020</v>
      </c>
      <c r="H58" s="10">
        <v>2021</v>
      </c>
      <c r="I58" s="10">
        <v>2022</v>
      </c>
      <c r="J58" s="10">
        <v>2023</v>
      </c>
      <c r="K58" s="10">
        <v>2024</v>
      </c>
      <c r="L58" s="10">
        <v>2025</v>
      </c>
      <c r="M58" s="10">
        <v>2026</v>
      </c>
      <c r="N58" s="10">
        <v>2027</v>
      </c>
      <c r="O58" s="10">
        <v>2028</v>
      </c>
      <c r="P58" s="10">
        <v>2029</v>
      </c>
      <c r="Q58" s="10">
        <v>2030</v>
      </c>
      <c r="R58" s="10">
        <v>2031</v>
      </c>
      <c r="S58" s="10">
        <v>2032</v>
      </c>
      <c r="T58" s="10">
        <v>2033</v>
      </c>
      <c r="U58" s="10">
        <v>2034</v>
      </c>
      <c r="V58" s="10">
        <v>2035</v>
      </c>
      <c r="W58" s="10">
        <v>2036</v>
      </c>
      <c r="X58" s="10">
        <v>2037</v>
      </c>
      <c r="Y58" s="10">
        <v>2038</v>
      </c>
      <c r="Z58" s="10">
        <v>2039</v>
      </c>
      <c r="AA58" s="10">
        <v>2040</v>
      </c>
      <c r="AB58" s="10">
        <v>2041</v>
      </c>
      <c r="AC58" s="10">
        <v>2042</v>
      </c>
      <c r="AD58" s="10">
        <v>2043</v>
      </c>
      <c r="AE58" s="10">
        <v>2044</v>
      </c>
      <c r="AF58" s="10">
        <v>2045</v>
      </c>
      <c r="AG58" s="10">
        <v>2046</v>
      </c>
      <c r="AH58" s="10">
        <v>2047</v>
      </c>
      <c r="AI58" s="10">
        <v>2048</v>
      </c>
      <c r="AJ58" s="10">
        <v>2049</v>
      </c>
      <c r="AK58" s="11">
        <v>2050</v>
      </c>
      <c r="AL58" s="3"/>
    </row>
    <row r="59" spans="2:38" hidden="1">
      <c r="B59" s="3"/>
      <c r="C59" s="12"/>
      <c r="D59" s="16"/>
      <c r="E59" s="141">
        <f t="array" aca="1" ref="E59:AK59" ca="1">tlccEubc0</f>
        <v>99522.871011827126</v>
      </c>
      <c r="F59" s="28">
        <f ca="1"/>
        <v>99960.003412923412</v>
      </c>
      <c r="G59" s="28">
        <f ca="1"/>
        <v>100347.88798504561</v>
      </c>
      <c r="H59" s="28">
        <f ca="1"/>
        <v>100769.88560279671</v>
      </c>
      <c r="I59" s="28">
        <f ca="1"/>
        <v>101142.00514558384</v>
      </c>
      <c r="J59" s="28">
        <f ca="1"/>
        <v>101547.09545546935</v>
      </c>
      <c r="K59" s="28">
        <f ca="1"/>
        <v>101901.26123009574</v>
      </c>
      <c r="L59" s="28">
        <f ca="1"/>
        <v>102287.19778270253</v>
      </c>
      <c r="M59" s="28">
        <f ca="1"/>
        <v>102707.24193818777</v>
      </c>
      <c r="N59" s="28">
        <f ca="1"/>
        <v>103077.30697790771</v>
      </c>
      <c r="O59" s="28">
        <f ca="1"/>
        <v>103480.30848802104</v>
      </c>
      <c r="P59" s="28">
        <f ca="1"/>
        <v>103919.04160114101</v>
      </c>
      <c r="Q59" s="28">
        <f ca="1"/>
        <v>104308.95642003125</v>
      </c>
      <c r="R59" s="28">
        <f ca="1"/>
        <v>104733.52405430155</v>
      </c>
      <c r="S59" s="28">
        <f ca="1"/>
        <v>105108.52173291137</v>
      </c>
      <c r="T59" s="28">
        <f ca="1"/>
        <v>105517.03028451605</v>
      </c>
      <c r="U59" s="28">
        <f ca="1"/>
        <v>105961.79906813047</v>
      </c>
      <c r="V59" s="28">
        <f ca="1"/>
        <v>106358.330885167</v>
      </c>
      <c r="W59" s="28">
        <f ca="1"/>
        <v>106790.16904195271</v>
      </c>
      <c r="X59" s="28">
        <f ca="1"/>
        <v>107173.01002820353</v>
      </c>
      <c r="Y59" s="28">
        <f ca="1"/>
        <v>107590.18716349427</v>
      </c>
      <c r="Z59" s="28">
        <f ca="1"/>
        <v>108044.5207458846</v>
      </c>
      <c r="AA59" s="28">
        <f ca="1"/>
        <v>108451.36608910565</v>
      </c>
      <c r="AB59" s="28">
        <f ca="1"/>
        <v>108894.48693646019</v>
      </c>
      <c r="AC59" s="28">
        <f ca="1"/>
        <v>109289.44441247534</v>
      </c>
      <c r="AD59" s="28">
        <f ca="1"/>
        <v>109719.72485295104</v>
      </c>
      <c r="AE59" s="28">
        <f ca="1"/>
        <v>110187.7545887415</v>
      </c>
      <c r="AF59" s="28">
        <f ca="1"/>
        <v>110609.54958146763</v>
      </c>
      <c r="AG59" s="28">
        <f ca="1"/>
        <v>111069.0785006263</v>
      </c>
      <c r="AH59" s="28">
        <f ca="1"/>
        <v>111481.7476017945</v>
      </c>
      <c r="AI59" s="28">
        <f ca="1"/>
        <v>111931.34834073896</v>
      </c>
      <c r="AJ59" s="28">
        <f ca="1"/>
        <v>112333.45296188115</v>
      </c>
      <c r="AK59" s="29">
        <f ca="1"/>
        <v>112771.78755384503</v>
      </c>
      <c r="AL59" s="3"/>
    </row>
    <row r="60" spans="2:38" hidden="1">
      <c r="B60" s="3"/>
      <c r="C60" s="12"/>
      <c r="D60" s="16"/>
      <c r="E60" s="141">
        <f t="array" aca="1" ref="E60:AK60" ca="1">tlccEubc1</f>
        <v>26376.636822049633</v>
      </c>
      <c r="F60" s="28">
        <f ca="1"/>
        <v>26492.490419013262</v>
      </c>
      <c r="G60" s="28">
        <f ca="1"/>
        <v>26595.291819171092</v>
      </c>
      <c r="H60" s="28">
        <f ca="1"/>
        <v>26707.134230769818</v>
      </c>
      <c r="I60" s="28">
        <f ca="1"/>
        <v>26805.757410896102</v>
      </c>
      <c r="J60" s="28">
        <f ca="1"/>
        <v>26913.118863347674</v>
      </c>
      <c r="K60" s="28">
        <f ca="1"/>
        <v>27006.983740005126</v>
      </c>
      <c r="L60" s="28">
        <f ca="1"/>
        <v>27109.268854782942</v>
      </c>
      <c r="M60" s="28">
        <f ca="1"/>
        <v>27220.593538504567</v>
      </c>
      <c r="N60" s="28">
        <f ca="1"/>
        <v>27318.672211818463</v>
      </c>
      <c r="O60" s="28">
        <f ca="1"/>
        <v>27425.48006777083</v>
      </c>
      <c r="P60" s="28">
        <f ca="1"/>
        <v>27541.757902894744</v>
      </c>
      <c r="Q60" s="28">
        <f ca="1"/>
        <v>27645.097381195974</v>
      </c>
      <c r="R60" s="28">
        <f ca="1"/>
        <v>27757.620926605105</v>
      </c>
      <c r="S60" s="28">
        <f ca="1"/>
        <v>27857.006901680386</v>
      </c>
      <c r="T60" s="28">
        <f ca="1"/>
        <v>27965.274293836868</v>
      </c>
      <c r="U60" s="28">
        <f ca="1"/>
        <v>28083.151768189364</v>
      </c>
      <c r="V60" s="28">
        <f ca="1"/>
        <v>28188.244955514303</v>
      </c>
      <c r="W60" s="28">
        <f ca="1"/>
        <v>28302.695414103728</v>
      </c>
      <c r="X60" s="28">
        <f ca="1"/>
        <v>28404.160108120956</v>
      </c>
      <c r="Y60" s="28">
        <f ca="1"/>
        <v>28514.724942878584</v>
      </c>
      <c r="Z60" s="28">
        <f ca="1"/>
        <v>28635.137384530779</v>
      </c>
      <c r="AA60" s="28">
        <f ca="1"/>
        <v>28742.963975059989</v>
      </c>
      <c r="AB60" s="28">
        <f ca="1"/>
        <v>28860.404695369991</v>
      </c>
      <c r="AC60" s="28">
        <f ca="1"/>
        <v>28965.080633665286</v>
      </c>
      <c r="AD60" s="28">
        <f ca="1"/>
        <v>29079.118249287429</v>
      </c>
      <c r="AE60" s="28">
        <f ca="1"/>
        <v>29203.160594904642</v>
      </c>
      <c r="AF60" s="28">
        <f ca="1"/>
        <v>29314.949304609119</v>
      </c>
      <c r="AG60" s="28">
        <f ca="1"/>
        <v>29436.738671079827</v>
      </c>
      <c r="AH60" s="28">
        <f ca="1"/>
        <v>29546.108737462881</v>
      </c>
      <c r="AI60" s="28">
        <f ca="1"/>
        <v>29665.266829321532</v>
      </c>
      <c r="AJ60" s="28">
        <f ca="1"/>
        <v>29771.836981975925</v>
      </c>
      <c r="AK60" s="29">
        <f ca="1"/>
        <v>29888.009196676197</v>
      </c>
      <c r="AL60" s="3"/>
    </row>
    <row r="61" spans="2:38" hidden="1">
      <c r="B61" s="3"/>
      <c r="C61" s="12"/>
      <c r="D61" s="16"/>
      <c r="E61" s="141">
        <f t="array" aca="1" ref="E61:AK61" ca="1">tlccEubc2</f>
        <v>106248.66325690194</v>
      </c>
      <c r="F61" s="28">
        <f ca="1"/>
        <v>106715.33722651884</v>
      </c>
      <c r="G61" s="28">
        <f ca="1"/>
        <v>107129.43518075754</v>
      </c>
      <c r="H61" s="28">
        <f ca="1"/>
        <v>107579.9515528015</v>
      </c>
      <c r="I61" s="28">
        <f ca="1"/>
        <v>107977.21907122158</v>
      </c>
      <c r="J61" s="28">
        <f ca="1"/>
        <v>108409.68553331292</v>
      </c>
      <c r="K61" s="28">
        <f ca="1"/>
        <v>108787.78596131326</v>
      </c>
      <c r="L61" s="28">
        <f ca="1"/>
        <v>109199.80424816087</v>
      </c>
      <c r="M61" s="28">
        <f ca="1"/>
        <v>109648.23514224029</v>
      </c>
      <c r="N61" s="28">
        <f ca="1"/>
        <v>110043.30931351984</v>
      </c>
      <c r="O61" s="28">
        <f ca="1"/>
        <v>110473.54581398182</v>
      </c>
      <c r="P61" s="28">
        <f ca="1"/>
        <v>110941.92867232992</v>
      </c>
      <c r="Q61" s="28">
        <f ca="1"/>
        <v>111358.1940781603</v>
      </c>
      <c r="R61" s="28">
        <f ca="1"/>
        <v>111811.45414938559</v>
      </c>
      <c r="S61" s="28">
        <f ca="1"/>
        <v>112211.79430910625</v>
      </c>
      <c r="T61" s="28">
        <f ca="1"/>
        <v>112647.91001894994</v>
      </c>
      <c r="U61" s="28">
        <f ca="1"/>
        <v>113122.73644062558</v>
      </c>
      <c r="V61" s="28">
        <f ca="1"/>
        <v>113546.066023772</v>
      </c>
      <c r="W61" s="28">
        <f ca="1"/>
        <v>114007.08796209964</v>
      </c>
      <c r="X61" s="28">
        <f ca="1"/>
        <v>114415.80148307781</v>
      </c>
      <c r="Y61" s="28">
        <f ca="1"/>
        <v>114861.17160268297</v>
      </c>
      <c r="Z61" s="28">
        <f ca="1"/>
        <v>115346.2092157554</v>
      </c>
      <c r="AA61" s="28">
        <f ca="1"/>
        <v>115780.54931698089</v>
      </c>
      <c r="AB61" s="28">
        <f ca="1"/>
        <v>116253.61643425781</v>
      </c>
      <c r="AC61" s="28">
        <f ca="1"/>
        <v>116675.26528183724</v>
      </c>
      <c r="AD61" s="28">
        <f ca="1"/>
        <v>117134.62423281347</v>
      </c>
      <c r="AE61" s="28">
        <f ca="1"/>
        <v>117634.28359037262</v>
      </c>
      <c r="AF61" s="28">
        <f ca="1"/>
        <v>118084.58364391794</v>
      </c>
      <c r="AG61" s="28">
        <f ca="1"/>
        <v>118575.1676965293</v>
      </c>
      <c r="AH61" s="28">
        <f ca="1"/>
        <v>119015.72512740701</v>
      </c>
      <c r="AI61" s="28">
        <f ca="1"/>
        <v>119495.71004973196</v>
      </c>
      <c r="AJ61" s="28">
        <f ca="1"/>
        <v>119924.9890491361</v>
      </c>
      <c r="AK61" s="29">
        <f ca="1"/>
        <v>120392.9464541218</v>
      </c>
      <c r="AL61" s="3"/>
    </row>
    <row r="62" spans="2:38" hidden="1">
      <c r="B62" s="3"/>
      <c r="C62" s="12"/>
      <c r="D62" s="16"/>
      <c r="E62" s="141">
        <f t="array" aca="1" ref="E62:AK62" ca="1">tlccEubc3</f>
        <v>112952.73371609411</v>
      </c>
      <c r="F62" s="28">
        <f ca="1"/>
        <v>113448.85384604734</v>
      </c>
      <c r="G62" s="28">
        <f ca="1"/>
        <v>113889.08052301186</v>
      </c>
      <c r="H62" s="28">
        <f ca="1"/>
        <v>114368.02354447066</v>
      </c>
      <c r="I62" s="28">
        <f ca="1"/>
        <v>114790.3578199961</v>
      </c>
      <c r="J62" s="28">
        <f ca="1"/>
        <v>115250.1120195914</v>
      </c>
      <c r="K62" s="28">
        <f ca="1"/>
        <v>115652.06980101409</v>
      </c>
      <c r="L62" s="28">
        <f ca="1"/>
        <v>116090.08558788498</v>
      </c>
      <c r="M62" s="28">
        <f ca="1"/>
        <v>116566.81154204172</v>
      </c>
      <c r="N62" s="28">
        <f ca="1"/>
        <v>116986.8140747677</v>
      </c>
      <c r="O62" s="28">
        <f ca="1"/>
        <v>117444.19760677622</v>
      </c>
      <c r="P62" s="28">
        <f ca="1"/>
        <v>117942.134452798</v>
      </c>
      <c r="Q62" s="28">
        <f ca="1"/>
        <v>118384.66534305777</v>
      </c>
      <c r="R62" s="28">
        <f ca="1"/>
        <v>118866.5251854302</v>
      </c>
      <c r="S62" s="28">
        <f ca="1"/>
        <v>119292.12597955453</v>
      </c>
      <c r="T62" s="28">
        <f ca="1"/>
        <v>119755.75968687254</v>
      </c>
      <c r="U62" s="28">
        <f ca="1"/>
        <v>120260.54667171404</v>
      </c>
      <c r="V62" s="28">
        <f ca="1"/>
        <v>120710.58747423839</v>
      </c>
      <c r="W62" s="28">
        <f ca="1"/>
        <v>121200.69894144143</v>
      </c>
      <c r="X62" s="28">
        <f ca="1"/>
        <v>121635.20143856553</v>
      </c>
      <c r="Y62" s="28">
        <f ca="1"/>
        <v>122108.6734897219</v>
      </c>
      <c r="Z62" s="28">
        <f ca="1"/>
        <v>122624.31597097545</v>
      </c>
      <c r="AA62" s="28">
        <f ca="1"/>
        <v>123086.06203245126</v>
      </c>
      <c r="AB62" s="28">
        <f ca="1"/>
        <v>123588.97870443246</v>
      </c>
      <c r="AC62" s="28">
        <f ca="1"/>
        <v>124037.23272045875</v>
      </c>
      <c r="AD62" s="28">
        <f ca="1"/>
        <v>124525.57626925492</v>
      </c>
      <c r="AE62" s="28">
        <f ca="1"/>
        <v>125056.76309676988</v>
      </c>
      <c r="AF62" s="28">
        <f ca="1"/>
        <v>125535.4761504811</v>
      </c>
      <c r="AG62" s="28">
        <f ca="1"/>
        <v>126057.01504011385</v>
      </c>
      <c r="AH62" s="28">
        <f ca="1"/>
        <v>126525.37073185798</v>
      </c>
      <c r="AI62" s="28">
        <f ca="1"/>
        <v>127035.64170804921</v>
      </c>
      <c r="AJ62" s="28">
        <f ca="1"/>
        <v>127492.00732266743</v>
      </c>
      <c r="AK62" s="29">
        <f ca="1"/>
        <v>127989.49187010144</v>
      </c>
      <c r="AL62" s="3"/>
    </row>
    <row r="63" spans="2:38" hidden="1">
      <c r="B63" s="3"/>
      <c r="C63" s="12"/>
      <c r="D63" s="16"/>
      <c r="E63" s="141">
        <f t="array" aca="1" ref="E63:AK63" ca="1">tlccEubc4</f>
        <v>92983.913154714319</v>
      </c>
      <c r="F63" s="28">
        <f ca="1"/>
        <v>93392.324616395534</v>
      </c>
      <c r="G63" s="28">
        <f ca="1"/>
        <v>93754.723982506868</v>
      </c>
      <c r="H63" s="28">
        <f ca="1"/>
        <v>94148.995062526228</v>
      </c>
      <c r="I63" s="28">
        <f ca="1"/>
        <v>94496.665210080362</v>
      </c>
      <c r="J63" s="28">
        <f ca="1"/>
        <v>94875.139844214835</v>
      </c>
      <c r="K63" s="28">
        <f ca="1"/>
        <v>95206.035841239689</v>
      </c>
      <c r="L63" s="28">
        <f ca="1"/>
        <v>95566.615178692213</v>
      </c>
      <c r="M63" s="28">
        <f ca="1"/>
        <v>95959.061144907813</v>
      </c>
      <c r="N63" s="28">
        <f ca="1"/>
        <v>96304.811776547285</v>
      </c>
      <c r="O63" s="28">
        <f ca="1"/>
        <v>96681.334851460837</v>
      </c>
      <c r="P63" s="28">
        <f ca="1"/>
        <v>97091.2418534764</v>
      </c>
      <c r="Q63" s="28">
        <f ca="1"/>
        <v>97455.538072916504</v>
      </c>
      <c r="R63" s="28">
        <f ca="1"/>
        <v>97852.21031148771</v>
      </c>
      <c r="S63" s="28">
        <f ca="1"/>
        <v>98202.569492513794</v>
      </c>
      <c r="T63" s="28">
        <f ca="1"/>
        <v>98584.237779402843</v>
      </c>
      <c r="U63" s="28">
        <f ca="1"/>
        <v>98999.783889850398</v>
      </c>
      <c r="V63" s="28">
        <f ca="1"/>
        <v>99370.26235036453</v>
      </c>
      <c r="W63" s="28">
        <f ca="1"/>
        <v>99773.727415823494</v>
      </c>
      <c r="X63" s="28">
        <f ca="1"/>
        <v>100131.41457512359</v>
      </c>
      <c r="Y63" s="28">
        <f ca="1"/>
        <v>100521.18189316445</v>
      </c>
      <c r="Z63" s="28">
        <f ca="1"/>
        <v>100945.66436577351</v>
      </c>
      <c r="AA63" s="28">
        <f ca="1"/>
        <v>101325.77872217073</v>
      </c>
      <c r="AB63" s="28">
        <f ca="1"/>
        <v>101739.78517082476</v>
      </c>
      <c r="AC63" s="28">
        <f ca="1"/>
        <v>102108.79272935099</v>
      </c>
      <c r="AD63" s="28">
        <f ca="1"/>
        <v>102510.80242523896</v>
      </c>
      <c r="AE63" s="28">
        <f ca="1"/>
        <v>102948.08117196435</v>
      </c>
      <c r="AF63" s="28">
        <f ca="1"/>
        <v>103342.16294004441</v>
      </c>
      <c r="AG63" s="28">
        <f ca="1"/>
        <v>103771.49939986228</v>
      </c>
      <c r="AH63" s="28">
        <f ca="1"/>
        <v>104157.05487544835</v>
      </c>
      <c r="AI63" s="28">
        <f ca="1"/>
        <v>104577.11546694138</v>
      </c>
      <c r="AJ63" s="28">
        <f ca="1"/>
        <v>104952.80058123988</v>
      </c>
      <c r="AK63" s="29">
        <f ca="1"/>
        <v>105362.3352461616</v>
      </c>
      <c r="AL63" s="3"/>
    </row>
    <row r="64" spans="2:38" hidden="1">
      <c r="B64" s="3"/>
      <c r="C64" s="12"/>
      <c r="D64" s="16"/>
      <c r="E64" s="141">
        <f t="array" aca="1" ref="E64:AK64" ca="1">tlccEubc5</f>
        <v>48449.865965509736</v>
      </c>
      <c r="F64" s="28">
        <f ca="1"/>
        <v>48662.671384274028</v>
      </c>
      <c r="G64" s="28">
        <f ca="1"/>
        <v>48851.501904719677</v>
      </c>
      <c r="H64" s="28">
        <f ca="1"/>
        <v>49056.939386676699</v>
      </c>
      <c r="I64" s="28">
        <f ca="1"/>
        <v>49238.095153063725</v>
      </c>
      <c r="J64" s="28">
        <f ca="1"/>
        <v>49435.301795299238</v>
      </c>
      <c r="K64" s="28">
        <f ca="1"/>
        <v>49607.717282671787</v>
      </c>
      <c r="L64" s="28">
        <f ca="1"/>
        <v>49795.599465479449</v>
      </c>
      <c r="M64" s="28">
        <f ca="1"/>
        <v>50000.085960151009</v>
      </c>
      <c r="N64" s="28">
        <f ca="1"/>
        <v>50180.241550425555</v>
      </c>
      <c r="O64" s="28">
        <f ca="1"/>
        <v>50376.43132017777</v>
      </c>
      <c r="P64" s="28">
        <f ca="1"/>
        <v>50590.015999851705</v>
      </c>
      <c r="Q64" s="28">
        <f ca="1"/>
        <v>50779.834887923709</v>
      </c>
      <c r="R64" s="28">
        <f ca="1"/>
        <v>50986.523508986975</v>
      </c>
      <c r="S64" s="28">
        <f ca="1"/>
        <v>51169.080413558811</v>
      </c>
      <c r="T64" s="28">
        <f ca="1"/>
        <v>51367.951129101741</v>
      </c>
      <c r="U64" s="28">
        <f ca="1"/>
        <v>51584.474102491462</v>
      </c>
      <c r="V64" s="28">
        <f ca="1"/>
        <v>51777.514287035563</v>
      </c>
      <c r="W64" s="28">
        <f ca="1"/>
        <v>51987.742354236085</v>
      </c>
      <c r="X64" s="28">
        <f ca="1"/>
        <v>52174.117549016701</v>
      </c>
      <c r="Y64" s="28">
        <f ca="1"/>
        <v>52377.208316829347</v>
      </c>
      <c r="Z64" s="28">
        <f ca="1"/>
        <v>52598.387639196619</v>
      </c>
      <c r="AA64" s="28">
        <f ca="1"/>
        <v>52796.448669262812</v>
      </c>
      <c r="AB64" s="28">
        <f ca="1"/>
        <v>53012.169391972879</v>
      </c>
      <c r="AC64" s="28">
        <f ca="1"/>
        <v>53204.443153576256</v>
      </c>
      <c r="AD64" s="28">
        <f ca="1"/>
        <v>53413.912891101703</v>
      </c>
      <c r="AE64" s="28">
        <f ca="1"/>
        <v>53641.759794395184</v>
      </c>
      <c r="AF64" s="28">
        <f ca="1"/>
        <v>53847.098634148686</v>
      </c>
      <c r="AG64" s="28">
        <f ca="1"/>
        <v>54070.807157768999</v>
      </c>
      <c r="AH64" s="28">
        <f ca="1"/>
        <v>54271.703317982545</v>
      </c>
      <c r="AI64" s="28">
        <f ca="1"/>
        <v>54490.578590755445</v>
      </c>
      <c r="AJ64" s="28">
        <f ca="1"/>
        <v>54686.331735739965</v>
      </c>
      <c r="AK64" s="29">
        <f ca="1"/>
        <v>54899.722406776498</v>
      </c>
      <c r="AL64" s="3"/>
    </row>
    <row r="65" spans="2:38" hidden="1">
      <c r="B65" s="3"/>
      <c r="C65" s="4"/>
      <c r="D65" s="5"/>
      <c r="E65" s="147">
        <f t="array" aca="1" ref="E65:AK65" ca="1">tlccEubc6</f>
        <v>24447.906869118353</v>
      </c>
      <c r="F65" s="35">
        <f ca="1"/>
        <v>24555.288942432995</v>
      </c>
      <c r="G65" s="35">
        <f ca="1"/>
        <v>24650.573230343904</v>
      </c>
      <c r="H65" s="35">
        <f ca="1"/>
        <v>24754.237426853488</v>
      </c>
      <c r="I65" s="35">
        <f ca="1"/>
        <v>24845.649017312517</v>
      </c>
      <c r="J65" s="35">
        <f ca="1"/>
        <v>24945.159914345284</v>
      </c>
      <c r="K65" s="35">
        <f ca="1"/>
        <v>25032.161141161454</v>
      </c>
      <c r="L65" s="35">
        <f ca="1"/>
        <v>25126.96689585473</v>
      </c>
      <c r="M65" s="35">
        <f ca="1"/>
        <v>25230.151222128847</v>
      </c>
      <c r="N65" s="35">
        <f ca="1"/>
        <v>25321.058121564205</v>
      </c>
      <c r="O65" s="35">
        <f ca="1"/>
        <v>25420.055902548589</v>
      </c>
      <c r="P65" s="35">
        <f ca="1"/>
        <v>25527.831192599053</v>
      </c>
      <c r="Q65" s="35">
        <f ca="1"/>
        <v>25623.61421294606</v>
      </c>
      <c r="R65" s="35">
        <f ca="1"/>
        <v>25727.909736947258</v>
      </c>
      <c r="S65" s="35">
        <f ca="1"/>
        <v>25820.028344756487</v>
      </c>
      <c r="T65" s="35">
        <f ca="1"/>
        <v>25920.378936769466</v>
      </c>
      <c r="U65" s="35">
        <f ca="1"/>
        <v>26029.636896166612</v>
      </c>
      <c r="V65" s="35">
        <f ca="1"/>
        <v>26127.045389661551</v>
      </c>
      <c r="W65" s="35">
        <f ca="1"/>
        <v>26233.126925817935</v>
      </c>
      <c r="X65" s="35">
        <f ca="1"/>
        <v>26327.172251102307</v>
      </c>
      <c r="Y65" s="35">
        <f ca="1"/>
        <v>26429.652290592934</v>
      </c>
      <c r="Z65" s="35">
        <f ca="1"/>
        <v>26541.259853727555</v>
      </c>
      <c r="AA65" s="35">
        <f ca="1"/>
        <v>26641.201876702551</v>
      </c>
      <c r="AB65" s="35">
        <f ca="1"/>
        <v>26750.055018676336</v>
      </c>
      <c r="AC65" s="35">
        <f ca="1"/>
        <v>26847.076773502264</v>
      </c>
      <c r="AD65" s="35">
        <f ca="1"/>
        <v>26952.775654868979</v>
      </c>
      <c r="AE65" s="35">
        <f ca="1"/>
        <v>27067.747693720452</v>
      </c>
      <c r="AF65" s="35">
        <f ca="1"/>
        <v>27171.362115161366</v>
      </c>
      <c r="AG65" s="35">
        <f ca="1"/>
        <v>27284.245918703593</v>
      </c>
      <c r="AH65" s="35">
        <f ca="1"/>
        <v>27385.618554466109</v>
      </c>
      <c r="AI65" s="35">
        <f ca="1"/>
        <v>27496.06348920575</v>
      </c>
      <c r="AJ65" s="35">
        <f ca="1"/>
        <v>27594.84094839056</v>
      </c>
      <c r="AK65" s="36">
        <f ca="1"/>
        <v>27702.518341264135</v>
      </c>
      <c r="AL65" s="3"/>
    </row>
    <row r="66" spans="2:38" hidden="1">
      <c r="B66" s="3"/>
      <c r="C66" s="3"/>
      <c r="D66" s="3"/>
      <c r="E66" s="118"/>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2:38" hidden="1">
      <c r="B67" s="3"/>
      <c r="C67" s="8" t="s">
        <v>52</v>
      </c>
      <c r="D67" s="9"/>
      <c r="E67" s="139">
        <f t="array" ref="E67:AK67">_yS</f>
        <v>2018</v>
      </c>
      <c r="F67" s="10">
        <v>2019</v>
      </c>
      <c r="G67" s="10">
        <v>2020</v>
      </c>
      <c r="H67" s="10">
        <v>2021</v>
      </c>
      <c r="I67" s="10">
        <v>2022</v>
      </c>
      <c r="J67" s="10">
        <v>2023</v>
      </c>
      <c r="K67" s="10">
        <v>2024</v>
      </c>
      <c r="L67" s="10">
        <v>2025</v>
      </c>
      <c r="M67" s="10">
        <v>2026</v>
      </c>
      <c r="N67" s="10">
        <v>2027</v>
      </c>
      <c r="O67" s="10">
        <v>2028</v>
      </c>
      <c r="P67" s="10">
        <v>2029</v>
      </c>
      <c r="Q67" s="10">
        <v>2030</v>
      </c>
      <c r="R67" s="10">
        <v>2031</v>
      </c>
      <c r="S67" s="10">
        <v>2032</v>
      </c>
      <c r="T67" s="10">
        <v>2033</v>
      </c>
      <c r="U67" s="10">
        <v>2034</v>
      </c>
      <c r="V67" s="10">
        <v>2035</v>
      </c>
      <c r="W67" s="10">
        <v>2036</v>
      </c>
      <c r="X67" s="10">
        <v>2037</v>
      </c>
      <c r="Y67" s="10">
        <v>2038</v>
      </c>
      <c r="Z67" s="10">
        <v>2039</v>
      </c>
      <c r="AA67" s="10">
        <v>2040</v>
      </c>
      <c r="AB67" s="10">
        <v>2041</v>
      </c>
      <c r="AC67" s="10">
        <v>2042</v>
      </c>
      <c r="AD67" s="10">
        <v>2043</v>
      </c>
      <c r="AE67" s="10">
        <v>2044</v>
      </c>
      <c r="AF67" s="10">
        <v>2045</v>
      </c>
      <c r="AG67" s="10">
        <v>2046</v>
      </c>
      <c r="AH67" s="10">
        <v>2047</v>
      </c>
      <c r="AI67" s="10">
        <v>2048</v>
      </c>
      <c r="AJ67" s="10">
        <v>2049</v>
      </c>
      <c r="AK67" s="11">
        <v>2050</v>
      </c>
      <c r="AL67" s="3"/>
    </row>
    <row r="68" spans="2:38" hidden="1">
      <c r="B68" s="3"/>
      <c r="C68" s="12"/>
      <c r="D68" s="16"/>
      <c r="E68" s="141">
        <f t="array" aca="1" ref="E68:AK68" ca="1">tlccFubcElec0</f>
        <v>22860.146763875873</v>
      </c>
      <c r="F68" s="28">
        <f ca="1"/>
        <v>22706.577648784729</v>
      </c>
      <c r="G68" s="28">
        <f ca="1"/>
        <v>22551.86043642573</v>
      </c>
      <c r="H68" s="28">
        <f ca="1"/>
        <v>22416.031191169666</v>
      </c>
      <c r="I68" s="28">
        <f ca="1"/>
        <v>22287.250144055983</v>
      </c>
      <c r="J68" s="28">
        <f ca="1"/>
        <v>22175.10571775389</v>
      </c>
      <c r="K68" s="28">
        <f ca="1"/>
        <v>22088.1613514807</v>
      </c>
      <c r="L68" s="28">
        <f ca="1"/>
        <v>22016.078510234005</v>
      </c>
      <c r="M68" s="28">
        <f ca="1"/>
        <v>21943.633658455168</v>
      </c>
      <c r="N68" s="28">
        <f ca="1"/>
        <v>21885.664147992411</v>
      </c>
      <c r="O68" s="28">
        <f ca="1"/>
        <v>21845.72461715902</v>
      </c>
      <c r="P68" s="28">
        <f ca="1"/>
        <v>21816.478131456672</v>
      </c>
      <c r="Q68" s="28">
        <f ca="1"/>
        <v>21791.855619848102</v>
      </c>
      <c r="R68" s="28">
        <f ca="1"/>
        <v>21773.690493450737</v>
      </c>
      <c r="S68" s="28">
        <f ca="1"/>
        <v>21759.843375388376</v>
      </c>
      <c r="T68" s="28">
        <f ca="1"/>
        <v>21758.10230442696</v>
      </c>
      <c r="U68" s="28">
        <f ca="1"/>
        <v>21761.648357617767</v>
      </c>
      <c r="V68" s="28">
        <f ca="1"/>
        <v>21766.865275447257</v>
      </c>
      <c r="W68" s="28">
        <f ca="1"/>
        <v>21774.326190738717</v>
      </c>
      <c r="X68" s="28">
        <f ca="1"/>
        <v>21781.376675543826</v>
      </c>
      <c r="Y68" s="28">
        <f ca="1"/>
        <v>21787.21837916904</v>
      </c>
      <c r="Z68" s="28">
        <f ca="1"/>
        <v>21791.133146541448</v>
      </c>
      <c r="AA68" s="28">
        <f ca="1"/>
        <v>21793.713238832643</v>
      </c>
      <c r="AB68" s="28">
        <f ca="1"/>
        <v>21793.713238832643</v>
      </c>
      <c r="AC68" s="28">
        <f ca="1"/>
        <v>21793.713238832643</v>
      </c>
      <c r="AD68" s="28">
        <f ca="1"/>
        <v>21793.713238832643</v>
      </c>
      <c r="AE68" s="28">
        <f ca="1"/>
        <v>21793.713238832643</v>
      </c>
      <c r="AF68" s="28">
        <f ca="1"/>
        <v>21793.713238832643</v>
      </c>
      <c r="AG68" s="28">
        <f ca="1"/>
        <v>21793.713238832643</v>
      </c>
      <c r="AH68" s="28">
        <f ca="1"/>
        <v>21793.713238832643</v>
      </c>
      <c r="AI68" s="28">
        <f ca="1"/>
        <v>21793.713238832643</v>
      </c>
      <c r="AJ68" s="28">
        <f ca="1"/>
        <v>21793.713238832643</v>
      </c>
      <c r="AK68" s="29">
        <f ca="1"/>
        <v>21793.713238832643</v>
      </c>
      <c r="AL68" s="3"/>
    </row>
    <row r="69" spans="2:38" hidden="1">
      <c r="B69" s="3"/>
      <c r="C69" s="12"/>
      <c r="D69" s="16"/>
      <c r="E69" s="141">
        <f t="array" aca="1" ref="E69:AK69" ca="1">tlccFubcElec1</f>
        <v>6058.6454425922911</v>
      </c>
      <c r="F69" s="28">
        <f ca="1"/>
        <v>6017.9448806545115</v>
      </c>
      <c r="G69" s="28">
        <f ca="1"/>
        <v>5976.9400374559227</v>
      </c>
      <c r="H69" s="28">
        <f ca="1"/>
        <v>5940.9410893196045</v>
      </c>
      <c r="I69" s="28">
        <f ca="1"/>
        <v>5906.8101315332588</v>
      </c>
      <c r="J69" s="28">
        <f ca="1"/>
        <v>5877.0883924584687</v>
      </c>
      <c r="K69" s="28">
        <f ca="1"/>
        <v>5854.045448162391</v>
      </c>
      <c r="L69" s="28">
        <f ca="1"/>
        <v>5834.9412673310362</v>
      </c>
      <c r="M69" s="28">
        <f ca="1"/>
        <v>5815.7411425198206</v>
      </c>
      <c r="N69" s="28">
        <f ca="1"/>
        <v>5800.377430554091</v>
      </c>
      <c r="O69" s="28">
        <f ca="1"/>
        <v>5789.79222045188</v>
      </c>
      <c r="P69" s="28">
        <f ca="1"/>
        <v>5782.0409978047737</v>
      </c>
      <c r="Q69" s="28">
        <f ca="1"/>
        <v>5775.5152712080317</v>
      </c>
      <c r="R69" s="28">
        <f ca="1"/>
        <v>5770.7009512739442</v>
      </c>
      <c r="S69" s="28">
        <f ca="1"/>
        <v>5767.0310370075085</v>
      </c>
      <c r="T69" s="28">
        <f ca="1"/>
        <v>5766.5695993905683</v>
      </c>
      <c r="U69" s="28">
        <f ca="1"/>
        <v>5767.5094130857997</v>
      </c>
      <c r="V69" s="28">
        <f ca="1"/>
        <v>5768.8920575525417</v>
      </c>
      <c r="W69" s="28">
        <f ca="1"/>
        <v>5770.8694307030773</v>
      </c>
      <c r="X69" s="28">
        <f ca="1"/>
        <v>5772.7380270893455</v>
      </c>
      <c r="Y69" s="28">
        <f ca="1"/>
        <v>5774.2862591025278</v>
      </c>
      <c r="Z69" s="28">
        <f ca="1"/>
        <v>5775.3237934519184</v>
      </c>
      <c r="AA69" s="28">
        <f ca="1"/>
        <v>5776.0075976533089</v>
      </c>
      <c r="AB69" s="28">
        <f ca="1"/>
        <v>5776.0075976533089</v>
      </c>
      <c r="AC69" s="28">
        <f ca="1"/>
        <v>5776.0075976533089</v>
      </c>
      <c r="AD69" s="28">
        <f ca="1"/>
        <v>5776.0075976533089</v>
      </c>
      <c r="AE69" s="28">
        <f ca="1"/>
        <v>5776.0075976533089</v>
      </c>
      <c r="AF69" s="28">
        <f ca="1"/>
        <v>5776.0075976533089</v>
      </c>
      <c r="AG69" s="28">
        <f ca="1"/>
        <v>5776.0075976533089</v>
      </c>
      <c r="AH69" s="28">
        <f ca="1"/>
        <v>5776.0075976533089</v>
      </c>
      <c r="AI69" s="28">
        <f ca="1"/>
        <v>5776.0075976533089</v>
      </c>
      <c r="AJ69" s="28">
        <f ca="1"/>
        <v>5776.0075976533089</v>
      </c>
      <c r="AK69" s="29">
        <f ca="1"/>
        <v>5776.0075976533089</v>
      </c>
      <c r="AL69" s="3"/>
    </row>
    <row r="70" spans="2:38" hidden="1">
      <c r="B70" s="3"/>
      <c r="C70" s="12"/>
      <c r="D70" s="16"/>
      <c r="E70" s="141">
        <f t="array" aca="1" ref="E70:AK70" ca="1">tlccFubcElec2</f>
        <v>24405.043894179471</v>
      </c>
      <c r="F70" s="28">
        <f ca="1"/>
        <v>24241.096521780615</v>
      </c>
      <c r="G70" s="28">
        <f ca="1"/>
        <v>24075.923463278068</v>
      </c>
      <c r="H70" s="28">
        <f ca="1"/>
        <v>23930.914827645611</v>
      </c>
      <c r="I70" s="28">
        <f ca="1"/>
        <v>23793.430709979566</v>
      </c>
      <c r="J70" s="28">
        <f ca="1"/>
        <v>23673.707522081444</v>
      </c>
      <c r="K70" s="28">
        <f ca="1"/>
        <v>23580.887423542012</v>
      </c>
      <c r="L70" s="28">
        <f ca="1"/>
        <v>23503.933197359056</v>
      </c>
      <c r="M70" s="28">
        <f ca="1"/>
        <v>23426.592495838995</v>
      </c>
      <c r="N70" s="28">
        <f ca="1"/>
        <v>23364.705384527733</v>
      </c>
      <c r="O70" s="28">
        <f ca="1"/>
        <v>23322.066725503802</v>
      </c>
      <c r="P70" s="28">
        <f ca="1"/>
        <v>23290.843751535667</v>
      </c>
      <c r="Q70" s="28">
        <f ca="1"/>
        <v>23264.557241532082</v>
      </c>
      <c r="R70" s="28">
        <f ca="1"/>
        <v>23245.16450920844</v>
      </c>
      <c r="S70" s="28">
        <f ca="1"/>
        <v>23230.381597812011</v>
      </c>
      <c r="T70" s="28">
        <f ca="1"/>
        <v>23228.522864634346</v>
      </c>
      <c r="U70" s="28">
        <f ca="1"/>
        <v>23232.308561404654</v>
      </c>
      <c r="V70" s="28">
        <f ca="1"/>
        <v>23237.878040460761</v>
      </c>
      <c r="W70" s="28">
        <f ca="1"/>
        <v>23245.843167153063</v>
      </c>
      <c r="X70" s="28">
        <f ca="1"/>
        <v>23253.370126315716</v>
      </c>
      <c r="Y70" s="28">
        <f ca="1"/>
        <v>23259.606614421533</v>
      </c>
      <c r="Z70" s="28">
        <f ca="1"/>
        <v>23263.785943213508</v>
      </c>
      <c r="AA70" s="28">
        <f ca="1"/>
        <v>23266.540399091158</v>
      </c>
      <c r="AB70" s="28">
        <f ca="1"/>
        <v>23266.540399091158</v>
      </c>
      <c r="AC70" s="28">
        <f ca="1"/>
        <v>23266.540399091158</v>
      </c>
      <c r="AD70" s="28">
        <f ca="1"/>
        <v>23266.540399091158</v>
      </c>
      <c r="AE70" s="28">
        <f ca="1"/>
        <v>23266.540399091158</v>
      </c>
      <c r="AF70" s="28">
        <f ca="1"/>
        <v>23266.540399091158</v>
      </c>
      <c r="AG70" s="28">
        <f ca="1"/>
        <v>23266.540399091158</v>
      </c>
      <c r="AH70" s="28">
        <f ca="1"/>
        <v>23266.540399091158</v>
      </c>
      <c r="AI70" s="28">
        <f ca="1"/>
        <v>23266.540399091158</v>
      </c>
      <c r="AJ70" s="28">
        <f ca="1"/>
        <v>23266.540399091158</v>
      </c>
      <c r="AK70" s="29">
        <f ca="1"/>
        <v>23266.540399091158</v>
      </c>
      <c r="AL70" s="3"/>
    </row>
    <row r="71" spans="2:38" hidden="1">
      <c r="B71" s="3"/>
      <c r="C71" s="12"/>
      <c r="D71" s="16"/>
      <c r="E71" s="141">
        <f t="array" aca="1" ref="E71:AK71" ca="1">tlccFubcElec3</f>
        <v>25944.951586294639</v>
      </c>
      <c r="F71" s="28">
        <f ca="1"/>
        <v>25770.659474465949</v>
      </c>
      <c r="G71" s="28">
        <f ca="1"/>
        <v>25595.064338280561</v>
      </c>
      <c r="H71" s="28">
        <f ca="1"/>
        <v>25440.905958259125</v>
      </c>
      <c r="I71" s="28">
        <f ca="1"/>
        <v>25294.746877693779</v>
      </c>
      <c r="J71" s="28">
        <f ca="1"/>
        <v>25167.469404756539</v>
      </c>
      <c r="K71" s="28">
        <f ca="1"/>
        <v>25068.792550361901</v>
      </c>
      <c r="L71" s="28">
        <f ca="1"/>
        <v>24986.982671988615</v>
      </c>
      <c r="M71" s="28">
        <f ca="1"/>
        <v>24904.761932485391</v>
      </c>
      <c r="N71" s="28">
        <f ca="1"/>
        <v>24838.969872706741</v>
      </c>
      <c r="O71" s="28">
        <f ca="1"/>
        <v>24793.640802663798</v>
      </c>
      <c r="P71" s="28">
        <f ca="1"/>
        <v>24760.447723745532</v>
      </c>
      <c r="Q71" s="28">
        <f ca="1"/>
        <v>24732.502589437518</v>
      </c>
      <c r="R71" s="28">
        <f ca="1"/>
        <v>24711.886215894232</v>
      </c>
      <c r="S71" s="28">
        <f ca="1"/>
        <v>24696.170533425149</v>
      </c>
      <c r="T71" s="28">
        <f ca="1"/>
        <v>24694.19451803606</v>
      </c>
      <c r="U71" s="28">
        <f ca="1"/>
        <v>24698.219084427004</v>
      </c>
      <c r="V71" s="28">
        <f ca="1"/>
        <v>24704.139986069229</v>
      </c>
      <c r="W71" s="28">
        <f ca="1"/>
        <v>24712.607695748691</v>
      </c>
      <c r="X71" s="28">
        <f ca="1"/>
        <v>24720.609590435455</v>
      </c>
      <c r="Y71" s="28">
        <f ca="1"/>
        <v>24727.239588016095</v>
      </c>
      <c r="Z71" s="28">
        <f ca="1"/>
        <v>24731.682623793506</v>
      </c>
      <c r="AA71" s="28">
        <f ca="1"/>
        <v>24734.610880128628</v>
      </c>
      <c r="AB71" s="28">
        <f ca="1"/>
        <v>24734.610880128628</v>
      </c>
      <c r="AC71" s="28">
        <f ca="1"/>
        <v>24734.610880128628</v>
      </c>
      <c r="AD71" s="28">
        <f ca="1"/>
        <v>24734.610880128628</v>
      </c>
      <c r="AE71" s="28">
        <f ca="1"/>
        <v>24734.610880128628</v>
      </c>
      <c r="AF71" s="28">
        <f ca="1"/>
        <v>24734.610880128628</v>
      </c>
      <c r="AG71" s="28">
        <f ca="1"/>
        <v>24734.610880128628</v>
      </c>
      <c r="AH71" s="28">
        <f ca="1"/>
        <v>24734.610880128628</v>
      </c>
      <c r="AI71" s="28">
        <f ca="1"/>
        <v>24734.610880128628</v>
      </c>
      <c r="AJ71" s="28">
        <f ca="1"/>
        <v>24734.610880128628</v>
      </c>
      <c r="AK71" s="29">
        <f ca="1"/>
        <v>24734.610880128628</v>
      </c>
      <c r="AL71" s="3"/>
    </row>
    <row r="72" spans="2:38" hidden="1">
      <c r="B72" s="3"/>
      <c r="C72" s="12"/>
      <c r="D72" s="16"/>
      <c r="E72" s="141">
        <f t="array" aca="1" ref="E72:AK72" ca="1">tlccFubcElec4</f>
        <v>21358.165010569806</v>
      </c>
      <c r="F72" s="28">
        <f ca="1"/>
        <v>21214.685857328899</v>
      </c>
      <c r="G72" s="28">
        <f ca="1"/>
        <v>21070.134040331788</v>
      </c>
      <c r="H72" s="28">
        <f ca="1"/>
        <v>20943.229193070511</v>
      </c>
      <c r="I72" s="28">
        <f ca="1"/>
        <v>20822.909455717185</v>
      </c>
      <c r="J72" s="28">
        <f ca="1"/>
        <v>20718.133262164454</v>
      </c>
      <c r="K72" s="28">
        <f ca="1"/>
        <v>20636.901407409401</v>
      </c>
      <c r="L72" s="28">
        <f ca="1"/>
        <v>20569.554629907063</v>
      </c>
      <c r="M72" s="28">
        <f ca="1"/>
        <v>20501.869627074811</v>
      </c>
      <c r="N72" s="28">
        <f ca="1"/>
        <v>20447.708891239025</v>
      </c>
      <c r="O72" s="28">
        <f ca="1"/>
        <v>20410.393510073918</v>
      </c>
      <c r="P72" s="28">
        <f ca="1"/>
        <v>20383.068608179718</v>
      </c>
      <c r="Q72" s="28">
        <f ca="1"/>
        <v>20360.063871099832</v>
      </c>
      <c r="R72" s="28">
        <f ca="1"/>
        <v>20343.092249218302</v>
      </c>
      <c r="S72" s="28">
        <f ca="1"/>
        <v>20330.154929281052</v>
      </c>
      <c r="T72" s="28">
        <f ca="1"/>
        <v>20328.528252021577</v>
      </c>
      <c r="U72" s="28">
        <f ca="1"/>
        <v>20331.841318642182</v>
      </c>
      <c r="V72" s="28">
        <f ca="1"/>
        <v>20336.715468970244</v>
      </c>
      <c r="W72" s="28">
        <f ca="1"/>
        <v>20343.686179244811</v>
      </c>
      <c r="X72" s="28">
        <f ca="1"/>
        <v>20350.273425574742</v>
      </c>
      <c r="Y72" s="28">
        <f ca="1"/>
        <v>20355.731311355565</v>
      </c>
      <c r="Z72" s="28">
        <f ca="1"/>
        <v>20359.388866505207</v>
      </c>
      <c r="AA72" s="28">
        <f ca="1"/>
        <v>20361.799438819864</v>
      </c>
      <c r="AB72" s="28">
        <f ca="1"/>
        <v>20361.799438819864</v>
      </c>
      <c r="AC72" s="28">
        <f ca="1"/>
        <v>20361.799438819864</v>
      </c>
      <c r="AD72" s="28">
        <f ca="1"/>
        <v>20361.799438819864</v>
      </c>
      <c r="AE72" s="28">
        <f ca="1"/>
        <v>20361.799438819864</v>
      </c>
      <c r="AF72" s="28">
        <f ca="1"/>
        <v>20361.799438819864</v>
      </c>
      <c r="AG72" s="28">
        <f ca="1"/>
        <v>20361.799438819864</v>
      </c>
      <c r="AH72" s="28">
        <f ca="1"/>
        <v>20361.799438819864</v>
      </c>
      <c r="AI72" s="28">
        <f ca="1"/>
        <v>20361.799438819864</v>
      </c>
      <c r="AJ72" s="28">
        <f ca="1"/>
        <v>20361.799438819864</v>
      </c>
      <c r="AK72" s="29">
        <f ca="1"/>
        <v>20361.799438819864</v>
      </c>
      <c r="AL72" s="3"/>
    </row>
    <row r="73" spans="2:38" hidden="1">
      <c r="B73" s="3"/>
      <c r="C73" s="12"/>
      <c r="D73" s="16"/>
      <c r="E73" s="141">
        <f t="array" aca="1" ref="E73:AK73" ca="1">tlccFubcElec5</f>
        <v>11128.809241546547</v>
      </c>
      <c r="F73" s="28">
        <f ca="1"/>
        <v>11054.048505979306</v>
      </c>
      <c r="G73" s="28">
        <f ca="1"/>
        <v>10978.72885206317</v>
      </c>
      <c r="H73" s="28">
        <f ca="1"/>
        <v>10912.604265222521</v>
      </c>
      <c r="I73" s="28">
        <f ca="1"/>
        <v>10849.910892250851</v>
      </c>
      <c r="J73" s="28">
        <f ca="1"/>
        <v>10795.316582743146</v>
      </c>
      <c r="K73" s="28">
        <f ca="1"/>
        <v>10752.990202388906</v>
      </c>
      <c r="L73" s="28">
        <f ca="1"/>
        <v>10717.898730837604</v>
      </c>
      <c r="M73" s="28">
        <f ca="1"/>
        <v>10682.631024802888</v>
      </c>
      <c r="N73" s="28">
        <f ca="1"/>
        <v>10654.410225066584</v>
      </c>
      <c r="O73" s="28">
        <f ca="1"/>
        <v>10634.96680572056</v>
      </c>
      <c r="P73" s="28">
        <f ca="1"/>
        <v>10620.728989851357</v>
      </c>
      <c r="Q73" s="28">
        <f ca="1"/>
        <v>10608.742223643339</v>
      </c>
      <c r="R73" s="28">
        <f ca="1"/>
        <v>10599.899050910772</v>
      </c>
      <c r="S73" s="28">
        <f ca="1"/>
        <v>10593.157977152458</v>
      </c>
      <c r="T73" s="28">
        <f ca="1"/>
        <v>10592.310386504603</v>
      </c>
      <c r="U73" s="28">
        <f ca="1"/>
        <v>10594.03668117491</v>
      </c>
      <c r="V73" s="28">
        <f ca="1"/>
        <v>10596.576388550931</v>
      </c>
      <c r="W73" s="28">
        <f ca="1"/>
        <v>10600.208521970882</v>
      </c>
      <c r="X73" s="28">
        <f ca="1"/>
        <v>10603.640849036274</v>
      </c>
      <c r="Y73" s="28">
        <f ca="1"/>
        <v>10606.484715524191</v>
      </c>
      <c r="Z73" s="28">
        <f ca="1"/>
        <v>10608.390508158094</v>
      </c>
      <c r="AA73" s="28">
        <f ca="1"/>
        <v>10609.646552365984</v>
      </c>
      <c r="AB73" s="28">
        <f ca="1"/>
        <v>10609.646552365984</v>
      </c>
      <c r="AC73" s="28">
        <f ca="1"/>
        <v>10609.646552365984</v>
      </c>
      <c r="AD73" s="28">
        <f ca="1"/>
        <v>10609.646552365984</v>
      </c>
      <c r="AE73" s="28">
        <f ca="1"/>
        <v>10609.646552365984</v>
      </c>
      <c r="AF73" s="28">
        <f ca="1"/>
        <v>10609.646552365984</v>
      </c>
      <c r="AG73" s="28">
        <f ca="1"/>
        <v>10609.646552365984</v>
      </c>
      <c r="AH73" s="28">
        <f ca="1"/>
        <v>10609.646552365984</v>
      </c>
      <c r="AI73" s="28">
        <f ca="1"/>
        <v>10609.646552365984</v>
      </c>
      <c r="AJ73" s="28">
        <f ca="1"/>
        <v>10609.646552365984</v>
      </c>
      <c r="AK73" s="29">
        <f ca="1"/>
        <v>10609.646552365984</v>
      </c>
      <c r="AL73" s="3"/>
    </row>
    <row r="74" spans="2:38" hidden="1">
      <c r="B74" s="3"/>
      <c r="C74" s="4"/>
      <c r="D74" s="5"/>
      <c r="E74" s="147">
        <f t="array" aca="1" ref="E74:AK74" ca="1">tlccFubcElec6</f>
        <v>5615.6211473360554</v>
      </c>
      <c r="F74" s="35">
        <f ca="1"/>
        <v>5577.8967189152254</v>
      </c>
      <c r="G74" s="35">
        <f ca="1"/>
        <v>5539.8902590899952</v>
      </c>
      <c r="H74" s="35">
        <f ca="1"/>
        <v>5506.5236499441626</v>
      </c>
      <c r="I74" s="35">
        <f ca="1"/>
        <v>5474.888438717503</v>
      </c>
      <c r="J74" s="35">
        <f ca="1"/>
        <v>5447.3400323838623</v>
      </c>
      <c r="K74" s="35">
        <f ca="1"/>
        <v>5425.9820495621161</v>
      </c>
      <c r="L74" s="35">
        <f ca="1"/>
        <v>5408.2748173275149</v>
      </c>
      <c r="M74" s="35">
        <f ca="1"/>
        <v>5390.4786567924593</v>
      </c>
      <c r="N74" s="35">
        <f ca="1"/>
        <v>5376.2383803752573</v>
      </c>
      <c r="O74" s="35">
        <f ca="1"/>
        <v>5366.4271890351783</v>
      </c>
      <c r="P74" s="35">
        <f ca="1"/>
        <v>5359.2427564376203</v>
      </c>
      <c r="Q74" s="35">
        <f ca="1"/>
        <v>5353.19420835445</v>
      </c>
      <c r="R74" s="35">
        <f ca="1"/>
        <v>5348.7319243195006</v>
      </c>
      <c r="S74" s="35">
        <f ca="1"/>
        <v>5345.3303639610376</v>
      </c>
      <c r="T74" s="35">
        <f ca="1"/>
        <v>5344.9026678919372</v>
      </c>
      <c r="U74" s="35">
        <f ca="1"/>
        <v>5345.7737599060683</v>
      </c>
      <c r="V74" s="35">
        <f ca="1"/>
        <v>5347.0553017259781</v>
      </c>
      <c r="W74" s="35">
        <f ca="1"/>
        <v>5348.8880840839383</v>
      </c>
      <c r="X74" s="35">
        <f ca="1"/>
        <v>5350.6200437244215</v>
      </c>
      <c r="Y74" s="35">
        <f ca="1"/>
        <v>5352.0550648882427</v>
      </c>
      <c r="Z74" s="35">
        <f ca="1"/>
        <v>5353.0167319619695</v>
      </c>
      <c r="AA74" s="35">
        <f ca="1"/>
        <v>5353.6505345784708</v>
      </c>
      <c r="AB74" s="35">
        <f ca="1"/>
        <v>5353.6505345784708</v>
      </c>
      <c r="AC74" s="35">
        <f ca="1"/>
        <v>5353.6505345784708</v>
      </c>
      <c r="AD74" s="35">
        <f ca="1"/>
        <v>5353.6505345784708</v>
      </c>
      <c r="AE74" s="35">
        <f ca="1"/>
        <v>5353.6505345784708</v>
      </c>
      <c r="AF74" s="35">
        <f ca="1"/>
        <v>5353.6505345784708</v>
      </c>
      <c r="AG74" s="35">
        <f ca="1"/>
        <v>5353.6505345784708</v>
      </c>
      <c r="AH74" s="35">
        <f ca="1"/>
        <v>5353.6505345784708</v>
      </c>
      <c r="AI74" s="35">
        <f ca="1"/>
        <v>5353.6505345784708</v>
      </c>
      <c r="AJ74" s="35">
        <f ca="1"/>
        <v>5353.6505345784708</v>
      </c>
      <c r="AK74" s="36">
        <f ca="1"/>
        <v>5353.6505345784708</v>
      </c>
      <c r="AL74" s="3"/>
    </row>
    <row r="75" spans="2:38" hidden="1">
      <c r="B75" s="3"/>
      <c r="C75" s="3"/>
      <c r="D75" s="3"/>
      <c r="E75" s="118"/>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row>
    <row r="76" spans="2:38" hidden="1">
      <c r="B76" s="3"/>
      <c r="C76" s="8" t="s">
        <v>51</v>
      </c>
      <c r="D76" s="9"/>
      <c r="E76" s="139">
        <f t="array" ref="E76:AK76">_yS</f>
        <v>2018</v>
      </c>
      <c r="F76" s="10">
        <v>2019</v>
      </c>
      <c r="G76" s="10">
        <v>2020</v>
      </c>
      <c r="H76" s="10">
        <v>2021</v>
      </c>
      <c r="I76" s="10">
        <v>2022</v>
      </c>
      <c r="J76" s="10">
        <v>2023</v>
      </c>
      <c r="K76" s="10">
        <v>2024</v>
      </c>
      <c r="L76" s="10">
        <v>2025</v>
      </c>
      <c r="M76" s="10">
        <v>2026</v>
      </c>
      <c r="N76" s="10">
        <v>2027</v>
      </c>
      <c r="O76" s="10">
        <v>2028</v>
      </c>
      <c r="P76" s="10">
        <v>2029</v>
      </c>
      <c r="Q76" s="10">
        <v>2030</v>
      </c>
      <c r="R76" s="10">
        <v>2031</v>
      </c>
      <c r="S76" s="10">
        <v>2032</v>
      </c>
      <c r="T76" s="10">
        <v>2033</v>
      </c>
      <c r="U76" s="10">
        <v>2034</v>
      </c>
      <c r="V76" s="10">
        <v>2035</v>
      </c>
      <c r="W76" s="10">
        <v>2036</v>
      </c>
      <c r="X76" s="10">
        <v>2037</v>
      </c>
      <c r="Y76" s="10">
        <v>2038</v>
      </c>
      <c r="Z76" s="10">
        <v>2039</v>
      </c>
      <c r="AA76" s="10">
        <v>2040</v>
      </c>
      <c r="AB76" s="10">
        <v>2041</v>
      </c>
      <c r="AC76" s="10">
        <v>2042</v>
      </c>
      <c r="AD76" s="10">
        <v>2043</v>
      </c>
      <c r="AE76" s="10">
        <v>2044</v>
      </c>
      <c r="AF76" s="10">
        <v>2045</v>
      </c>
      <c r="AG76" s="10">
        <v>2046</v>
      </c>
      <c r="AH76" s="10">
        <v>2047</v>
      </c>
      <c r="AI76" s="10">
        <v>2048</v>
      </c>
      <c r="AJ76" s="10">
        <v>2049</v>
      </c>
      <c r="AK76" s="11">
        <v>2050</v>
      </c>
      <c r="AL76" s="3"/>
    </row>
    <row r="77" spans="2:38" hidden="1">
      <c r="B77" s="3"/>
      <c r="C77" s="12"/>
      <c r="D77" s="16"/>
      <c r="E77" s="141">
        <f t="array" aca="1" ref="E77:AK77" ca="1">tlccQupol0</f>
        <v>0</v>
      </c>
      <c r="F77" s="28">
        <f ca="1"/>
        <v>0</v>
      </c>
      <c r="G77" s="28">
        <f ca="1"/>
        <v>0</v>
      </c>
      <c r="H77" s="28">
        <f ca="1"/>
        <v>0</v>
      </c>
      <c r="I77" s="28">
        <f ca="1"/>
        <v>0</v>
      </c>
      <c r="J77" s="28">
        <f ca="1"/>
        <v>0</v>
      </c>
      <c r="K77" s="28">
        <f ca="1"/>
        <v>0</v>
      </c>
      <c r="L77" s="28">
        <f ca="1"/>
        <v>0</v>
      </c>
      <c r="M77" s="28">
        <f ca="1"/>
        <v>0</v>
      </c>
      <c r="N77" s="28">
        <f ca="1"/>
        <v>0</v>
      </c>
      <c r="O77" s="28">
        <f ca="1"/>
        <v>0</v>
      </c>
      <c r="P77" s="28">
        <f ca="1"/>
        <v>0</v>
      </c>
      <c r="Q77" s="28">
        <f ca="1"/>
        <v>0</v>
      </c>
      <c r="R77" s="28">
        <f ca="1"/>
        <v>0</v>
      </c>
      <c r="S77" s="28">
        <f ca="1"/>
        <v>0</v>
      </c>
      <c r="T77" s="28">
        <f ca="1"/>
        <v>0</v>
      </c>
      <c r="U77" s="28">
        <f ca="1"/>
        <v>0</v>
      </c>
      <c r="V77" s="28">
        <f ca="1"/>
        <v>0</v>
      </c>
      <c r="W77" s="28">
        <f ca="1"/>
        <v>0</v>
      </c>
      <c r="X77" s="28">
        <f ca="1"/>
        <v>0</v>
      </c>
      <c r="Y77" s="28">
        <f ca="1"/>
        <v>0</v>
      </c>
      <c r="Z77" s="28">
        <f ca="1"/>
        <v>0</v>
      </c>
      <c r="AA77" s="28">
        <f ca="1"/>
        <v>0</v>
      </c>
      <c r="AB77" s="28">
        <f ca="1"/>
        <v>0</v>
      </c>
      <c r="AC77" s="28">
        <f ca="1"/>
        <v>0</v>
      </c>
      <c r="AD77" s="28">
        <f ca="1"/>
        <v>0</v>
      </c>
      <c r="AE77" s="28">
        <f ca="1"/>
        <v>0</v>
      </c>
      <c r="AF77" s="28">
        <f ca="1"/>
        <v>0</v>
      </c>
      <c r="AG77" s="28">
        <f ca="1"/>
        <v>0</v>
      </c>
      <c r="AH77" s="28">
        <f ca="1"/>
        <v>0</v>
      </c>
      <c r="AI77" s="28">
        <f ca="1"/>
        <v>0</v>
      </c>
      <c r="AJ77" s="28">
        <f ca="1"/>
        <v>0</v>
      </c>
      <c r="AK77" s="29">
        <f ca="1"/>
        <v>0</v>
      </c>
      <c r="AL77" s="3"/>
    </row>
    <row r="78" spans="2:38" hidden="1">
      <c r="B78" s="3"/>
      <c r="C78" s="12"/>
      <c r="D78" s="16"/>
      <c r="E78" s="141">
        <f t="array" aca="1" ref="E78:AK78" ca="1">tlccQupol1</f>
        <v>1430.6080039999997</v>
      </c>
      <c r="F78" s="28">
        <f ca="1"/>
        <v>1430.6080039999997</v>
      </c>
      <c r="G78" s="28">
        <f ca="1"/>
        <v>1430.6080039999997</v>
      </c>
      <c r="H78" s="28">
        <f ca="1"/>
        <v>1430.6080039999997</v>
      </c>
      <c r="I78" s="28">
        <f ca="1"/>
        <v>1430.6080039999997</v>
      </c>
      <c r="J78" s="28">
        <f ca="1"/>
        <v>1430.6080039999997</v>
      </c>
      <c r="K78" s="28">
        <f ca="1"/>
        <v>1430.6080039999997</v>
      </c>
      <c r="L78" s="28">
        <f ca="1"/>
        <v>1430.6080039999997</v>
      </c>
      <c r="M78" s="28">
        <f ca="1"/>
        <v>1430.6080039999997</v>
      </c>
      <c r="N78" s="28">
        <f ca="1"/>
        <v>1430.6080039999997</v>
      </c>
      <c r="O78" s="28">
        <f ca="1"/>
        <v>1430.6080039999997</v>
      </c>
      <c r="P78" s="28">
        <f ca="1"/>
        <v>1430.6080039999997</v>
      </c>
      <c r="Q78" s="28">
        <f ca="1"/>
        <v>1430.6080039999997</v>
      </c>
      <c r="R78" s="28">
        <f ca="1"/>
        <v>1430.6080039999997</v>
      </c>
      <c r="S78" s="28">
        <f ca="1"/>
        <v>1430.6080039999997</v>
      </c>
      <c r="T78" s="28">
        <f ca="1"/>
        <v>1430.6080039999997</v>
      </c>
      <c r="U78" s="28">
        <f ca="1"/>
        <v>1430.6080039999997</v>
      </c>
      <c r="V78" s="28">
        <f ca="1"/>
        <v>1430.6080039999997</v>
      </c>
      <c r="W78" s="28">
        <f ca="1"/>
        <v>1430.6080039999997</v>
      </c>
      <c r="X78" s="28">
        <f ca="1"/>
        <v>1430.6080039999997</v>
      </c>
      <c r="Y78" s="28">
        <f ca="1"/>
        <v>1430.6080039999997</v>
      </c>
      <c r="Z78" s="28">
        <f ca="1"/>
        <v>1430.6080039999997</v>
      </c>
      <c r="AA78" s="28">
        <f ca="1"/>
        <v>1430.6080039999997</v>
      </c>
      <c r="AB78" s="28">
        <f ca="1"/>
        <v>1430.6080039999997</v>
      </c>
      <c r="AC78" s="28">
        <f ca="1"/>
        <v>1430.6080039999997</v>
      </c>
      <c r="AD78" s="28">
        <f ca="1"/>
        <v>1430.6080039999997</v>
      </c>
      <c r="AE78" s="28">
        <f ca="1"/>
        <v>1430.6080039999997</v>
      </c>
      <c r="AF78" s="28">
        <f ca="1"/>
        <v>1430.6080039999997</v>
      </c>
      <c r="AG78" s="28">
        <f ca="1"/>
        <v>1430.6080039999997</v>
      </c>
      <c r="AH78" s="28">
        <f ca="1"/>
        <v>1430.6080039999997</v>
      </c>
      <c r="AI78" s="28">
        <f ca="1"/>
        <v>1430.6080039999997</v>
      </c>
      <c r="AJ78" s="28">
        <f ca="1"/>
        <v>1430.6080039999997</v>
      </c>
      <c r="AK78" s="29">
        <f ca="1"/>
        <v>1430.6080039999997</v>
      </c>
      <c r="AL78" s="3"/>
    </row>
    <row r="79" spans="2:38" hidden="1">
      <c r="B79" s="3"/>
      <c r="C79" s="12"/>
      <c r="D79" s="16"/>
      <c r="E79" s="141">
        <f t="array" aca="1" ref="E79:AK79" ca="1">tlccQupol2</f>
        <v>2365.8775770000002</v>
      </c>
      <c r="F79" s="28">
        <f ca="1"/>
        <v>2365.8775770000002</v>
      </c>
      <c r="G79" s="28">
        <f ca="1"/>
        <v>2365.8775770000002</v>
      </c>
      <c r="H79" s="28">
        <f ca="1"/>
        <v>2365.8775770000002</v>
      </c>
      <c r="I79" s="28">
        <f ca="1"/>
        <v>2365.8775770000002</v>
      </c>
      <c r="J79" s="28">
        <f ca="1"/>
        <v>2365.8775770000002</v>
      </c>
      <c r="K79" s="28">
        <f ca="1"/>
        <v>2365.8775770000002</v>
      </c>
      <c r="L79" s="28">
        <f ca="1"/>
        <v>2365.8775770000002</v>
      </c>
      <c r="M79" s="28">
        <f ca="1"/>
        <v>2365.8775770000002</v>
      </c>
      <c r="N79" s="28">
        <f ca="1"/>
        <v>2365.8775770000002</v>
      </c>
      <c r="O79" s="28">
        <f ca="1"/>
        <v>2365.8775770000002</v>
      </c>
      <c r="P79" s="28">
        <f ca="1"/>
        <v>2365.8775770000002</v>
      </c>
      <c r="Q79" s="28">
        <f ca="1"/>
        <v>2365.8775770000002</v>
      </c>
      <c r="R79" s="28">
        <f ca="1"/>
        <v>2365.8775770000002</v>
      </c>
      <c r="S79" s="28">
        <f ca="1"/>
        <v>2365.8775770000002</v>
      </c>
      <c r="T79" s="28">
        <f ca="1"/>
        <v>2365.8775770000002</v>
      </c>
      <c r="U79" s="28">
        <f ca="1"/>
        <v>2365.8775770000002</v>
      </c>
      <c r="V79" s="28">
        <f ca="1"/>
        <v>2365.8775770000002</v>
      </c>
      <c r="W79" s="28">
        <f ca="1"/>
        <v>2365.8775770000002</v>
      </c>
      <c r="X79" s="28">
        <f ca="1"/>
        <v>2365.8775770000002</v>
      </c>
      <c r="Y79" s="28">
        <f ca="1"/>
        <v>2365.8775770000002</v>
      </c>
      <c r="Z79" s="28">
        <f ca="1"/>
        <v>2365.8775770000002</v>
      </c>
      <c r="AA79" s="28">
        <f ca="1"/>
        <v>2365.8775770000002</v>
      </c>
      <c r="AB79" s="28">
        <f ca="1"/>
        <v>2365.8775770000002</v>
      </c>
      <c r="AC79" s="28">
        <f ca="1"/>
        <v>2365.8775770000002</v>
      </c>
      <c r="AD79" s="28">
        <f ca="1"/>
        <v>2365.8775770000002</v>
      </c>
      <c r="AE79" s="28">
        <f ca="1"/>
        <v>2365.8775770000002</v>
      </c>
      <c r="AF79" s="28">
        <f ca="1"/>
        <v>2365.8775770000002</v>
      </c>
      <c r="AG79" s="28">
        <f ca="1"/>
        <v>2365.8775770000002</v>
      </c>
      <c r="AH79" s="28">
        <f ca="1"/>
        <v>2365.8775770000002</v>
      </c>
      <c r="AI79" s="28">
        <f ca="1"/>
        <v>2365.8775770000002</v>
      </c>
      <c r="AJ79" s="28">
        <f ca="1"/>
        <v>2365.8775770000002</v>
      </c>
      <c r="AK79" s="29">
        <f ca="1"/>
        <v>2365.8775770000002</v>
      </c>
      <c r="AL79" s="3"/>
    </row>
    <row r="80" spans="2:38" hidden="1">
      <c r="B80" s="3"/>
      <c r="C80" s="12"/>
      <c r="D80" s="16"/>
      <c r="E80" s="141">
        <f t="array" aca="1" ref="E80:AK80" ca="1">tlccQupol3</f>
        <v>1984.217011</v>
      </c>
      <c r="F80" s="28">
        <f ca="1"/>
        <v>1984.217011</v>
      </c>
      <c r="G80" s="28">
        <f ca="1"/>
        <v>1984.217011</v>
      </c>
      <c r="H80" s="28">
        <f ca="1"/>
        <v>1984.217011</v>
      </c>
      <c r="I80" s="28">
        <f ca="1"/>
        <v>1984.217011</v>
      </c>
      <c r="J80" s="28">
        <f ca="1"/>
        <v>1984.217011</v>
      </c>
      <c r="K80" s="28">
        <f ca="1"/>
        <v>1984.217011</v>
      </c>
      <c r="L80" s="28">
        <f ca="1"/>
        <v>1984.217011</v>
      </c>
      <c r="M80" s="28">
        <f ca="1"/>
        <v>1984.217011</v>
      </c>
      <c r="N80" s="28">
        <f ca="1"/>
        <v>1984.217011</v>
      </c>
      <c r="O80" s="28">
        <f ca="1"/>
        <v>1984.217011</v>
      </c>
      <c r="P80" s="28">
        <f ca="1"/>
        <v>1984.217011</v>
      </c>
      <c r="Q80" s="28">
        <f ca="1"/>
        <v>1984.217011</v>
      </c>
      <c r="R80" s="28">
        <f ca="1"/>
        <v>1984.217011</v>
      </c>
      <c r="S80" s="28">
        <f ca="1"/>
        <v>1984.217011</v>
      </c>
      <c r="T80" s="28">
        <f ca="1"/>
        <v>1984.217011</v>
      </c>
      <c r="U80" s="28">
        <f ca="1"/>
        <v>1984.217011</v>
      </c>
      <c r="V80" s="28">
        <f ca="1"/>
        <v>1984.217011</v>
      </c>
      <c r="W80" s="28">
        <f ca="1"/>
        <v>1984.217011</v>
      </c>
      <c r="X80" s="28">
        <f ca="1"/>
        <v>1984.217011</v>
      </c>
      <c r="Y80" s="28">
        <f ca="1"/>
        <v>1984.217011</v>
      </c>
      <c r="Z80" s="28">
        <f ca="1"/>
        <v>1984.217011</v>
      </c>
      <c r="AA80" s="28">
        <f ca="1"/>
        <v>1984.217011</v>
      </c>
      <c r="AB80" s="28">
        <f ca="1"/>
        <v>1984.217011</v>
      </c>
      <c r="AC80" s="28">
        <f ca="1"/>
        <v>1984.217011</v>
      </c>
      <c r="AD80" s="28">
        <f ca="1"/>
        <v>1984.217011</v>
      </c>
      <c r="AE80" s="28">
        <f ca="1"/>
        <v>1984.217011</v>
      </c>
      <c r="AF80" s="28">
        <f ca="1"/>
        <v>1984.217011</v>
      </c>
      <c r="AG80" s="28">
        <f ca="1"/>
        <v>1984.217011</v>
      </c>
      <c r="AH80" s="28">
        <f ca="1"/>
        <v>1984.217011</v>
      </c>
      <c r="AI80" s="28">
        <f ca="1"/>
        <v>1984.217011</v>
      </c>
      <c r="AJ80" s="28">
        <f ca="1"/>
        <v>1984.217011</v>
      </c>
      <c r="AK80" s="29">
        <f ca="1"/>
        <v>1984.217011</v>
      </c>
      <c r="AL80" s="3"/>
    </row>
    <row r="81" spans="2:38" hidden="1">
      <c r="B81" s="3"/>
      <c r="C81" s="12"/>
      <c r="D81" s="16"/>
      <c r="E81" s="141">
        <f t="array" aca="1" ref="E81:AK81" ca="1">tlccQupol4</f>
        <v>2032.5232620000002</v>
      </c>
      <c r="F81" s="28">
        <f ca="1"/>
        <v>2032.5232620000002</v>
      </c>
      <c r="G81" s="28">
        <f ca="1"/>
        <v>2032.5232620000002</v>
      </c>
      <c r="H81" s="28">
        <f ca="1"/>
        <v>2032.5232620000002</v>
      </c>
      <c r="I81" s="28">
        <f ca="1"/>
        <v>2032.5232620000002</v>
      </c>
      <c r="J81" s="28">
        <f ca="1"/>
        <v>2032.5232620000002</v>
      </c>
      <c r="K81" s="28">
        <f ca="1"/>
        <v>2032.5232620000002</v>
      </c>
      <c r="L81" s="28">
        <f ca="1"/>
        <v>2032.5232620000002</v>
      </c>
      <c r="M81" s="28">
        <f ca="1"/>
        <v>2032.5232620000002</v>
      </c>
      <c r="N81" s="28">
        <f ca="1"/>
        <v>2032.5232620000002</v>
      </c>
      <c r="O81" s="28">
        <f ca="1"/>
        <v>2032.5232620000002</v>
      </c>
      <c r="P81" s="28">
        <f ca="1"/>
        <v>2032.5232620000002</v>
      </c>
      <c r="Q81" s="28">
        <f ca="1"/>
        <v>2032.5232620000002</v>
      </c>
      <c r="R81" s="28">
        <f ca="1"/>
        <v>2032.5232620000002</v>
      </c>
      <c r="S81" s="28">
        <f ca="1"/>
        <v>2032.5232620000002</v>
      </c>
      <c r="T81" s="28">
        <f ca="1"/>
        <v>2032.5232620000002</v>
      </c>
      <c r="U81" s="28">
        <f ca="1"/>
        <v>2032.5232620000002</v>
      </c>
      <c r="V81" s="28">
        <f ca="1"/>
        <v>2032.5232620000002</v>
      </c>
      <c r="W81" s="28">
        <f ca="1"/>
        <v>2032.5232620000002</v>
      </c>
      <c r="X81" s="28">
        <f ca="1"/>
        <v>2032.5232620000002</v>
      </c>
      <c r="Y81" s="28">
        <f ca="1"/>
        <v>2032.5232620000002</v>
      </c>
      <c r="Z81" s="28">
        <f ca="1"/>
        <v>2032.5232620000002</v>
      </c>
      <c r="AA81" s="28">
        <f ca="1"/>
        <v>2032.5232620000002</v>
      </c>
      <c r="AB81" s="28">
        <f ca="1"/>
        <v>2032.5232620000002</v>
      </c>
      <c r="AC81" s="28">
        <f ca="1"/>
        <v>2032.5232620000002</v>
      </c>
      <c r="AD81" s="28">
        <f ca="1"/>
        <v>2032.5232620000002</v>
      </c>
      <c r="AE81" s="28">
        <f ca="1"/>
        <v>2032.5232620000002</v>
      </c>
      <c r="AF81" s="28">
        <f ca="1"/>
        <v>2032.5232620000002</v>
      </c>
      <c r="AG81" s="28">
        <f ca="1"/>
        <v>2032.5232620000002</v>
      </c>
      <c r="AH81" s="28">
        <f ca="1"/>
        <v>2032.5232620000002</v>
      </c>
      <c r="AI81" s="28">
        <f ca="1"/>
        <v>2032.5232620000002</v>
      </c>
      <c r="AJ81" s="28">
        <f ca="1"/>
        <v>2032.5232620000002</v>
      </c>
      <c r="AK81" s="29">
        <f ca="1"/>
        <v>2032.5232620000002</v>
      </c>
      <c r="AL81" s="3"/>
    </row>
    <row r="82" spans="2:38" hidden="1">
      <c r="B82" s="3"/>
      <c r="C82" s="12"/>
      <c r="D82" s="16"/>
      <c r="E82" s="141">
        <f t="array" aca="1" ref="E82:AK82" ca="1">tlccQupol5</f>
        <v>1400.103376</v>
      </c>
      <c r="F82" s="28">
        <f ca="1"/>
        <v>1400.103376</v>
      </c>
      <c r="G82" s="28">
        <f ca="1"/>
        <v>1400.103376</v>
      </c>
      <c r="H82" s="28">
        <f ca="1"/>
        <v>1400.103376</v>
      </c>
      <c r="I82" s="28">
        <f ca="1"/>
        <v>1400.103376</v>
      </c>
      <c r="J82" s="28">
        <f ca="1"/>
        <v>1400.103376</v>
      </c>
      <c r="K82" s="28">
        <f ca="1"/>
        <v>1400.103376</v>
      </c>
      <c r="L82" s="28">
        <f ca="1"/>
        <v>1400.103376</v>
      </c>
      <c r="M82" s="28">
        <f ca="1"/>
        <v>1400.103376</v>
      </c>
      <c r="N82" s="28">
        <f ca="1"/>
        <v>1400.103376</v>
      </c>
      <c r="O82" s="28">
        <f ca="1"/>
        <v>1400.103376</v>
      </c>
      <c r="P82" s="28">
        <f ca="1"/>
        <v>1400.103376</v>
      </c>
      <c r="Q82" s="28">
        <f ca="1"/>
        <v>1400.103376</v>
      </c>
      <c r="R82" s="28">
        <f ca="1"/>
        <v>1400.103376</v>
      </c>
      <c r="S82" s="28">
        <f ca="1"/>
        <v>1400.103376</v>
      </c>
      <c r="T82" s="28">
        <f ca="1"/>
        <v>1400.103376</v>
      </c>
      <c r="U82" s="28">
        <f ca="1"/>
        <v>1400.103376</v>
      </c>
      <c r="V82" s="28">
        <f ca="1"/>
        <v>1400.103376</v>
      </c>
      <c r="W82" s="28">
        <f ca="1"/>
        <v>1400.103376</v>
      </c>
      <c r="X82" s="28">
        <f ca="1"/>
        <v>1400.103376</v>
      </c>
      <c r="Y82" s="28">
        <f ca="1"/>
        <v>1400.103376</v>
      </c>
      <c r="Z82" s="28">
        <f ca="1"/>
        <v>1400.103376</v>
      </c>
      <c r="AA82" s="28">
        <f ca="1"/>
        <v>1400.103376</v>
      </c>
      <c r="AB82" s="28">
        <f ca="1"/>
        <v>1400.103376</v>
      </c>
      <c r="AC82" s="28">
        <f ca="1"/>
        <v>1400.103376</v>
      </c>
      <c r="AD82" s="28">
        <f ca="1"/>
        <v>1400.103376</v>
      </c>
      <c r="AE82" s="28">
        <f ca="1"/>
        <v>1400.103376</v>
      </c>
      <c r="AF82" s="28">
        <f ca="1"/>
        <v>1400.103376</v>
      </c>
      <c r="AG82" s="28">
        <f ca="1"/>
        <v>1400.103376</v>
      </c>
      <c r="AH82" s="28">
        <f ca="1"/>
        <v>1400.103376</v>
      </c>
      <c r="AI82" s="28">
        <f ca="1"/>
        <v>1400.103376</v>
      </c>
      <c r="AJ82" s="28">
        <f ca="1"/>
        <v>1400.103376</v>
      </c>
      <c r="AK82" s="29">
        <f ca="1"/>
        <v>1400.103376</v>
      </c>
      <c r="AL82" s="3"/>
    </row>
    <row r="83" spans="2:38" hidden="1">
      <c r="B83" s="3"/>
      <c r="C83" s="4"/>
      <c r="D83" s="5"/>
      <c r="E83" s="147">
        <f t="array" aca="1" ref="E83:AK83" ca="1">tlccQupol6</f>
        <v>1148.1543220000001</v>
      </c>
      <c r="F83" s="35">
        <f ca="1"/>
        <v>1148.1543220000001</v>
      </c>
      <c r="G83" s="35">
        <f ca="1"/>
        <v>1148.1543220000001</v>
      </c>
      <c r="H83" s="35">
        <f ca="1"/>
        <v>1148.1543220000001</v>
      </c>
      <c r="I83" s="35">
        <f ca="1"/>
        <v>1148.1543220000001</v>
      </c>
      <c r="J83" s="35">
        <f ca="1"/>
        <v>1148.1543220000001</v>
      </c>
      <c r="K83" s="35">
        <f ca="1"/>
        <v>1148.1543220000001</v>
      </c>
      <c r="L83" s="35">
        <f ca="1"/>
        <v>1148.1543220000001</v>
      </c>
      <c r="M83" s="35">
        <f ca="1"/>
        <v>1148.1543220000001</v>
      </c>
      <c r="N83" s="35">
        <f ca="1"/>
        <v>1148.1543220000001</v>
      </c>
      <c r="O83" s="35">
        <f ca="1"/>
        <v>1148.1543220000001</v>
      </c>
      <c r="P83" s="35">
        <f ca="1"/>
        <v>1148.1543220000001</v>
      </c>
      <c r="Q83" s="35">
        <f ca="1"/>
        <v>1148.1543220000001</v>
      </c>
      <c r="R83" s="35">
        <f ca="1"/>
        <v>1148.1543220000001</v>
      </c>
      <c r="S83" s="35">
        <f ca="1"/>
        <v>1148.1543220000001</v>
      </c>
      <c r="T83" s="35">
        <f ca="1"/>
        <v>1148.1543220000001</v>
      </c>
      <c r="U83" s="35">
        <f ca="1"/>
        <v>1148.1543220000001</v>
      </c>
      <c r="V83" s="35">
        <f ca="1"/>
        <v>1148.1543220000001</v>
      </c>
      <c r="W83" s="35">
        <f ca="1"/>
        <v>1148.1543220000001</v>
      </c>
      <c r="X83" s="35">
        <f ca="1"/>
        <v>1148.1543220000001</v>
      </c>
      <c r="Y83" s="35">
        <f ca="1"/>
        <v>1148.1543220000001</v>
      </c>
      <c r="Z83" s="35">
        <f ca="1"/>
        <v>1148.1543220000001</v>
      </c>
      <c r="AA83" s="35">
        <f ca="1"/>
        <v>1148.1543220000001</v>
      </c>
      <c r="AB83" s="35">
        <f ca="1"/>
        <v>1148.1543220000001</v>
      </c>
      <c r="AC83" s="35">
        <f ca="1"/>
        <v>1148.1543220000001</v>
      </c>
      <c r="AD83" s="35">
        <f ca="1"/>
        <v>1148.1543220000001</v>
      </c>
      <c r="AE83" s="35">
        <f ca="1"/>
        <v>1148.1543220000001</v>
      </c>
      <c r="AF83" s="35">
        <f ca="1"/>
        <v>1148.1543220000001</v>
      </c>
      <c r="AG83" s="35">
        <f ca="1"/>
        <v>1148.1543220000001</v>
      </c>
      <c r="AH83" s="35">
        <f ca="1"/>
        <v>1148.1543220000001</v>
      </c>
      <c r="AI83" s="35">
        <f ca="1"/>
        <v>1148.1543220000001</v>
      </c>
      <c r="AJ83" s="35">
        <f ca="1"/>
        <v>1148.1543220000001</v>
      </c>
      <c r="AK83" s="36">
        <f ca="1"/>
        <v>1148.1543220000001</v>
      </c>
      <c r="AL83" s="3"/>
    </row>
    <row r="84" spans="2:38" hidden="1">
      <c r="B84" s="3"/>
      <c r="C84" s="3"/>
      <c r="D84" s="3"/>
      <c r="E84" s="118"/>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row>
    <row r="85" spans="2:38" hidden="1">
      <c r="B85" s="3"/>
      <c r="C85" s="8" t="s">
        <v>50</v>
      </c>
      <c r="D85" s="9"/>
      <c r="E85" s="139">
        <f t="array" ref="E85:AK85">_yS</f>
        <v>2018</v>
      </c>
      <c r="F85" s="10">
        <v>2019</v>
      </c>
      <c r="G85" s="10">
        <v>2020</v>
      </c>
      <c r="H85" s="10">
        <v>2021</v>
      </c>
      <c r="I85" s="10">
        <v>2022</v>
      </c>
      <c r="J85" s="10">
        <v>2023</v>
      </c>
      <c r="K85" s="10">
        <v>2024</v>
      </c>
      <c r="L85" s="10">
        <v>2025</v>
      </c>
      <c r="M85" s="10">
        <v>2026</v>
      </c>
      <c r="N85" s="10">
        <v>2027</v>
      </c>
      <c r="O85" s="10">
        <v>2028</v>
      </c>
      <c r="P85" s="10">
        <v>2029</v>
      </c>
      <c r="Q85" s="10">
        <v>2030</v>
      </c>
      <c r="R85" s="10">
        <v>2031</v>
      </c>
      <c r="S85" s="10">
        <v>2032</v>
      </c>
      <c r="T85" s="10">
        <v>2033</v>
      </c>
      <c r="U85" s="10">
        <v>2034</v>
      </c>
      <c r="V85" s="10">
        <v>2035</v>
      </c>
      <c r="W85" s="10">
        <v>2036</v>
      </c>
      <c r="X85" s="10">
        <v>2037</v>
      </c>
      <c r="Y85" s="10">
        <v>2038</v>
      </c>
      <c r="Z85" s="10">
        <v>2039</v>
      </c>
      <c r="AA85" s="10">
        <v>2040</v>
      </c>
      <c r="AB85" s="10">
        <v>2041</v>
      </c>
      <c r="AC85" s="10">
        <v>2042</v>
      </c>
      <c r="AD85" s="10">
        <v>2043</v>
      </c>
      <c r="AE85" s="10">
        <v>2044</v>
      </c>
      <c r="AF85" s="10">
        <v>2045</v>
      </c>
      <c r="AG85" s="10">
        <v>2046</v>
      </c>
      <c r="AH85" s="10">
        <v>2047</v>
      </c>
      <c r="AI85" s="10">
        <v>2048</v>
      </c>
      <c r="AJ85" s="10">
        <v>2049</v>
      </c>
      <c r="AK85" s="11">
        <v>2050</v>
      </c>
      <c r="AL85" s="3"/>
    </row>
    <row r="86" spans="2:38" hidden="1">
      <c r="B86" s="3"/>
      <c r="C86" s="12"/>
      <c r="D86" s="16"/>
      <c r="E86" s="141">
        <f t="array" aca="1" ref="E86:AK86" ca="1">tlccEupol0</f>
        <v>0</v>
      </c>
      <c r="F86" s="28">
        <f ca="1"/>
        <v>0</v>
      </c>
      <c r="G86" s="28">
        <f ca="1"/>
        <v>0</v>
      </c>
      <c r="H86" s="28">
        <f ca="1"/>
        <v>0</v>
      </c>
      <c r="I86" s="28">
        <f ca="1"/>
        <v>0</v>
      </c>
      <c r="J86" s="28">
        <f ca="1"/>
        <v>0</v>
      </c>
      <c r="K86" s="28">
        <f ca="1"/>
        <v>0</v>
      </c>
      <c r="L86" s="28">
        <f ca="1"/>
        <v>0</v>
      </c>
      <c r="M86" s="28">
        <f ca="1"/>
        <v>0</v>
      </c>
      <c r="N86" s="28">
        <f ca="1"/>
        <v>0</v>
      </c>
      <c r="O86" s="28">
        <f ca="1"/>
        <v>0</v>
      </c>
      <c r="P86" s="28">
        <f ca="1"/>
        <v>0</v>
      </c>
      <c r="Q86" s="28">
        <f ca="1"/>
        <v>0</v>
      </c>
      <c r="R86" s="28">
        <f ca="1"/>
        <v>0</v>
      </c>
      <c r="S86" s="28">
        <f ca="1"/>
        <v>0</v>
      </c>
      <c r="T86" s="28">
        <f ca="1"/>
        <v>0</v>
      </c>
      <c r="U86" s="28">
        <f ca="1"/>
        <v>0</v>
      </c>
      <c r="V86" s="28">
        <f ca="1"/>
        <v>0</v>
      </c>
      <c r="W86" s="28">
        <f ca="1"/>
        <v>0</v>
      </c>
      <c r="X86" s="28">
        <f ca="1"/>
        <v>0</v>
      </c>
      <c r="Y86" s="28">
        <f ca="1"/>
        <v>0</v>
      </c>
      <c r="Z86" s="28">
        <f ca="1"/>
        <v>0</v>
      </c>
      <c r="AA86" s="28">
        <f ca="1"/>
        <v>0</v>
      </c>
      <c r="AB86" s="28">
        <f ca="1"/>
        <v>0</v>
      </c>
      <c r="AC86" s="28">
        <f ca="1"/>
        <v>0</v>
      </c>
      <c r="AD86" s="28">
        <f ca="1"/>
        <v>0</v>
      </c>
      <c r="AE86" s="28">
        <f ca="1"/>
        <v>0</v>
      </c>
      <c r="AF86" s="28">
        <f ca="1"/>
        <v>0</v>
      </c>
      <c r="AG86" s="28">
        <f ca="1"/>
        <v>0</v>
      </c>
      <c r="AH86" s="28">
        <f ca="1"/>
        <v>0</v>
      </c>
      <c r="AI86" s="28">
        <f ca="1"/>
        <v>0</v>
      </c>
      <c r="AJ86" s="28">
        <f ca="1"/>
        <v>0</v>
      </c>
      <c r="AK86" s="29">
        <f ca="1"/>
        <v>0</v>
      </c>
      <c r="AL86" s="3"/>
    </row>
    <row r="87" spans="2:38" hidden="1">
      <c r="B87" s="3"/>
      <c r="C87" s="12"/>
      <c r="D87" s="16"/>
      <c r="E87" s="141">
        <f t="array" aca="1" ref="E87:AK87" ca="1">tlccEupol1</f>
        <v>57516.856373725779</v>
      </c>
      <c r="F87" s="28">
        <f ca="1"/>
        <v>57769.486560883139</v>
      </c>
      <c r="G87" s="28">
        <f ca="1"/>
        <v>57993.655146430523</v>
      </c>
      <c r="H87" s="28">
        <f ca="1"/>
        <v>58237.538548541757</v>
      </c>
      <c r="I87" s="28">
        <f ca="1"/>
        <v>58452.596113488857</v>
      </c>
      <c r="J87" s="28">
        <f ca="1"/>
        <v>58686.708342519152</v>
      </c>
      <c r="K87" s="28">
        <f ca="1"/>
        <v>58891.389957755644</v>
      </c>
      <c r="L87" s="28">
        <f ca="1"/>
        <v>59114.432732144829</v>
      </c>
      <c r="M87" s="28">
        <f ca="1"/>
        <v>59357.187177590815</v>
      </c>
      <c r="N87" s="28">
        <f ca="1"/>
        <v>59571.057391764822</v>
      </c>
      <c r="O87" s="28">
        <f ca="1"/>
        <v>59803.96244906394</v>
      </c>
      <c r="P87" s="28">
        <f ca="1"/>
        <v>60057.517729344341</v>
      </c>
      <c r="Q87" s="28">
        <f ca="1"/>
        <v>60282.859647318481</v>
      </c>
      <c r="R87" s="28">
        <f ca="1"/>
        <v>60528.228328838508</v>
      </c>
      <c r="S87" s="28">
        <f ca="1"/>
        <v>60744.949243355913</v>
      </c>
      <c r="T87" s="28">
        <f ca="1"/>
        <v>60981.036963205683</v>
      </c>
      <c r="U87" s="28">
        <f ca="1"/>
        <v>61238.080414490658</v>
      </c>
      <c r="V87" s="28">
        <f ca="1"/>
        <v>61467.246467843317</v>
      </c>
      <c r="W87" s="28">
        <f ca="1"/>
        <v>61716.816973476991</v>
      </c>
      <c r="X87" s="28">
        <f ca="1"/>
        <v>61938.070739533883</v>
      </c>
      <c r="Y87" s="28">
        <f ca="1"/>
        <v>62179.168259420228</v>
      </c>
      <c r="Z87" s="28">
        <f ca="1"/>
        <v>62441.739456758361</v>
      </c>
      <c r="AA87" s="28">
        <f ca="1"/>
        <v>62676.865965212717</v>
      </c>
      <c r="AB87" s="28">
        <f ca="1"/>
        <v>62932.957031259903</v>
      </c>
      <c r="AC87" s="28">
        <f ca="1"/>
        <v>63161.213231977759</v>
      </c>
      <c r="AD87" s="28">
        <f ca="1"/>
        <v>63409.883492829882</v>
      </c>
      <c r="AE87" s="28">
        <f ca="1"/>
        <v>63680.370053541053</v>
      </c>
      <c r="AF87" s="28">
        <f ca="1"/>
        <v>63924.136353378875</v>
      </c>
      <c r="AG87" s="28">
        <f ca="1"/>
        <v>64189.710070998844</v>
      </c>
      <c r="AH87" s="28">
        <f ca="1"/>
        <v>64428.202280683428</v>
      </c>
      <c r="AI87" s="28">
        <f ca="1"/>
        <v>64688.038244663199</v>
      </c>
      <c r="AJ87" s="28">
        <f ca="1"/>
        <v>64920.424966492181</v>
      </c>
      <c r="AK87" s="29">
        <f ca="1"/>
        <v>65173.749931028491</v>
      </c>
      <c r="AL87" s="3"/>
    </row>
    <row r="88" spans="2:38" hidden="1">
      <c r="B88" s="3"/>
      <c r="C88" s="12"/>
      <c r="D88" s="16"/>
      <c r="E88" s="141">
        <f t="array" aca="1" ref="E88:AK88" ca="1">tlccEupol2</f>
        <v>106248.66325690194</v>
      </c>
      <c r="F88" s="28">
        <f ca="1"/>
        <v>106715.33722651884</v>
      </c>
      <c r="G88" s="28">
        <f ca="1"/>
        <v>107129.43518075754</v>
      </c>
      <c r="H88" s="28">
        <f ca="1"/>
        <v>107579.9515528015</v>
      </c>
      <c r="I88" s="28">
        <f ca="1"/>
        <v>107977.21907122158</v>
      </c>
      <c r="J88" s="28">
        <f ca="1"/>
        <v>108409.68553331292</v>
      </c>
      <c r="K88" s="28">
        <f ca="1"/>
        <v>108787.78596131326</v>
      </c>
      <c r="L88" s="28">
        <f ca="1"/>
        <v>109199.80424816087</v>
      </c>
      <c r="M88" s="28">
        <f ca="1"/>
        <v>109648.23514224029</v>
      </c>
      <c r="N88" s="28">
        <f ca="1"/>
        <v>110043.30931351984</v>
      </c>
      <c r="O88" s="28">
        <f ca="1"/>
        <v>110473.54581398182</v>
      </c>
      <c r="P88" s="28">
        <f ca="1"/>
        <v>110941.92867232992</v>
      </c>
      <c r="Q88" s="28">
        <f ca="1"/>
        <v>111358.1940781603</v>
      </c>
      <c r="R88" s="28">
        <f ca="1"/>
        <v>111811.45414938559</v>
      </c>
      <c r="S88" s="28">
        <f ca="1"/>
        <v>112211.79430910625</v>
      </c>
      <c r="T88" s="28">
        <f ca="1"/>
        <v>112647.91001894994</v>
      </c>
      <c r="U88" s="28">
        <f ca="1"/>
        <v>113122.73644062558</v>
      </c>
      <c r="V88" s="28">
        <f ca="1"/>
        <v>113546.066023772</v>
      </c>
      <c r="W88" s="28">
        <f ca="1"/>
        <v>114007.08796209964</v>
      </c>
      <c r="X88" s="28">
        <f ca="1"/>
        <v>114415.80148307781</v>
      </c>
      <c r="Y88" s="28">
        <f ca="1"/>
        <v>114861.17160268297</v>
      </c>
      <c r="Z88" s="28">
        <f ca="1"/>
        <v>115346.2092157554</v>
      </c>
      <c r="AA88" s="28">
        <f ca="1"/>
        <v>115780.54931698089</v>
      </c>
      <c r="AB88" s="28">
        <f ca="1"/>
        <v>116253.61643425781</v>
      </c>
      <c r="AC88" s="28">
        <f ca="1"/>
        <v>116675.26528183724</v>
      </c>
      <c r="AD88" s="28">
        <f ca="1"/>
        <v>117134.62423281347</v>
      </c>
      <c r="AE88" s="28">
        <f ca="1"/>
        <v>117634.28359037262</v>
      </c>
      <c r="AF88" s="28">
        <f ca="1"/>
        <v>118084.58364391794</v>
      </c>
      <c r="AG88" s="28">
        <f ca="1"/>
        <v>118575.1676965293</v>
      </c>
      <c r="AH88" s="28">
        <f ca="1"/>
        <v>119015.72512740701</v>
      </c>
      <c r="AI88" s="28">
        <f ca="1"/>
        <v>119495.71004973196</v>
      </c>
      <c r="AJ88" s="28">
        <f ca="1"/>
        <v>119924.9890491361</v>
      </c>
      <c r="AK88" s="29">
        <f ca="1"/>
        <v>120392.9464541218</v>
      </c>
      <c r="AL88" s="3"/>
    </row>
    <row r="89" spans="2:38" hidden="1">
      <c r="B89" s="3"/>
      <c r="C89" s="12"/>
      <c r="D89" s="16"/>
      <c r="E89" s="141">
        <f t="array" aca="1" ref="E89:AK89" ca="1">tlccEupol3</f>
        <v>112952.73371609411</v>
      </c>
      <c r="F89" s="28">
        <f ca="1"/>
        <v>113448.85384604734</v>
      </c>
      <c r="G89" s="28">
        <f ca="1"/>
        <v>113889.08052301186</v>
      </c>
      <c r="H89" s="28">
        <f ca="1"/>
        <v>114368.02354447066</v>
      </c>
      <c r="I89" s="28">
        <f ca="1"/>
        <v>114790.3578199961</v>
      </c>
      <c r="J89" s="28">
        <f ca="1"/>
        <v>115250.1120195914</v>
      </c>
      <c r="K89" s="28">
        <f ca="1"/>
        <v>115652.06980101409</v>
      </c>
      <c r="L89" s="28">
        <f ca="1"/>
        <v>116090.08558788498</v>
      </c>
      <c r="M89" s="28">
        <f ca="1"/>
        <v>116566.81154204172</v>
      </c>
      <c r="N89" s="28">
        <f ca="1"/>
        <v>116986.8140747677</v>
      </c>
      <c r="O89" s="28">
        <f ca="1"/>
        <v>117444.19760677622</v>
      </c>
      <c r="P89" s="28">
        <f ca="1"/>
        <v>117942.134452798</v>
      </c>
      <c r="Q89" s="28">
        <f ca="1"/>
        <v>118384.66534305777</v>
      </c>
      <c r="R89" s="28">
        <f ca="1"/>
        <v>118866.5251854302</v>
      </c>
      <c r="S89" s="28">
        <f ca="1"/>
        <v>119292.12597955453</v>
      </c>
      <c r="T89" s="28">
        <f ca="1"/>
        <v>119755.75968687254</v>
      </c>
      <c r="U89" s="28">
        <f ca="1"/>
        <v>120260.54667171404</v>
      </c>
      <c r="V89" s="28">
        <f ca="1"/>
        <v>120710.58747423839</v>
      </c>
      <c r="W89" s="28">
        <f ca="1"/>
        <v>121200.69894144143</v>
      </c>
      <c r="X89" s="28">
        <f ca="1"/>
        <v>121635.20143856553</v>
      </c>
      <c r="Y89" s="28">
        <f ca="1"/>
        <v>122108.6734897219</v>
      </c>
      <c r="Z89" s="28">
        <f ca="1"/>
        <v>122624.31597097545</v>
      </c>
      <c r="AA89" s="28">
        <f ca="1"/>
        <v>123086.06203245126</v>
      </c>
      <c r="AB89" s="28">
        <f ca="1"/>
        <v>123588.97870443246</v>
      </c>
      <c r="AC89" s="28">
        <f ca="1"/>
        <v>124037.23272045875</v>
      </c>
      <c r="AD89" s="28">
        <f ca="1"/>
        <v>124525.57626925492</v>
      </c>
      <c r="AE89" s="28">
        <f ca="1"/>
        <v>125056.76309676988</v>
      </c>
      <c r="AF89" s="28">
        <f ca="1"/>
        <v>125535.4761504811</v>
      </c>
      <c r="AG89" s="28">
        <f ca="1"/>
        <v>126057.01504011385</v>
      </c>
      <c r="AH89" s="28">
        <f ca="1"/>
        <v>126525.37073185798</v>
      </c>
      <c r="AI89" s="28">
        <f ca="1"/>
        <v>127035.64170804921</v>
      </c>
      <c r="AJ89" s="28">
        <f ca="1"/>
        <v>127492.00732266743</v>
      </c>
      <c r="AK89" s="29">
        <f ca="1"/>
        <v>127989.49187010144</v>
      </c>
      <c r="AL89" s="3"/>
    </row>
    <row r="90" spans="2:38" hidden="1">
      <c r="B90" s="3"/>
      <c r="C90" s="12"/>
      <c r="D90" s="16"/>
      <c r="E90" s="141">
        <f t="array" aca="1" ref="E90:AK90" ca="1">tlccEupol4</f>
        <v>92983.913154714319</v>
      </c>
      <c r="F90" s="28">
        <f ca="1"/>
        <v>93392.324616395534</v>
      </c>
      <c r="G90" s="28">
        <f ca="1"/>
        <v>93754.723982506868</v>
      </c>
      <c r="H90" s="28">
        <f ca="1"/>
        <v>94148.995062526228</v>
      </c>
      <c r="I90" s="28">
        <f ca="1"/>
        <v>94496.665210080362</v>
      </c>
      <c r="J90" s="28">
        <f ca="1"/>
        <v>94875.139844214835</v>
      </c>
      <c r="K90" s="28">
        <f ca="1"/>
        <v>95206.035841239689</v>
      </c>
      <c r="L90" s="28">
        <f ca="1"/>
        <v>95566.615178692213</v>
      </c>
      <c r="M90" s="28">
        <f ca="1"/>
        <v>95959.061144907813</v>
      </c>
      <c r="N90" s="28">
        <f ca="1"/>
        <v>96304.811776547285</v>
      </c>
      <c r="O90" s="28">
        <f ca="1"/>
        <v>96681.334851460837</v>
      </c>
      <c r="P90" s="28">
        <f ca="1"/>
        <v>97091.2418534764</v>
      </c>
      <c r="Q90" s="28">
        <f ca="1"/>
        <v>97455.538072916504</v>
      </c>
      <c r="R90" s="28">
        <f ca="1"/>
        <v>97852.21031148771</v>
      </c>
      <c r="S90" s="28">
        <f ca="1"/>
        <v>98202.569492513794</v>
      </c>
      <c r="T90" s="28">
        <f ca="1"/>
        <v>98584.237779402843</v>
      </c>
      <c r="U90" s="28">
        <f ca="1"/>
        <v>98999.783889850398</v>
      </c>
      <c r="V90" s="28">
        <f ca="1"/>
        <v>99370.26235036453</v>
      </c>
      <c r="W90" s="28">
        <f ca="1"/>
        <v>99773.727415823494</v>
      </c>
      <c r="X90" s="28">
        <f ca="1"/>
        <v>100131.41457512359</v>
      </c>
      <c r="Y90" s="28">
        <f ca="1"/>
        <v>100521.18189316445</v>
      </c>
      <c r="Z90" s="28">
        <f ca="1"/>
        <v>100945.66436577351</v>
      </c>
      <c r="AA90" s="28">
        <f ca="1"/>
        <v>101325.77872217073</v>
      </c>
      <c r="AB90" s="28">
        <f ca="1"/>
        <v>101739.78517082476</v>
      </c>
      <c r="AC90" s="28">
        <f ca="1"/>
        <v>102108.79272935099</v>
      </c>
      <c r="AD90" s="28">
        <f ca="1"/>
        <v>102510.80242523896</v>
      </c>
      <c r="AE90" s="28">
        <f ca="1"/>
        <v>102948.08117196435</v>
      </c>
      <c r="AF90" s="28">
        <f ca="1"/>
        <v>103342.16294004441</v>
      </c>
      <c r="AG90" s="28">
        <f ca="1"/>
        <v>103771.49939986228</v>
      </c>
      <c r="AH90" s="28">
        <f ca="1"/>
        <v>104157.05487544835</v>
      </c>
      <c r="AI90" s="28">
        <f ca="1"/>
        <v>104577.11546694138</v>
      </c>
      <c r="AJ90" s="28">
        <f ca="1"/>
        <v>104952.80058123988</v>
      </c>
      <c r="AK90" s="29">
        <f ca="1"/>
        <v>105362.3352461616</v>
      </c>
      <c r="AL90" s="3"/>
    </row>
    <row r="91" spans="2:38" hidden="1">
      <c r="B91" s="3"/>
      <c r="C91" s="12"/>
      <c r="D91" s="16"/>
      <c r="E91" s="141">
        <f t="array" aca="1" ref="E91:AK91" ca="1">tlccEupol5</f>
        <v>48449.865965509736</v>
      </c>
      <c r="F91" s="28">
        <f ca="1"/>
        <v>48662.671384274028</v>
      </c>
      <c r="G91" s="28">
        <f ca="1"/>
        <v>48851.501904719677</v>
      </c>
      <c r="H91" s="28">
        <f ca="1"/>
        <v>49056.939386676699</v>
      </c>
      <c r="I91" s="28">
        <f ca="1"/>
        <v>49238.095153063725</v>
      </c>
      <c r="J91" s="28">
        <f ca="1"/>
        <v>49435.301795299238</v>
      </c>
      <c r="K91" s="28">
        <f ca="1"/>
        <v>49607.717282671787</v>
      </c>
      <c r="L91" s="28">
        <f ca="1"/>
        <v>49795.599465479449</v>
      </c>
      <c r="M91" s="28">
        <f ca="1"/>
        <v>50000.085960151009</v>
      </c>
      <c r="N91" s="28">
        <f ca="1"/>
        <v>50180.241550425555</v>
      </c>
      <c r="O91" s="28">
        <f ca="1"/>
        <v>50376.43132017777</v>
      </c>
      <c r="P91" s="28">
        <f ca="1"/>
        <v>50590.015999851705</v>
      </c>
      <c r="Q91" s="28">
        <f ca="1"/>
        <v>50779.834887923709</v>
      </c>
      <c r="R91" s="28">
        <f ca="1"/>
        <v>50986.523508986975</v>
      </c>
      <c r="S91" s="28">
        <f ca="1"/>
        <v>51169.080413558811</v>
      </c>
      <c r="T91" s="28">
        <f ca="1"/>
        <v>51367.951129101741</v>
      </c>
      <c r="U91" s="28">
        <f ca="1"/>
        <v>51584.474102491462</v>
      </c>
      <c r="V91" s="28">
        <f ca="1"/>
        <v>51777.514287035563</v>
      </c>
      <c r="W91" s="28">
        <f ca="1"/>
        <v>51987.742354236085</v>
      </c>
      <c r="X91" s="28">
        <f ca="1"/>
        <v>52174.117549016701</v>
      </c>
      <c r="Y91" s="28">
        <f ca="1"/>
        <v>52377.208316829347</v>
      </c>
      <c r="Z91" s="28">
        <f ca="1"/>
        <v>52598.387639196619</v>
      </c>
      <c r="AA91" s="28">
        <f ca="1"/>
        <v>52796.448669262812</v>
      </c>
      <c r="AB91" s="28">
        <f ca="1"/>
        <v>53012.169391972879</v>
      </c>
      <c r="AC91" s="28">
        <f ca="1"/>
        <v>53204.443153576256</v>
      </c>
      <c r="AD91" s="28">
        <f ca="1"/>
        <v>53413.912891101703</v>
      </c>
      <c r="AE91" s="28">
        <f ca="1"/>
        <v>53641.759794395184</v>
      </c>
      <c r="AF91" s="28">
        <f ca="1"/>
        <v>53847.098634148686</v>
      </c>
      <c r="AG91" s="28">
        <f ca="1"/>
        <v>54070.807157768999</v>
      </c>
      <c r="AH91" s="28">
        <f ca="1"/>
        <v>54271.703317982545</v>
      </c>
      <c r="AI91" s="28">
        <f ca="1"/>
        <v>54490.578590755445</v>
      </c>
      <c r="AJ91" s="28">
        <f ca="1"/>
        <v>54686.331735739965</v>
      </c>
      <c r="AK91" s="29">
        <f ca="1"/>
        <v>54899.722406776498</v>
      </c>
      <c r="AL91" s="3"/>
    </row>
    <row r="92" spans="2:38" hidden="1">
      <c r="B92" s="3"/>
      <c r="C92" s="4"/>
      <c r="D92" s="5"/>
      <c r="E92" s="147">
        <f t="array" aca="1" ref="E92:AK92" ca="1">tlccEupol6</f>
        <v>24447.906869118353</v>
      </c>
      <c r="F92" s="35">
        <f ca="1"/>
        <v>24555.288942432995</v>
      </c>
      <c r="G92" s="35">
        <f ca="1"/>
        <v>24650.573230343904</v>
      </c>
      <c r="H92" s="35">
        <f ca="1"/>
        <v>24754.237426853488</v>
      </c>
      <c r="I92" s="35">
        <f ca="1"/>
        <v>24845.649017312517</v>
      </c>
      <c r="J92" s="35">
        <f ca="1"/>
        <v>24945.159914345284</v>
      </c>
      <c r="K92" s="35">
        <f ca="1"/>
        <v>25032.161141161454</v>
      </c>
      <c r="L92" s="35">
        <f ca="1"/>
        <v>25126.96689585473</v>
      </c>
      <c r="M92" s="35">
        <f ca="1"/>
        <v>25230.151222128847</v>
      </c>
      <c r="N92" s="35">
        <f ca="1"/>
        <v>25321.058121564205</v>
      </c>
      <c r="O92" s="35">
        <f ca="1"/>
        <v>25420.055902548589</v>
      </c>
      <c r="P92" s="35">
        <f ca="1"/>
        <v>25527.831192599053</v>
      </c>
      <c r="Q92" s="35">
        <f ca="1"/>
        <v>25623.61421294606</v>
      </c>
      <c r="R92" s="35">
        <f ca="1"/>
        <v>25727.909736947258</v>
      </c>
      <c r="S92" s="35">
        <f ca="1"/>
        <v>25820.028344756487</v>
      </c>
      <c r="T92" s="35">
        <f ca="1"/>
        <v>25920.378936769466</v>
      </c>
      <c r="U92" s="35">
        <f ca="1"/>
        <v>26029.636896166612</v>
      </c>
      <c r="V92" s="35">
        <f ca="1"/>
        <v>26127.045389661551</v>
      </c>
      <c r="W92" s="35">
        <f ca="1"/>
        <v>26233.126925817935</v>
      </c>
      <c r="X92" s="35">
        <f ca="1"/>
        <v>26327.172251102307</v>
      </c>
      <c r="Y92" s="35">
        <f ca="1"/>
        <v>26429.652290592934</v>
      </c>
      <c r="Z92" s="35">
        <f ca="1"/>
        <v>26541.259853727555</v>
      </c>
      <c r="AA92" s="35">
        <f ca="1"/>
        <v>26641.201876702551</v>
      </c>
      <c r="AB92" s="35">
        <f ca="1"/>
        <v>26750.055018676336</v>
      </c>
      <c r="AC92" s="35">
        <f ca="1"/>
        <v>26847.076773502264</v>
      </c>
      <c r="AD92" s="35">
        <f ca="1"/>
        <v>26952.775654868979</v>
      </c>
      <c r="AE92" s="35">
        <f ca="1"/>
        <v>27067.747693720452</v>
      </c>
      <c r="AF92" s="35">
        <f ca="1"/>
        <v>27171.362115161366</v>
      </c>
      <c r="AG92" s="35">
        <f ca="1"/>
        <v>27284.245918703593</v>
      </c>
      <c r="AH92" s="35">
        <f ca="1"/>
        <v>27385.618554466109</v>
      </c>
      <c r="AI92" s="35">
        <f ca="1"/>
        <v>27496.06348920575</v>
      </c>
      <c r="AJ92" s="35">
        <f ca="1"/>
        <v>27594.84094839056</v>
      </c>
      <c r="AK92" s="36">
        <f ca="1"/>
        <v>27702.518341264135</v>
      </c>
      <c r="AL92" s="3"/>
    </row>
    <row r="93" spans="2:38" hidden="1">
      <c r="B93" s="3"/>
      <c r="C93" s="3"/>
      <c r="D93" s="3"/>
      <c r="E93" s="118"/>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2:38" hidden="1">
      <c r="B94" s="3"/>
      <c r="C94" s="8" t="s">
        <v>49</v>
      </c>
      <c r="D94" s="9"/>
      <c r="E94" s="139">
        <f t="array" ref="E94:AK94">_yS</f>
        <v>2018</v>
      </c>
      <c r="F94" s="10">
        <v>2019</v>
      </c>
      <c r="G94" s="10">
        <v>2020</v>
      </c>
      <c r="H94" s="10">
        <v>2021</v>
      </c>
      <c r="I94" s="10">
        <v>2022</v>
      </c>
      <c r="J94" s="10">
        <v>2023</v>
      </c>
      <c r="K94" s="10">
        <v>2024</v>
      </c>
      <c r="L94" s="10">
        <v>2025</v>
      </c>
      <c r="M94" s="10">
        <v>2026</v>
      </c>
      <c r="N94" s="10">
        <v>2027</v>
      </c>
      <c r="O94" s="10">
        <v>2028</v>
      </c>
      <c r="P94" s="10">
        <v>2029</v>
      </c>
      <c r="Q94" s="10">
        <v>2030</v>
      </c>
      <c r="R94" s="10">
        <v>2031</v>
      </c>
      <c r="S94" s="10">
        <v>2032</v>
      </c>
      <c r="T94" s="10">
        <v>2033</v>
      </c>
      <c r="U94" s="10">
        <v>2034</v>
      </c>
      <c r="V94" s="10">
        <v>2035</v>
      </c>
      <c r="W94" s="10">
        <v>2036</v>
      </c>
      <c r="X94" s="10">
        <v>2037</v>
      </c>
      <c r="Y94" s="10">
        <v>2038</v>
      </c>
      <c r="Z94" s="10">
        <v>2039</v>
      </c>
      <c r="AA94" s="10">
        <v>2040</v>
      </c>
      <c r="AB94" s="10">
        <v>2041</v>
      </c>
      <c r="AC94" s="10">
        <v>2042</v>
      </c>
      <c r="AD94" s="10">
        <v>2043</v>
      </c>
      <c r="AE94" s="10">
        <v>2044</v>
      </c>
      <c r="AF94" s="10">
        <v>2045</v>
      </c>
      <c r="AG94" s="10">
        <v>2046</v>
      </c>
      <c r="AH94" s="10">
        <v>2047</v>
      </c>
      <c r="AI94" s="10">
        <v>2048</v>
      </c>
      <c r="AJ94" s="10">
        <v>2049</v>
      </c>
      <c r="AK94" s="11">
        <v>2050</v>
      </c>
      <c r="AL94" s="3"/>
    </row>
    <row r="95" spans="2:38" hidden="1">
      <c r="B95" s="3"/>
      <c r="C95" s="12"/>
      <c r="D95" s="16"/>
      <c r="E95" s="141">
        <f t="array" aca="1" ref="E95:AK95" ca="1">tlccFupolElec0</f>
        <v>0</v>
      </c>
      <c r="F95" s="28">
        <f ca="1"/>
        <v>0</v>
      </c>
      <c r="G95" s="28">
        <f ca="1"/>
        <v>0</v>
      </c>
      <c r="H95" s="28">
        <f ca="1"/>
        <v>0</v>
      </c>
      <c r="I95" s="28">
        <f ca="1"/>
        <v>0</v>
      </c>
      <c r="J95" s="28">
        <f ca="1"/>
        <v>0</v>
      </c>
      <c r="K95" s="28">
        <f ca="1"/>
        <v>0</v>
      </c>
      <c r="L95" s="28">
        <f ca="1"/>
        <v>0</v>
      </c>
      <c r="M95" s="28">
        <f ca="1"/>
        <v>0</v>
      </c>
      <c r="N95" s="28">
        <f ca="1"/>
        <v>0</v>
      </c>
      <c r="O95" s="28">
        <f ca="1"/>
        <v>0</v>
      </c>
      <c r="P95" s="28">
        <f ca="1"/>
        <v>0</v>
      </c>
      <c r="Q95" s="28">
        <f ca="1"/>
        <v>0</v>
      </c>
      <c r="R95" s="28">
        <f ca="1"/>
        <v>0</v>
      </c>
      <c r="S95" s="28">
        <f ca="1"/>
        <v>0</v>
      </c>
      <c r="T95" s="28">
        <f ca="1"/>
        <v>0</v>
      </c>
      <c r="U95" s="28">
        <f ca="1"/>
        <v>0</v>
      </c>
      <c r="V95" s="28">
        <f ca="1"/>
        <v>0</v>
      </c>
      <c r="W95" s="28">
        <f ca="1"/>
        <v>0</v>
      </c>
      <c r="X95" s="28">
        <f ca="1"/>
        <v>0</v>
      </c>
      <c r="Y95" s="28">
        <f ca="1"/>
        <v>0</v>
      </c>
      <c r="Z95" s="28">
        <f ca="1"/>
        <v>0</v>
      </c>
      <c r="AA95" s="28">
        <f ca="1"/>
        <v>0</v>
      </c>
      <c r="AB95" s="28">
        <f ca="1"/>
        <v>0</v>
      </c>
      <c r="AC95" s="28">
        <f ca="1"/>
        <v>0</v>
      </c>
      <c r="AD95" s="28">
        <f ca="1"/>
        <v>0</v>
      </c>
      <c r="AE95" s="28">
        <f ca="1"/>
        <v>0</v>
      </c>
      <c r="AF95" s="28">
        <f ca="1"/>
        <v>0</v>
      </c>
      <c r="AG95" s="28">
        <f ca="1"/>
        <v>0</v>
      </c>
      <c r="AH95" s="28">
        <f ca="1"/>
        <v>0</v>
      </c>
      <c r="AI95" s="28">
        <f ca="1"/>
        <v>0</v>
      </c>
      <c r="AJ95" s="28">
        <f ca="1"/>
        <v>0</v>
      </c>
      <c r="AK95" s="29">
        <f ca="1"/>
        <v>0</v>
      </c>
      <c r="AL95" s="3"/>
    </row>
    <row r="96" spans="2:38" hidden="1">
      <c r="B96" s="3"/>
      <c r="C96" s="12"/>
      <c r="D96" s="16"/>
      <c r="E96" s="141">
        <f t="array" aca="1" ref="E96:AK96" ca="1">tlccFupolElec1</f>
        <v>13211.473551078392</v>
      </c>
      <c r="F96" s="28">
        <f ca="1"/>
        <v>13122.72196416841</v>
      </c>
      <c r="G96" s="28">
        <f ca="1"/>
        <v>13033.306861978093</v>
      </c>
      <c r="H96" s="28">
        <f ca="1"/>
        <v>12954.80760737142</v>
      </c>
      <c r="I96" s="28">
        <f ca="1"/>
        <v>12880.381689839203</v>
      </c>
      <c r="J96" s="28">
        <f ca="1"/>
        <v>12815.570508297174</v>
      </c>
      <c r="K96" s="28">
        <f ca="1"/>
        <v>12765.323097057948</v>
      </c>
      <c r="L96" s="28">
        <f ca="1"/>
        <v>12723.664547773296</v>
      </c>
      <c r="M96" s="28">
        <f ca="1"/>
        <v>12681.796783183949</v>
      </c>
      <c r="N96" s="28">
        <f ca="1"/>
        <v>12648.294694935857</v>
      </c>
      <c r="O96" s="28">
        <f ca="1"/>
        <v>12625.212600988776</v>
      </c>
      <c r="P96" s="28">
        <f ca="1"/>
        <v>12608.310296016303</v>
      </c>
      <c r="Q96" s="28">
        <f ca="1"/>
        <v>12594.080305971278</v>
      </c>
      <c r="R96" s="28">
        <f ca="1"/>
        <v>12583.582206837023</v>
      </c>
      <c r="S96" s="28">
        <f ca="1"/>
        <v>12575.579597058131</v>
      </c>
      <c r="T96" s="28">
        <f ca="1"/>
        <v>12574.573386853319</v>
      </c>
      <c r="U96" s="28">
        <f ca="1"/>
        <v>12576.622743247439</v>
      </c>
      <c r="V96" s="28">
        <f ca="1"/>
        <v>12579.637735785951</v>
      </c>
      <c r="W96" s="28">
        <f ca="1"/>
        <v>12583.949592838233</v>
      </c>
      <c r="X96" s="28">
        <f ca="1"/>
        <v>12588.02425143457</v>
      </c>
      <c r="Y96" s="28">
        <f ca="1"/>
        <v>12591.400323939044</v>
      </c>
      <c r="Z96" s="28">
        <f ca="1"/>
        <v>12593.662769851286</v>
      </c>
      <c r="AA96" s="28">
        <f ca="1"/>
        <v>12595.153872310801</v>
      </c>
      <c r="AB96" s="28">
        <f ca="1"/>
        <v>12595.153872310801</v>
      </c>
      <c r="AC96" s="28">
        <f ca="1"/>
        <v>12595.153872310801</v>
      </c>
      <c r="AD96" s="28">
        <f ca="1"/>
        <v>12595.153872310801</v>
      </c>
      <c r="AE96" s="28">
        <f ca="1"/>
        <v>12595.153872310801</v>
      </c>
      <c r="AF96" s="28">
        <f ca="1"/>
        <v>12595.153872310801</v>
      </c>
      <c r="AG96" s="28">
        <f ca="1"/>
        <v>12595.153872310801</v>
      </c>
      <c r="AH96" s="28">
        <f ca="1"/>
        <v>12595.153872310801</v>
      </c>
      <c r="AI96" s="28">
        <f ca="1"/>
        <v>12595.153872310801</v>
      </c>
      <c r="AJ96" s="28">
        <f ca="1"/>
        <v>12595.153872310801</v>
      </c>
      <c r="AK96" s="29">
        <f ca="1"/>
        <v>12595.153872310801</v>
      </c>
      <c r="AL96" s="3"/>
    </row>
    <row r="97" spans="2:38" hidden="1">
      <c r="B97" s="3"/>
      <c r="C97" s="12"/>
      <c r="D97" s="16"/>
      <c r="E97" s="141">
        <f t="array" aca="1" ref="E97:AK97" ca="1">tlccFupolElec2</f>
        <v>24405.043894179471</v>
      </c>
      <c r="F97" s="28">
        <f ca="1"/>
        <v>24241.096521780615</v>
      </c>
      <c r="G97" s="28">
        <f ca="1"/>
        <v>24075.923463278068</v>
      </c>
      <c r="H97" s="28">
        <f ca="1"/>
        <v>23930.914827645611</v>
      </c>
      <c r="I97" s="28">
        <f ca="1"/>
        <v>23793.430709979566</v>
      </c>
      <c r="J97" s="28">
        <f ca="1"/>
        <v>23673.707522081444</v>
      </c>
      <c r="K97" s="28">
        <f ca="1"/>
        <v>23580.887423542012</v>
      </c>
      <c r="L97" s="28">
        <f ca="1"/>
        <v>23503.933197359056</v>
      </c>
      <c r="M97" s="28">
        <f ca="1"/>
        <v>23426.592495838995</v>
      </c>
      <c r="N97" s="28">
        <f ca="1"/>
        <v>23364.705384527733</v>
      </c>
      <c r="O97" s="28">
        <f ca="1"/>
        <v>23322.066725503802</v>
      </c>
      <c r="P97" s="28">
        <f ca="1"/>
        <v>23290.843751535667</v>
      </c>
      <c r="Q97" s="28">
        <f ca="1"/>
        <v>23264.557241532082</v>
      </c>
      <c r="R97" s="28">
        <f ca="1"/>
        <v>23245.16450920844</v>
      </c>
      <c r="S97" s="28">
        <f ca="1"/>
        <v>23230.381597812011</v>
      </c>
      <c r="T97" s="28">
        <f ca="1"/>
        <v>23228.522864634346</v>
      </c>
      <c r="U97" s="28">
        <f ca="1"/>
        <v>23232.308561404654</v>
      </c>
      <c r="V97" s="28">
        <f ca="1"/>
        <v>23237.878040460761</v>
      </c>
      <c r="W97" s="28">
        <f ca="1"/>
        <v>23245.843167153063</v>
      </c>
      <c r="X97" s="28">
        <f ca="1"/>
        <v>23253.370126315716</v>
      </c>
      <c r="Y97" s="28">
        <f ca="1"/>
        <v>23259.606614421533</v>
      </c>
      <c r="Z97" s="28">
        <f ca="1"/>
        <v>23263.785943213508</v>
      </c>
      <c r="AA97" s="28">
        <f ca="1"/>
        <v>23266.540399091158</v>
      </c>
      <c r="AB97" s="28">
        <f ca="1"/>
        <v>23266.540399091158</v>
      </c>
      <c r="AC97" s="28">
        <f ca="1"/>
        <v>23266.540399091158</v>
      </c>
      <c r="AD97" s="28">
        <f ca="1"/>
        <v>23266.540399091158</v>
      </c>
      <c r="AE97" s="28">
        <f ca="1"/>
        <v>23266.540399091158</v>
      </c>
      <c r="AF97" s="28">
        <f ca="1"/>
        <v>23266.540399091158</v>
      </c>
      <c r="AG97" s="28">
        <f ca="1"/>
        <v>23266.540399091158</v>
      </c>
      <c r="AH97" s="28">
        <f ca="1"/>
        <v>23266.540399091158</v>
      </c>
      <c r="AI97" s="28">
        <f ca="1"/>
        <v>23266.540399091158</v>
      </c>
      <c r="AJ97" s="28">
        <f ca="1"/>
        <v>23266.540399091158</v>
      </c>
      <c r="AK97" s="29">
        <f ca="1"/>
        <v>23266.540399091158</v>
      </c>
      <c r="AL97" s="3"/>
    </row>
    <row r="98" spans="2:38" hidden="1">
      <c r="B98" s="3"/>
      <c r="C98" s="12"/>
      <c r="D98" s="16"/>
      <c r="E98" s="141">
        <f t="array" aca="1" ref="E98:AK98" ca="1">tlccFupolElec3</f>
        <v>25944.951586294639</v>
      </c>
      <c r="F98" s="28">
        <f ca="1"/>
        <v>25770.659474465949</v>
      </c>
      <c r="G98" s="28">
        <f ca="1"/>
        <v>25595.064338280561</v>
      </c>
      <c r="H98" s="28">
        <f ca="1"/>
        <v>25440.905958259125</v>
      </c>
      <c r="I98" s="28">
        <f ca="1"/>
        <v>25294.746877693779</v>
      </c>
      <c r="J98" s="28">
        <f ca="1"/>
        <v>25167.469404756539</v>
      </c>
      <c r="K98" s="28">
        <f ca="1"/>
        <v>25068.792550361901</v>
      </c>
      <c r="L98" s="28">
        <f ca="1"/>
        <v>24986.982671988615</v>
      </c>
      <c r="M98" s="28">
        <f ca="1"/>
        <v>24904.761932485391</v>
      </c>
      <c r="N98" s="28">
        <f ca="1"/>
        <v>24838.969872706741</v>
      </c>
      <c r="O98" s="28">
        <f ca="1"/>
        <v>24793.640802663798</v>
      </c>
      <c r="P98" s="28">
        <f ca="1"/>
        <v>24760.447723745532</v>
      </c>
      <c r="Q98" s="28">
        <f ca="1"/>
        <v>24732.502589437518</v>
      </c>
      <c r="R98" s="28">
        <f ca="1"/>
        <v>24711.886215894232</v>
      </c>
      <c r="S98" s="28">
        <f ca="1"/>
        <v>24696.170533425149</v>
      </c>
      <c r="T98" s="28">
        <f ca="1"/>
        <v>24694.19451803606</v>
      </c>
      <c r="U98" s="28">
        <f ca="1"/>
        <v>24698.219084427004</v>
      </c>
      <c r="V98" s="28">
        <f ca="1"/>
        <v>24704.139986069229</v>
      </c>
      <c r="W98" s="28">
        <f ca="1"/>
        <v>24712.607695748691</v>
      </c>
      <c r="X98" s="28">
        <f ca="1"/>
        <v>24720.609590435455</v>
      </c>
      <c r="Y98" s="28">
        <f ca="1"/>
        <v>24727.239588016095</v>
      </c>
      <c r="Z98" s="28">
        <f ca="1"/>
        <v>24731.682623793506</v>
      </c>
      <c r="AA98" s="28">
        <f ca="1"/>
        <v>24734.610880128628</v>
      </c>
      <c r="AB98" s="28">
        <f ca="1"/>
        <v>24734.610880128628</v>
      </c>
      <c r="AC98" s="28">
        <f ca="1"/>
        <v>24734.610880128628</v>
      </c>
      <c r="AD98" s="28">
        <f ca="1"/>
        <v>24734.610880128628</v>
      </c>
      <c r="AE98" s="28">
        <f ca="1"/>
        <v>24734.610880128628</v>
      </c>
      <c r="AF98" s="28">
        <f ca="1"/>
        <v>24734.610880128628</v>
      </c>
      <c r="AG98" s="28">
        <f ca="1"/>
        <v>24734.610880128628</v>
      </c>
      <c r="AH98" s="28">
        <f ca="1"/>
        <v>24734.610880128628</v>
      </c>
      <c r="AI98" s="28">
        <f ca="1"/>
        <v>24734.610880128628</v>
      </c>
      <c r="AJ98" s="28">
        <f ca="1"/>
        <v>24734.610880128628</v>
      </c>
      <c r="AK98" s="29">
        <f ca="1"/>
        <v>24734.610880128628</v>
      </c>
      <c r="AL98" s="3"/>
    </row>
    <row r="99" spans="2:38" hidden="1">
      <c r="B99" s="3"/>
      <c r="C99" s="12"/>
      <c r="D99" s="16"/>
      <c r="E99" s="141">
        <f t="array" aca="1" ref="E99:AK99" ca="1">tlccFupolElec4</f>
        <v>21358.165010569806</v>
      </c>
      <c r="F99" s="28">
        <f ca="1"/>
        <v>21214.685857328899</v>
      </c>
      <c r="G99" s="28">
        <f ca="1"/>
        <v>21070.134040331788</v>
      </c>
      <c r="H99" s="28">
        <f ca="1"/>
        <v>20943.229193070511</v>
      </c>
      <c r="I99" s="28">
        <f ca="1"/>
        <v>20822.909455717185</v>
      </c>
      <c r="J99" s="28">
        <f ca="1"/>
        <v>20718.133262164454</v>
      </c>
      <c r="K99" s="28">
        <f ca="1"/>
        <v>20636.901407409401</v>
      </c>
      <c r="L99" s="28">
        <f ca="1"/>
        <v>20569.554629907063</v>
      </c>
      <c r="M99" s="28">
        <f ca="1"/>
        <v>20501.869627074811</v>
      </c>
      <c r="N99" s="28">
        <f ca="1"/>
        <v>20447.708891239025</v>
      </c>
      <c r="O99" s="28">
        <f ca="1"/>
        <v>20410.393510073918</v>
      </c>
      <c r="P99" s="28">
        <f ca="1"/>
        <v>20383.068608179718</v>
      </c>
      <c r="Q99" s="28">
        <f ca="1"/>
        <v>20360.063871099832</v>
      </c>
      <c r="R99" s="28">
        <f ca="1"/>
        <v>20343.092249218302</v>
      </c>
      <c r="S99" s="28">
        <f ca="1"/>
        <v>20330.154929281052</v>
      </c>
      <c r="T99" s="28">
        <f ca="1"/>
        <v>20328.528252021577</v>
      </c>
      <c r="U99" s="28">
        <f ca="1"/>
        <v>20331.841318642182</v>
      </c>
      <c r="V99" s="28">
        <f ca="1"/>
        <v>20336.715468970244</v>
      </c>
      <c r="W99" s="28">
        <f ca="1"/>
        <v>20343.686179244811</v>
      </c>
      <c r="X99" s="28">
        <f ca="1"/>
        <v>20350.273425574742</v>
      </c>
      <c r="Y99" s="28">
        <f ca="1"/>
        <v>20355.731311355565</v>
      </c>
      <c r="Z99" s="28">
        <f ca="1"/>
        <v>20359.388866505207</v>
      </c>
      <c r="AA99" s="28">
        <f ca="1"/>
        <v>20361.799438819864</v>
      </c>
      <c r="AB99" s="28">
        <f ca="1"/>
        <v>20361.799438819864</v>
      </c>
      <c r="AC99" s="28">
        <f ca="1"/>
        <v>20361.799438819864</v>
      </c>
      <c r="AD99" s="28">
        <f ca="1"/>
        <v>20361.799438819864</v>
      </c>
      <c r="AE99" s="28">
        <f ca="1"/>
        <v>20361.799438819864</v>
      </c>
      <c r="AF99" s="28">
        <f ca="1"/>
        <v>20361.799438819864</v>
      </c>
      <c r="AG99" s="28">
        <f ca="1"/>
        <v>20361.799438819864</v>
      </c>
      <c r="AH99" s="28">
        <f ca="1"/>
        <v>20361.799438819864</v>
      </c>
      <c r="AI99" s="28">
        <f ca="1"/>
        <v>20361.799438819864</v>
      </c>
      <c r="AJ99" s="28">
        <f ca="1"/>
        <v>20361.799438819864</v>
      </c>
      <c r="AK99" s="29">
        <f ca="1"/>
        <v>20361.799438819864</v>
      </c>
      <c r="AL99" s="3"/>
    </row>
    <row r="100" spans="2:38" hidden="1">
      <c r="B100" s="3"/>
      <c r="C100" s="12"/>
      <c r="D100" s="16"/>
      <c r="E100" s="141">
        <f t="array" aca="1" ref="E100:AK100" ca="1">tlccFupolElec5</f>
        <v>11128.809241546547</v>
      </c>
      <c r="F100" s="28">
        <f ca="1"/>
        <v>11054.048505979306</v>
      </c>
      <c r="G100" s="28">
        <f ca="1"/>
        <v>10978.72885206317</v>
      </c>
      <c r="H100" s="28">
        <f ca="1"/>
        <v>10912.604265222521</v>
      </c>
      <c r="I100" s="28">
        <f ca="1"/>
        <v>10849.910892250851</v>
      </c>
      <c r="J100" s="28">
        <f ca="1"/>
        <v>10795.316582743146</v>
      </c>
      <c r="K100" s="28">
        <f ca="1"/>
        <v>10752.990202388906</v>
      </c>
      <c r="L100" s="28">
        <f ca="1"/>
        <v>10717.898730837604</v>
      </c>
      <c r="M100" s="28">
        <f ca="1"/>
        <v>10682.631024802888</v>
      </c>
      <c r="N100" s="28">
        <f ca="1"/>
        <v>10654.410225066584</v>
      </c>
      <c r="O100" s="28">
        <f ca="1"/>
        <v>10634.96680572056</v>
      </c>
      <c r="P100" s="28">
        <f ca="1"/>
        <v>10620.728989851357</v>
      </c>
      <c r="Q100" s="28">
        <f ca="1"/>
        <v>10608.742223643339</v>
      </c>
      <c r="R100" s="28">
        <f ca="1"/>
        <v>10599.899050910772</v>
      </c>
      <c r="S100" s="28">
        <f ca="1"/>
        <v>10593.157977152458</v>
      </c>
      <c r="T100" s="28">
        <f ca="1"/>
        <v>10592.310386504603</v>
      </c>
      <c r="U100" s="28">
        <f ca="1"/>
        <v>10594.03668117491</v>
      </c>
      <c r="V100" s="28">
        <f ca="1"/>
        <v>10596.576388550931</v>
      </c>
      <c r="W100" s="28">
        <f ca="1"/>
        <v>10600.208521970882</v>
      </c>
      <c r="X100" s="28">
        <f ca="1"/>
        <v>10603.640849036274</v>
      </c>
      <c r="Y100" s="28">
        <f ca="1"/>
        <v>10606.484715524191</v>
      </c>
      <c r="Z100" s="28">
        <f ca="1"/>
        <v>10608.390508158094</v>
      </c>
      <c r="AA100" s="28">
        <f ca="1"/>
        <v>10609.646552365984</v>
      </c>
      <c r="AB100" s="28">
        <f ca="1"/>
        <v>10609.646552365984</v>
      </c>
      <c r="AC100" s="28">
        <f ca="1"/>
        <v>10609.646552365984</v>
      </c>
      <c r="AD100" s="28">
        <f ca="1"/>
        <v>10609.646552365984</v>
      </c>
      <c r="AE100" s="28">
        <f ca="1"/>
        <v>10609.646552365984</v>
      </c>
      <c r="AF100" s="28">
        <f ca="1"/>
        <v>10609.646552365984</v>
      </c>
      <c r="AG100" s="28">
        <f ca="1"/>
        <v>10609.646552365984</v>
      </c>
      <c r="AH100" s="28">
        <f ca="1"/>
        <v>10609.646552365984</v>
      </c>
      <c r="AI100" s="28">
        <f ca="1"/>
        <v>10609.646552365984</v>
      </c>
      <c r="AJ100" s="28">
        <f ca="1"/>
        <v>10609.646552365984</v>
      </c>
      <c r="AK100" s="29">
        <f ca="1"/>
        <v>10609.646552365984</v>
      </c>
      <c r="AL100" s="3"/>
    </row>
    <row r="101" spans="2:38" hidden="1">
      <c r="B101" s="3"/>
      <c r="C101" s="4"/>
      <c r="D101" s="5"/>
      <c r="E101" s="147">
        <f t="array" aca="1" ref="E101:AK101" ca="1">tlccFupolElec6</f>
        <v>5615.6211473360554</v>
      </c>
      <c r="F101" s="35">
        <f ca="1"/>
        <v>5577.8967189152254</v>
      </c>
      <c r="G101" s="35">
        <f ca="1"/>
        <v>5539.8902590899952</v>
      </c>
      <c r="H101" s="35">
        <f ca="1"/>
        <v>5506.5236499441626</v>
      </c>
      <c r="I101" s="35">
        <f ca="1"/>
        <v>5474.888438717503</v>
      </c>
      <c r="J101" s="35">
        <f ca="1"/>
        <v>5447.3400323838623</v>
      </c>
      <c r="K101" s="35">
        <f ca="1"/>
        <v>5425.9820495621161</v>
      </c>
      <c r="L101" s="35">
        <f ca="1"/>
        <v>5408.2748173275149</v>
      </c>
      <c r="M101" s="35">
        <f ca="1"/>
        <v>5390.4786567924593</v>
      </c>
      <c r="N101" s="35">
        <f ca="1"/>
        <v>5376.2383803752573</v>
      </c>
      <c r="O101" s="35">
        <f ca="1"/>
        <v>5366.4271890351783</v>
      </c>
      <c r="P101" s="35">
        <f ca="1"/>
        <v>5359.2427564376203</v>
      </c>
      <c r="Q101" s="35">
        <f ca="1"/>
        <v>5353.19420835445</v>
      </c>
      <c r="R101" s="35">
        <f ca="1"/>
        <v>5348.7319243195006</v>
      </c>
      <c r="S101" s="35">
        <f ca="1"/>
        <v>5345.3303639610376</v>
      </c>
      <c r="T101" s="35">
        <f ca="1"/>
        <v>5344.9026678919372</v>
      </c>
      <c r="U101" s="35">
        <f ca="1"/>
        <v>5345.7737599060683</v>
      </c>
      <c r="V101" s="35">
        <f ca="1"/>
        <v>5347.0553017259781</v>
      </c>
      <c r="W101" s="35">
        <f ca="1"/>
        <v>5348.8880840839383</v>
      </c>
      <c r="X101" s="35">
        <f ca="1"/>
        <v>5350.6200437244215</v>
      </c>
      <c r="Y101" s="35">
        <f ca="1"/>
        <v>5352.0550648882427</v>
      </c>
      <c r="Z101" s="35">
        <f ca="1"/>
        <v>5353.0167319619695</v>
      </c>
      <c r="AA101" s="35">
        <f ca="1"/>
        <v>5353.6505345784708</v>
      </c>
      <c r="AB101" s="35">
        <f ca="1"/>
        <v>5353.6505345784708</v>
      </c>
      <c r="AC101" s="35">
        <f ca="1"/>
        <v>5353.6505345784708</v>
      </c>
      <c r="AD101" s="35">
        <f ca="1"/>
        <v>5353.6505345784708</v>
      </c>
      <c r="AE101" s="35">
        <f ca="1"/>
        <v>5353.6505345784708</v>
      </c>
      <c r="AF101" s="35">
        <f ca="1"/>
        <v>5353.6505345784708</v>
      </c>
      <c r="AG101" s="35">
        <f ca="1"/>
        <v>5353.6505345784708</v>
      </c>
      <c r="AH101" s="35">
        <f ca="1"/>
        <v>5353.6505345784708</v>
      </c>
      <c r="AI101" s="35">
        <f ca="1"/>
        <v>5353.6505345784708</v>
      </c>
      <c r="AJ101" s="35">
        <f ca="1"/>
        <v>5353.6505345784708</v>
      </c>
      <c r="AK101" s="36">
        <f ca="1"/>
        <v>5353.6505345784708</v>
      </c>
      <c r="AL101" s="3"/>
    </row>
    <row r="102" spans="2:38" hidden="1">
      <c r="B102" s="3"/>
      <c r="C102" s="3"/>
      <c r="D102" s="3"/>
      <c r="E102" s="118"/>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row>
    <row r="103" spans="2:38">
      <c r="B103" s="3"/>
      <c r="C103" s="8" t="s">
        <v>141</v>
      </c>
      <c r="D103" s="9"/>
      <c r="E103" s="139">
        <f t="array" ref="E103:AK103">_yS</f>
        <v>2018</v>
      </c>
      <c r="F103" s="10">
        <v>2019</v>
      </c>
      <c r="G103" s="10">
        <v>2020</v>
      </c>
      <c r="H103" s="10">
        <v>2021</v>
      </c>
      <c r="I103" s="10">
        <v>2022</v>
      </c>
      <c r="J103" s="10">
        <v>2023</v>
      </c>
      <c r="K103" s="10">
        <v>2024</v>
      </c>
      <c r="L103" s="10">
        <v>2025</v>
      </c>
      <c r="M103" s="10">
        <v>2026</v>
      </c>
      <c r="N103" s="10">
        <v>2027</v>
      </c>
      <c r="O103" s="10">
        <v>2028</v>
      </c>
      <c r="P103" s="10">
        <v>2029</v>
      </c>
      <c r="Q103" s="10">
        <v>2030</v>
      </c>
      <c r="R103" s="10">
        <v>2031</v>
      </c>
      <c r="S103" s="10">
        <v>2032</v>
      </c>
      <c r="T103" s="10">
        <v>2033</v>
      </c>
      <c r="U103" s="10">
        <v>2034</v>
      </c>
      <c r="V103" s="10">
        <v>2035</v>
      </c>
      <c r="W103" s="10">
        <v>2036</v>
      </c>
      <c r="X103" s="10">
        <v>2037</v>
      </c>
      <c r="Y103" s="10">
        <v>2038</v>
      </c>
      <c r="Z103" s="10">
        <v>2039</v>
      </c>
      <c r="AA103" s="10">
        <v>2040</v>
      </c>
      <c r="AB103" s="10">
        <v>2041</v>
      </c>
      <c r="AC103" s="10">
        <v>2042</v>
      </c>
      <c r="AD103" s="10">
        <v>2043</v>
      </c>
      <c r="AE103" s="10">
        <v>2044</v>
      </c>
      <c r="AF103" s="10">
        <v>2045</v>
      </c>
      <c r="AG103" s="10">
        <v>2046</v>
      </c>
      <c r="AH103" s="10">
        <v>2047</v>
      </c>
      <c r="AI103" s="10">
        <v>2048</v>
      </c>
      <c r="AJ103" s="10">
        <v>2049</v>
      </c>
      <c r="AK103" s="11">
        <v>2050</v>
      </c>
      <c r="AL103" s="3"/>
    </row>
    <row r="104" spans="2:38">
      <c r="B104" s="3"/>
      <c r="C104" s="21" t="str">
        <f>"BC (CSL 0): " &amp; INDEX(_doName,6,1)</f>
        <v>BC (CSL 0): EL 0</v>
      </c>
      <c r="D104" s="13"/>
      <c r="E104" s="142"/>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4"/>
      <c r="AL104" s="3"/>
    </row>
    <row r="105" spans="2:38">
      <c r="B105" s="3"/>
      <c r="C105" s="30" t="str">
        <f>"EL 0: " &amp; INDEX(_doName,6,1)</f>
        <v>EL 0: EL 0</v>
      </c>
      <c r="D105" s="31"/>
      <c r="E105" s="140"/>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2"/>
      <c r="AL105" s="3"/>
    </row>
    <row r="106" spans="2:38">
      <c r="B106" s="3"/>
      <c r="C106" s="23" t="s">
        <v>39</v>
      </c>
      <c r="D106" s="16" t="str">
        <f>_yearDol &amp; "$"</f>
        <v>2013$</v>
      </c>
      <c r="E106" s="141">
        <f t="array" aca="1" ref="E106:AK106" ca="1">(1+INDEX(vadRad,1,1))*INDEX(mspRad,1,1)*tPIdxAll + INDEX(instRad,1,1) + SUMPRODUCT(dFactor,tpSurvRad,INDEX(mrRad,1,1)*allOnes)</f>
        <v>1565.2476070000002</v>
      </c>
      <c r="F106" s="28">
        <f ca="1"/>
        <v>1565.2476070000002</v>
      </c>
      <c r="G106" s="28">
        <f ca="1"/>
        <v>1565.2476070000002</v>
      </c>
      <c r="H106" s="28">
        <f ca="1"/>
        <v>1565.2476070000002</v>
      </c>
      <c r="I106" s="28">
        <f ca="1"/>
        <v>1565.2476070000002</v>
      </c>
      <c r="J106" s="28">
        <f ca="1"/>
        <v>1565.2476070000002</v>
      </c>
      <c r="K106" s="28">
        <f ca="1"/>
        <v>1565.2476070000002</v>
      </c>
      <c r="L106" s="28">
        <f ca="1"/>
        <v>1565.2476070000002</v>
      </c>
      <c r="M106" s="28">
        <f ca="1"/>
        <v>1565.2476070000002</v>
      </c>
      <c r="N106" s="28">
        <f ca="1"/>
        <v>1565.2476070000002</v>
      </c>
      <c r="O106" s="28">
        <f ca="1"/>
        <v>1565.2476070000002</v>
      </c>
      <c r="P106" s="28">
        <f ca="1"/>
        <v>1565.2476070000002</v>
      </c>
      <c r="Q106" s="28">
        <f ca="1"/>
        <v>1565.2476070000002</v>
      </c>
      <c r="R106" s="28">
        <f ca="1"/>
        <v>1565.2476070000002</v>
      </c>
      <c r="S106" s="28">
        <f ca="1"/>
        <v>1565.2476070000002</v>
      </c>
      <c r="T106" s="28">
        <f ca="1"/>
        <v>1565.2476070000002</v>
      </c>
      <c r="U106" s="28">
        <f ca="1"/>
        <v>1565.2476070000002</v>
      </c>
      <c r="V106" s="28">
        <f ca="1"/>
        <v>1565.2476070000002</v>
      </c>
      <c r="W106" s="28">
        <f ca="1"/>
        <v>1565.2476070000002</v>
      </c>
      <c r="X106" s="28">
        <f ca="1"/>
        <v>1565.2476070000002</v>
      </c>
      <c r="Y106" s="28">
        <f ca="1"/>
        <v>1565.2476070000002</v>
      </c>
      <c r="Z106" s="28">
        <f ca="1"/>
        <v>1565.2476070000002</v>
      </c>
      <c r="AA106" s="28">
        <f ca="1"/>
        <v>1565.2476070000002</v>
      </c>
      <c r="AB106" s="28">
        <f ca="1"/>
        <v>1565.2476070000002</v>
      </c>
      <c r="AC106" s="28">
        <f ca="1"/>
        <v>1565.2476070000002</v>
      </c>
      <c r="AD106" s="28">
        <f ca="1"/>
        <v>1565.2476070000002</v>
      </c>
      <c r="AE106" s="28">
        <f ca="1"/>
        <v>1565.2476070000002</v>
      </c>
      <c r="AF106" s="28">
        <f ca="1"/>
        <v>1565.2476070000002</v>
      </c>
      <c r="AG106" s="28">
        <f ca="1"/>
        <v>1565.2476070000002</v>
      </c>
      <c r="AH106" s="28">
        <f ca="1"/>
        <v>1565.2476070000002</v>
      </c>
      <c r="AI106" s="28">
        <f ca="1"/>
        <v>1565.2476070000002</v>
      </c>
      <c r="AJ106" s="28">
        <f ca="1"/>
        <v>1565.2476070000002</v>
      </c>
      <c r="AK106" s="29">
        <f ca="1"/>
        <v>1565.2476070000002</v>
      </c>
      <c r="AL106" s="3"/>
    </row>
    <row r="107" spans="2:38">
      <c r="B107" s="3"/>
      <c r="C107" s="23" t="s">
        <v>47</v>
      </c>
      <c r="D107" s="16" t="str">
        <f>_yearDol &amp; "$"</f>
        <v>2013$</v>
      </c>
      <c r="E107" s="141">
        <f t="array" aca="1" ref="E107:AK107" ca="1">(tlccEFubcElec0)</f>
        <v>99522.871011827126</v>
      </c>
      <c r="F107" s="28">
        <f ca="1"/>
        <v>99960.003412923412</v>
      </c>
      <c r="G107" s="28">
        <f ca="1"/>
        <v>100347.88798504561</v>
      </c>
      <c r="H107" s="28">
        <f ca="1"/>
        <v>100769.88560279671</v>
      </c>
      <c r="I107" s="28">
        <f ca="1"/>
        <v>101142.00514558384</v>
      </c>
      <c r="J107" s="28">
        <f ca="1"/>
        <v>101547.09545546935</v>
      </c>
      <c r="K107" s="28">
        <f ca="1"/>
        <v>101901.26123009574</v>
      </c>
      <c r="L107" s="28">
        <f ca="1"/>
        <v>102287.19778270253</v>
      </c>
      <c r="M107" s="28">
        <f ca="1"/>
        <v>102707.24193818777</v>
      </c>
      <c r="N107" s="28">
        <f ca="1"/>
        <v>103077.30697790771</v>
      </c>
      <c r="O107" s="28">
        <f ca="1"/>
        <v>103480.30848802104</v>
      </c>
      <c r="P107" s="28">
        <f ca="1"/>
        <v>103919.04160114101</v>
      </c>
      <c r="Q107" s="28">
        <f ca="1"/>
        <v>104308.95642003125</v>
      </c>
      <c r="R107" s="28">
        <f ca="1"/>
        <v>104733.52405430155</v>
      </c>
      <c r="S107" s="28">
        <f ca="1"/>
        <v>105108.52173291137</v>
      </c>
      <c r="T107" s="28">
        <f ca="1"/>
        <v>105517.03028451605</v>
      </c>
      <c r="U107" s="28">
        <f ca="1"/>
        <v>105961.79906813047</v>
      </c>
      <c r="V107" s="28">
        <f ca="1"/>
        <v>106358.330885167</v>
      </c>
      <c r="W107" s="28">
        <f ca="1"/>
        <v>106790.16904195271</v>
      </c>
      <c r="X107" s="28">
        <f ca="1"/>
        <v>107173.01002820353</v>
      </c>
      <c r="Y107" s="28">
        <f ca="1"/>
        <v>107590.18716349427</v>
      </c>
      <c r="Z107" s="28">
        <f ca="1"/>
        <v>108044.5207458846</v>
      </c>
      <c r="AA107" s="28">
        <f ca="1"/>
        <v>108451.36608910565</v>
      </c>
      <c r="AB107" s="28">
        <f ca="1"/>
        <v>108894.48693646019</v>
      </c>
      <c r="AC107" s="28">
        <f ca="1"/>
        <v>109289.44441247534</v>
      </c>
      <c r="AD107" s="28">
        <f ca="1"/>
        <v>109719.72485295104</v>
      </c>
      <c r="AE107" s="28">
        <f ca="1"/>
        <v>110187.7545887415</v>
      </c>
      <c r="AF107" s="28">
        <f ca="1"/>
        <v>110609.54958146763</v>
      </c>
      <c r="AG107" s="28">
        <f ca="1"/>
        <v>111069.0785006263</v>
      </c>
      <c r="AH107" s="28">
        <f ca="1"/>
        <v>111481.7476017945</v>
      </c>
      <c r="AI107" s="28">
        <f ca="1"/>
        <v>111931.34834073896</v>
      </c>
      <c r="AJ107" s="28">
        <f ca="1"/>
        <v>112333.45296188115</v>
      </c>
      <c r="AK107" s="29">
        <f ca="1"/>
        <v>112771.78755384503</v>
      </c>
      <c r="AL107" s="3"/>
    </row>
    <row r="108" spans="2:38">
      <c r="B108" s="3"/>
      <c r="C108" s="27" t="str">
        <f>INDEX(_fuel,1)</f>
        <v>Electricity</v>
      </c>
      <c r="D108" s="16" t="str">
        <f>_yearDol &amp; "$"</f>
        <v>2013$</v>
      </c>
      <c r="E108" s="141">
        <f ca="1">SUMPRODUCT(dFactor,tpSurvRad,INDEX(tEIdxElec,1)*INDEX(elecRad,1,1)*allOnes,OFFSET(tPrcElec,0,0,1,_maxLT))</f>
        <v>99522.871011827126</v>
      </c>
      <c r="F108" s="28">
        <f ca="1">SUMPRODUCT(dFactor,tpSurvRad,INDEX(tEIdxElec,2)*INDEX(elecRad,1,1)*allOnes,OFFSET(tPrcElec,0,1,1,_maxLT))</f>
        <v>99960.003412923412</v>
      </c>
      <c r="G108" s="28">
        <f ca="1">SUMPRODUCT(dFactor,tpSurvRad,INDEX(tEIdxElec,3)*INDEX(elecRad,1,1)*allOnes,OFFSET(tPrcElec,0,2,1,_maxLT))</f>
        <v>100347.88798504561</v>
      </c>
      <c r="H108" s="28">
        <f ca="1">SUMPRODUCT(dFactor,tpSurvRad,INDEX(tEIdxElec,4)*INDEX(elecRad,1,1)*allOnes,OFFSET(tPrcElec,0,3,1,_maxLT))</f>
        <v>100769.88560279671</v>
      </c>
      <c r="I108" s="28">
        <f ca="1">SUMPRODUCT(dFactor,tpSurvRad,INDEX(tEIdxElec,5)*INDEX(elecRad,1,1)*allOnes,OFFSET(tPrcElec,0,4,1,_maxLT))</f>
        <v>101142.00514558384</v>
      </c>
      <c r="J108" s="28">
        <f ca="1">SUMPRODUCT(dFactor,tpSurvRad,INDEX(tEIdxElec,6)*INDEX(elecRad,1,1)*allOnes,OFFSET(tPrcElec,0,5,1,_maxLT))</f>
        <v>101547.09545546935</v>
      </c>
      <c r="K108" s="28">
        <f ca="1">SUMPRODUCT(dFactor,tpSurvRad,INDEX(tEIdxElec,7)*INDEX(elecRad,1,1)*allOnes,OFFSET(tPrcElec,0,6,1,_maxLT))</f>
        <v>101901.26123009574</v>
      </c>
      <c r="L108" s="28">
        <f ca="1">SUMPRODUCT(dFactor,tpSurvRad,INDEX(tEIdxElec,8)*INDEX(elecRad,1,1)*allOnes,OFFSET(tPrcElec,0,7,1,_maxLT))</f>
        <v>102287.19778270253</v>
      </c>
      <c r="M108" s="28">
        <f ca="1">SUMPRODUCT(dFactor,tpSurvRad,INDEX(tEIdxElec,9)*INDEX(elecRad,1,1)*allOnes,OFFSET(tPrcElec,0,8,1,_maxLT))</f>
        <v>102707.24193818777</v>
      </c>
      <c r="N108" s="28">
        <f ca="1">SUMPRODUCT(dFactor,tpSurvRad,INDEX(tEIdxElec,10)*INDEX(elecRad,1,1)*allOnes,OFFSET(tPrcElec,0,9,1,_maxLT))</f>
        <v>103077.30697790771</v>
      </c>
      <c r="O108" s="28">
        <f ca="1">SUMPRODUCT(dFactor,tpSurvRad,INDEX(tEIdxElec,11)*INDEX(elecRad,1,1)*allOnes,OFFSET(tPrcElec,0,10,1,_maxLT))</f>
        <v>103480.30848802104</v>
      </c>
      <c r="P108" s="28">
        <f ca="1">SUMPRODUCT(dFactor,tpSurvRad,INDEX(tEIdxElec,12)*INDEX(elecRad,1,1)*allOnes,OFFSET(tPrcElec,0,11,1,_maxLT))</f>
        <v>103919.04160114101</v>
      </c>
      <c r="Q108" s="28">
        <f ca="1">SUMPRODUCT(dFactor,tpSurvRad,INDEX(tEIdxElec,13)*INDEX(elecRad,1,1)*allOnes,OFFSET(tPrcElec,0,12,1,_maxLT))</f>
        <v>104308.95642003125</v>
      </c>
      <c r="R108" s="28">
        <f ca="1">SUMPRODUCT(dFactor,tpSurvRad,INDEX(tEIdxElec,14)*INDEX(elecRad,1,1)*allOnes,OFFSET(tPrcElec,0,13,1,_maxLT))</f>
        <v>104733.52405430155</v>
      </c>
      <c r="S108" s="28">
        <f ca="1">SUMPRODUCT(dFactor,tpSurvRad,INDEX(tEIdxElec,15)*INDEX(elecRad,1,1)*allOnes,OFFSET(tPrcElec,0,14,1,_maxLT))</f>
        <v>105108.52173291137</v>
      </c>
      <c r="T108" s="28">
        <f ca="1">SUMPRODUCT(dFactor,tpSurvRad,INDEX(tEIdxElec,16)*INDEX(elecRad,1,1)*allOnes,OFFSET(tPrcElec,0,15,1,_maxLT))</f>
        <v>105517.03028451605</v>
      </c>
      <c r="U108" s="28">
        <f ca="1">SUMPRODUCT(dFactor,tpSurvRad,INDEX(tEIdxElec,17)*INDEX(elecRad,1,1)*allOnes,OFFSET(tPrcElec,0,16,1,_maxLT))</f>
        <v>105961.79906813047</v>
      </c>
      <c r="V108" s="28">
        <f ca="1">SUMPRODUCT(dFactor,tpSurvRad,INDEX(tEIdxElec,18)*INDEX(elecRad,1,1)*allOnes,OFFSET(tPrcElec,0,17,1,_maxLT))</f>
        <v>106358.330885167</v>
      </c>
      <c r="W108" s="28">
        <f ca="1">SUMPRODUCT(dFactor,tpSurvRad,INDEX(tEIdxElec,19)*INDEX(elecRad,1,1)*allOnes,OFFSET(tPrcElec,0,18,1,_maxLT))</f>
        <v>106790.16904195271</v>
      </c>
      <c r="X108" s="28">
        <f ca="1">SUMPRODUCT(dFactor,tpSurvRad,INDEX(tEIdxElec,20)*INDEX(elecRad,1,1)*allOnes,OFFSET(tPrcElec,0,19,1,_maxLT))</f>
        <v>107173.01002820353</v>
      </c>
      <c r="Y108" s="28">
        <f ca="1">SUMPRODUCT(dFactor,tpSurvRad,INDEX(tEIdxElec,21)*INDEX(elecRad,1,1)*allOnes,OFFSET(tPrcElec,0,20,1,_maxLT))</f>
        <v>107590.18716349427</v>
      </c>
      <c r="Z108" s="28">
        <f ca="1">SUMPRODUCT(dFactor,tpSurvRad,INDEX(tEIdxElec,22)*INDEX(elecRad,1,1)*allOnes,OFFSET(tPrcElec,0,21,1,_maxLT))</f>
        <v>108044.5207458846</v>
      </c>
      <c r="AA108" s="28">
        <f ca="1">SUMPRODUCT(dFactor,tpSurvRad,INDEX(tEIdxElec,23)*INDEX(elecRad,1,1)*allOnes,OFFSET(tPrcElec,0,22,1,_maxLT))</f>
        <v>108451.36608910565</v>
      </c>
      <c r="AB108" s="28">
        <f ca="1">SUMPRODUCT(dFactor,tpSurvRad,INDEX(tEIdxElec,24)*INDEX(elecRad,1,1)*allOnes,OFFSET(tPrcElec,0,23,1,_maxLT))</f>
        <v>108894.48693646019</v>
      </c>
      <c r="AC108" s="28">
        <f ca="1">SUMPRODUCT(dFactor,tpSurvRad,INDEX(tEIdxElec,25)*INDEX(elecRad,1,1)*allOnes,OFFSET(tPrcElec,0,24,1,_maxLT))</f>
        <v>109289.44441247534</v>
      </c>
      <c r="AD108" s="28">
        <f ca="1">SUMPRODUCT(dFactor,tpSurvRad,INDEX(tEIdxElec,26)*INDEX(elecRad,1,1)*allOnes,OFFSET(tPrcElec,0,25,1,_maxLT))</f>
        <v>109719.72485295104</v>
      </c>
      <c r="AE108" s="28">
        <f ca="1">SUMPRODUCT(dFactor,tpSurvRad,INDEX(tEIdxElec,27)*INDEX(elecRad,1,1)*allOnes,OFFSET(tPrcElec,0,26,1,_maxLT))</f>
        <v>110187.7545887415</v>
      </c>
      <c r="AF108" s="28">
        <f ca="1">SUMPRODUCT(dFactor,tpSurvRad,INDEX(tEIdxElec,28)*INDEX(elecRad,1,1)*allOnes,OFFSET(tPrcElec,0,27,1,_maxLT))</f>
        <v>110609.54958146763</v>
      </c>
      <c r="AG108" s="28">
        <f ca="1">SUMPRODUCT(dFactor,tpSurvRad,INDEX(tEIdxElec,29)*INDEX(elecRad,1,1)*allOnes,OFFSET(tPrcElec,0,28,1,_maxLT))</f>
        <v>111069.0785006263</v>
      </c>
      <c r="AH108" s="28">
        <f ca="1">SUMPRODUCT(dFactor,tpSurvRad,INDEX(tEIdxElec,30)*INDEX(elecRad,1,1)*allOnes,OFFSET(tPrcElec,0,29,1,_maxLT))</f>
        <v>111481.7476017945</v>
      </c>
      <c r="AI108" s="28">
        <f ca="1">SUMPRODUCT(dFactor,tpSurvRad,INDEX(tEIdxElec,31)*INDEX(elecRad,1,1)*allOnes,OFFSET(tPrcElec,0,30,1,_maxLT))</f>
        <v>111931.34834073896</v>
      </c>
      <c r="AJ108" s="28">
        <f ca="1">SUMPRODUCT(dFactor,tpSurvRad,INDEX(tEIdxElec,32)*INDEX(elecRad,1,1)*allOnes,OFFSET(tPrcElec,0,31,1,_maxLT))</f>
        <v>112333.45296188115</v>
      </c>
      <c r="AK108" s="29">
        <f ca="1">SUMPRODUCT(dFactor,tpSurvRad,INDEX(tEIdxElec,33)*INDEX(elecRad,1,1)*allOnes,OFFSET(tPrcElec,0,32,1,_maxLT))</f>
        <v>112771.78755384503</v>
      </c>
      <c r="AL108" s="3"/>
    </row>
    <row r="109" spans="2:38">
      <c r="B109" s="3"/>
      <c r="C109" s="23" t="s">
        <v>44</v>
      </c>
      <c r="D109" s="13"/>
      <c r="E109" s="142"/>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4"/>
      <c r="AL109" s="3"/>
    </row>
    <row r="110" spans="2:38">
      <c r="B110" s="3"/>
      <c r="C110" s="27" t="str">
        <f>INDEX(_fuel,1)</f>
        <v>Electricity</v>
      </c>
      <c r="D110" s="16" t="s">
        <v>48</v>
      </c>
      <c r="E110" s="144">
        <f ca="1">ts2bElec*SUMPRODUCT(tpSurvRad,INDEX(tEIdxElec,1)*INDEX(elecRad,1,1)*convFactor)</f>
        <v>22860.146763875873</v>
      </c>
      <c r="F110" s="22">
        <f ca="1">ts2bElec*SUMPRODUCT(tpSurvRad,INDEX(tEIdxElec,2)*INDEX(elecRad,1,1)*convFactor)</f>
        <v>22706.577648784729</v>
      </c>
      <c r="G110" s="22">
        <f ca="1">ts2bElec*SUMPRODUCT(tpSurvRad,INDEX(tEIdxElec,3)*INDEX(elecRad,1,1)*convFactor)</f>
        <v>22551.86043642573</v>
      </c>
      <c r="H110" s="22">
        <f ca="1">ts2bElec*SUMPRODUCT(tpSurvRad,INDEX(tEIdxElec,4)*INDEX(elecRad,1,1)*convFactor)</f>
        <v>22416.031191169666</v>
      </c>
      <c r="I110" s="22">
        <f ca="1">ts2bElec*SUMPRODUCT(tpSurvRad,INDEX(tEIdxElec,5)*INDEX(elecRad,1,1)*convFactor)</f>
        <v>22287.250144055983</v>
      </c>
      <c r="J110" s="22">
        <f ca="1">ts2bElec*SUMPRODUCT(tpSurvRad,INDEX(tEIdxElec,6)*INDEX(elecRad,1,1)*convFactor)</f>
        <v>22175.10571775389</v>
      </c>
      <c r="K110" s="22">
        <f ca="1">ts2bElec*SUMPRODUCT(tpSurvRad,INDEX(tEIdxElec,7)*INDEX(elecRad,1,1)*convFactor)</f>
        <v>22088.1613514807</v>
      </c>
      <c r="L110" s="22">
        <f ca="1">ts2bElec*SUMPRODUCT(tpSurvRad,INDEX(tEIdxElec,8)*INDEX(elecRad,1,1)*convFactor)</f>
        <v>22016.078510234005</v>
      </c>
      <c r="M110" s="22">
        <f ca="1">ts2bElec*SUMPRODUCT(tpSurvRad,INDEX(tEIdxElec,9)*INDEX(elecRad,1,1)*convFactor)</f>
        <v>21943.633658455168</v>
      </c>
      <c r="N110" s="22">
        <f ca="1">ts2bElec*SUMPRODUCT(tpSurvRad,INDEX(tEIdxElec,10)*INDEX(elecRad,1,1)*convFactor)</f>
        <v>21885.664147992411</v>
      </c>
      <c r="O110" s="22">
        <f ca="1">ts2bElec*SUMPRODUCT(tpSurvRad,INDEX(tEIdxElec,11)*INDEX(elecRad,1,1)*convFactor)</f>
        <v>21845.72461715902</v>
      </c>
      <c r="P110" s="22">
        <f ca="1">ts2bElec*SUMPRODUCT(tpSurvRad,INDEX(tEIdxElec,12)*INDEX(elecRad,1,1)*convFactor)</f>
        <v>21816.478131456672</v>
      </c>
      <c r="Q110" s="22">
        <f ca="1">ts2bElec*SUMPRODUCT(tpSurvRad,INDEX(tEIdxElec,13)*INDEX(elecRad,1,1)*convFactor)</f>
        <v>21791.855619848102</v>
      </c>
      <c r="R110" s="22">
        <f ca="1">ts2bElec*SUMPRODUCT(tpSurvRad,INDEX(tEIdxElec,14)*INDEX(elecRad,1,1)*convFactor)</f>
        <v>21773.690493450737</v>
      </c>
      <c r="S110" s="22">
        <f ca="1">ts2bElec*SUMPRODUCT(tpSurvRad,INDEX(tEIdxElec,15)*INDEX(elecRad,1,1)*convFactor)</f>
        <v>21759.843375388376</v>
      </c>
      <c r="T110" s="22">
        <f ca="1">ts2bElec*SUMPRODUCT(tpSurvRad,INDEX(tEIdxElec,16)*INDEX(elecRad,1,1)*convFactor)</f>
        <v>21758.10230442696</v>
      </c>
      <c r="U110" s="22">
        <f ca="1">ts2bElec*SUMPRODUCT(tpSurvRad,INDEX(tEIdxElec,17)*INDEX(elecRad,1,1)*convFactor)</f>
        <v>21761.648357617767</v>
      </c>
      <c r="V110" s="22">
        <f ca="1">ts2bElec*SUMPRODUCT(tpSurvRad,INDEX(tEIdxElec,18)*INDEX(elecRad,1,1)*convFactor)</f>
        <v>21766.865275447257</v>
      </c>
      <c r="W110" s="22">
        <f ca="1">ts2bElec*SUMPRODUCT(tpSurvRad,INDEX(tEIdxElec,19)*INDEX(elecRad,1,1)*convFactor)</f>
        <v>21774.326190738717</v>
      </c>
      <c r="X110" s="22">
        <f ca="1">ts2bElec*SUMPRODUCT(tpSurvRad,INDEX(tEIdxElec,20)*INDEX(elecRad,1,1)*convFactor)</f>
        <v>21781.376675543826</v>
      </c>
      <c r="Y110" s="22">
        <f ca="1">ts2bElec*SUMPRODUCT(tpSurvRad,INDEX(tEIdxElec,21)*INDEX(elecRad,1,1)*convFactor)</f>
        <v>21787.21837916904</v>
      </c>
      <c r="Z110" s="22">
        <f ca="1">ts2bElec*SUMPRODUCT(tpSurvRad,INDEX(tEIdxElec,22)*INDEX(elecRad,1,1)*convFactor)</f>
        <v>21791.133146541448</v>
      </c>
      <c r="AA110" s="22">
        <f ca="1">ts2bElec*SUMPRODUCT(tpSurvRad,INDEX(tEIdxElec,23)*INDEX(elecRad,1,1)*convFactor)</f>
        <v>21793.713238832643</v>
      </c>
      <c r="AB110" s="22">
        <f ca="1">ts2bElec*SUMPRODUCT(tpSurvRad,INDEX(tEIdxElec,24)*INDEX(elecRad,1,1)*convFactor)</f>
        <v>21793.713238832643</v>
      </c>
      <c r="AC110" s="22">
        <f ca="1">ts2bElec*SUMPRODUCT(tpSurvRad,INDEX(tEIdxElec,25)*INDEX(elecRad,1,1)*convFactor)</f>
        <v>21793.713238832643</v>
      </c>
      <c r="AD110" s="22">
        <f ca="1">ts2bElec*SUMPRODUCT(tpSurvRad,INDEX(tEIdxElec,26)*INDEX(elecRad,1,1)*convFactor)</f>
        <v>21793.713238832643</v>
      </c>
      <c r="AE110" s="22">
        <f ca="1">ts2bElec*SUMPRODUCT(tpSurvRad,INDEX(tEIdxElec,27)*INDEX(elecRad,1,1)*convFactor)</f>
        <v>21793.713238832643</v>
      </c>
      <c r="AF110" s="22">
        <f ca="1">ts2bElec*SUMPRODUCT(tpSurvRad,INDEX(tEIdxElec,28)*INDEX(elecRad,1,1)*convFactor)</f>
        <v>21793.713238832643</v>
      </c>
      <c r="AG110" s="22">
        <f ca="1">ts2bElec*SUMPRODUCT(tpSurvRad,INDEX(tEIdxElec,29)*INDEX(elecRad,1,1)*convFactor)</f>
        <v>21793.713238832643</v>
      </c>
      <c r="AH110" s="22">
        <f ca="1">ts2bElec*SUMPRODUCT(tpSurvRad,INDEX(tEIdxElec,30)*INDEX(elecRad,1,1)*convFactor)</f>
        <v>21793.713238832643</v>
      </c>
      <c r="AI110" s="22">
        <f ca="1">ts2bElec*SUMPRODUCT(tpSurvRad,INDEX(tEIdxElec,31)*INDEX(elecRad,1,1)*convFactor)</f>
        <v>21793.713238832643</v>
      </c>
      <c r="AJ110" s="22">
        <f ca="1">ts2bElec*SUMPRODUCT(tpSurvRad,INDEX(tEIdxElec,32)*INDEX(elecRad,1,1)*convFactor)</f>
        <v>21793.713238832643</v>
      </c>
      <c r="AK110" s="25">
        <f ca="1">ts2bElec*SUMPRODUCT(tpSurvRad,INDEX(tEIdxElec,33)*INDEX(elecRad,1,1)*convFactor)</f>
        <v>21793.713238832643</v>
      </c>
      <c r="AL110" s="3"/>
    </row>
    <row r="111" spans="2:38">
      <c r="B111" s="3"/>
      <c r="C111" s="30" t="str">
        <f>"EL 1: " &amp; INDEX(_doName,6,2)</f>
        <v>EL 1: EL 1</v>
      </c>
      <c r="D111" s="31"/>
      <c r="E111" s="140"/>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2"/>
      <c r="AL111" s="3"/>
    </row>
    <row r="112" spans="2:38">
      <c r="B112" s="3"/>
      <c r="C112" s="23" t="s">
        <v>39</v>
      </c>
      <c r="D112" s="16" t="str">
        <f>_yearDol &amp; "$"</f>
        <v>2013$</v>
      </c>
      <c r="E112" s="141">
        <f t="array" aca="1" ref="E112:AK112" ca="1">(1+INDEX(vadRad,1,2))*INDEX(mspRad,1,2)*tPIdxAll + INDEX(instRad,1,2) + SUMPRODUCT(dFactor,tpSurvRad,INDEX(mrRad,1,2)*allOnes)</f>
        <v>871.80046800000002</v>
      </c>
      <c r="F112" s="28">
        <f ca="1"/>
        <v>871.80046800000002</v>
      </c>
      <c r="G112" s="28">
        <f ca="1"/>
        <v>871.80046800000002</v>
      </c>
      <c r="H112" s="28">
        <f ca="1"/>
        <v>871.80046800000002</v>
      </c>
      <c r="I112" s="28">
        <f ca="1"/>
        <v>871.80046800000002</v>
      </c>
      <c r="J112" s="28">
        <f ca="1"/>
        <v>871.80046800000002</v>
      </c>
      <c r="K112" s="28">
        <f ca="1"/>
        <v>871.80046800000002</v>
      </c>
      <c r="L112" s="28">
        <f ca="1"/>
        <v>871.80046800000002</v>
      </c>
      <c r="M112" s="28">
        <f ca="1"/>
        <v>871.80046800000002</v>
      </c>
      <c r="N112" s="28">
        <f ca="1"/>
        <v>871.80046800000002</v>
      </c>
      <c r="O112" s="28">
        <f ca="1"/>
        <v>871.80046800000002</v>
      </c>
      <c r="P112" s="28">
        <f ca="1"/>
        <v>871.80046800000002</v>
      </c>
      <c r="Q112" s="28">
        <f ca="1"/>
        <v>871.80046800000002</v>
      </c>
      <c r="R112" s="28">
        <f ca="1"/>
        <v>871.80046800000002</v>
      </c>
      <c r="S112" s="28">
        <f ca="1"/>
        <v>871.80046800000002</v>
      </c>
      <c r="T112" s="28">
        <f ca="1"/>
        <v>871.80046800000002</v>
      </c>
      <c r="U112" s="28">
        <f ca="1"/>
        <v>871.80046800000002</v>
      </c>
      <c r="V112" s="28">
        <f ca="1"/>
        <v>871.80046800000002</v>
      </c>
      <c r="W112" s="28">
        <f ca="1"/>
        <v>871.80046800000002</v>
      </c>
      <c r="X112" s="28">
        <f ca="1"/>
        <v>871.80046800000002</v>
      </c>
      <c r="Y112" s="28">
        <f ca="1"/>
        <v>871.80046800000002</v>
      </c>
      <c r="Z112" s="28">
        <f ca="1"/>
        <v>871.80046800000002</v>
      </c>
      <c r="AA112" s="28">
        <f ca="1"/>
        <v>871.80046800000002</v>
      </c>
      <c r="AB112" s="28">
        <f ca="1"/>
        <v>871.80046800000002</v>
      </c>
      <c r="AC112" s="28">
        <f ca="1"/>
        <v>871.80046800000002</v>
      </c>
      <c r="AD112" s="28">
        <f ca="1"/>
        <v>871.80046800000002</v>
      </c>
      <c r="AE112" s="28">
        <f ca="1"/>
        <v>871.80046800000002</v>
      </c>
      <c r="AF112" s="28">
        <f ca="1"/>
        <v>871.80046800000002</v>
      </c>
      <c r="AG112" s="28">
        <f ca="1"/>
        <v>871.80046800000002</v>
      </c>
      <c r="AH112" s="28">
        <f ca="1"/>
        <v>871.80046800000002</v>
      </c>
      <c r="AI112" s="28">
        <f ca="1"/>
        <v>871.80046800000002</v>
      </c>
      <c r="AJ112" s="28">
        <f ca="1"/>
        <v>871.80046800000002</v>
      </c>
      <c r="AK112" s="29">
        <f ca="1"/>
        <v>871.80046800000002</v>
      </c>
      <c r="AL112" s="3"/>
    </row>
    <row r="113" spans="2:38">
      <c r="B113" s="3"/>
      <c r="C113" s="23" t="s">
        <v>47</v>
      </c>
      <c r="D113" s="16" t="str">
        <f>_yearDol &amp; "$"</f>
        <v>2013$</v>
      </c>
      <c r="E113" s="141">
        <f t="array" aca="1" ref="E113:AK113" ca="1">(tlccEFubcElec1)</f>
        <v>26376.636822049633</v>
      </c>
      <c r="F113" s="28">
        <f ca="1"/>
        <v>26492.490419013262</v>
      </c>
      <c r="G113" s="28">
        <f ca="1"/>
        <v>26595.291819171092</v>
      </c>
      <c r="H113" s="28">
        <f ca="1"/>
        <v>26707.134230769818</v>
      </c>
      <c r="I113" s="28">
        <f ca="1"/>
        <v>26805.757410896102</v>
      </c>
      <c r="J113" s="28">
        <f ca="1"/>
        <v>26913.118863347674</v>
      </c>
      <c r="K113" s="28">
        <f ca="1"/>
        <v>27006.983740005126</v>
      </c>
      <c r="L113" s="28">
        <f ca="1"/>
        <v>27109.268854782942</v>
      </c>
      <c r="M113" s="28">
        <f ca="1"/>
        <v>27220.593538504567</v>
      </c>
      <c r="N113" s="28">
        <f ca="1"/>
        <v>27318.672211818463</v>
      </c>
      <c r="O113" s="28">
        <f ca="1"/>
        <v>27425.48006777083</v>
      </c>
      <c r="P113" s="28">
        <f ca="1"/>
        <v>27541.757902894744</v>
      </c>
      <c r="Q113" s="28">
        <f ca="1"/>
        <v>27645.097381195974</v>
      </c>
      <c r="R113" s="28">
        <f ca="1"/>
        <v>27757.620926605105</v>
      </c>
      <c r="S113" s="28">
        <f ca="1"/>
        <v>27857.006901680386</v>
      </c>
      <c r="T113" s="28">
        <f ca="1"/>
        <v>27965.274293836868</v>
      </c>
      <c r="U113" s="28">
        <f ca="1"/>
        <v>28083.151768189364</v>
      </c>
      <c r="V113" s="28">
        <f ca="1"/>
        <v>28188.244955514303</v>
      </c>
      <c r="W113" s="28">
        <f ca="1"/>
        <v>28302.695414103728</v>
      </c>
      <c r="X113" s="28">
        <f ca="1"/>
        <v>28404.160108120956</v>
      </c>
      <c r="Y113" s="28">
        <f ca="1"/>
        <v>28514.724942878584</v>
      </c>
      <c r="Z113" s="28">
        <f ca="1"/>
        <v>28635.137384530779</v>
      </c>
      <c r="AA113" s="28">
        <f ca="1"/>
        <v>28742.963975059989</v>
      </c>
      <c r="AB113" s="28">
        <f ca="1"/>
        <v>28860.404695369991</v>
      </c>
      <c r="AC113" s="28">
        <f ca="1"/>
        <v>28965.080633665286</v>
      </c>
      <c r="AD113" s="28">
        <f ca="1"/>
        <v>29079.118249287429</v>
      </c>
      <c r="AE113" s="28">
        <f ca="1"/>
        <v>29203.160594904642</v>
      </c>
      <c r="AF113" s="28">
        <f ca="1"/>
        <v>29314.949304609119</v>
      </c>
      <c r="AG113" s="28">
        <f ca="1"/>
        <v>29436.738671079827</v>
      </c>
      <c r="AH113" s="28">
        <f ca="1"/>
        <v>29546.108737462881</v>
      </c>
      <c r="AI113" s="28">
        <f ca="1"/>
        <v>29665.266829321532</v>
      </c>
      <c r="AJ113" s="28">
        <f ca="1"/>
        <v>29771.836981975925</v>
      </c>
      <c r="AK113" s="29">
        <f ca="1"/>
        <v>29888.009196676197</v>
      </c>
      <c r="AL113" s="3"/>
    </row>
    <row r="114" spans="2:38">
      <c r="B114" s="3"/>
      <c r="C114" s="27" t="str">
        <f>INDEX(_fuel,1)</f>
        <v>Electricity</v>
      </c>
      <c r="D114" s="16" t="str">
        <f>_yearDol &amp; "$"</f>
        <v>2013$</v>
      </c>
      <c r="E114" s="141">
        <f ca="1">SUMPRODUCT(dFactor,tpSurvRad,INDEX(tEIdxElec,1)*INDEX(elecRad,1,2)*allOnes,OFFSET(tPrcElec,0,0,1,_maxLT))</f>
        <v>26376.636822049633</v>
      </c>
      <c r="F114" s="28">
        <f ca="1">SUMPRODUCT(dFactor,tpSurvRad,INDEX(tEIdxElec,2)*INDEX(elecRad,1,2)*allOnes,OFFSET(tPrcElec,0,1,1,_maxLT))</f>
        <v>26492.490419013262</v>
      </c>
      <c r="G114" s="28">
        <f ca="1">SUMPRODUCT(dFactor,tpSurvRad,INDEX(tEIdxElec,3)*INDEX(elecRad,1,2)*allOnes,OFFSET(tPrcElec,0,2,1,_maxLT))</f>
        <v>26595.291819171092</v>
      </c>
      <c r="H114" s="28">
        <f ca="1">SUMPRODUCT(dFactor,tpSurvRad,INDEX(tEIdxElec,4)*INDEX(elecRad,1,2)*allOnes,OFFSET(tPrcElec,0,3,1,_maxLT))</f>
        <v>26707.134230769818</v>
      </c>
      <c r="I114" s="28">
        <f ca="1">SUMPRODUCT(dFactor,tpSurvRad,INDEX(tEIdxElec,5)*INDEX(elecRad,1,2)*allOnes,OFFSET(tPrcElec,0,4,1,_maxLT))</f>
        <v>26805.757410896102</v>
      </c>
      <c r="J114" s="28">
        <f ca="1">SUMPRODUCT(dFactor,tpSurvRad,INDEX(tEIdxElec,6)*INDEX(elecRad,1,2)*allOnes,OFFSET(tPrcElec,0,5,1,_maxLT))</f>
        <v>26913.118863347674</v>
      </c>
      <c r="K114" s="28">
        <f ca="1">SUMPRODUCT(dFactor,tpSurvRad,INDEX(tEIdxElec,7)*INDEX(elecRad,1,2)*allOnes,OFFSET(tPrcElec,0,6,1,_maxLT))</f>
        <v>27006.983740005126</v>
      </c>
      <c r="L114" s="28">
        <f ca="1">SUMPRODUCT(dFactor,tpSurvRad,INDEX(tEIdxElec,8)*INDEX(elecRad,1,2)*allOnes,OFFSET(tPrcElec,0,7,1,_maxLT))</f>
        <v>27109.268854782942</v>
      </c>
      <c r="M114" s="28">
        <f ca="1">SUMPRODUCT(dFactor,tpSurvRad,INDEX(tEIdxElec,9)*INDEX(elecRad,1,2)*allOnes,OFFSET(tPrcElec,0,8,1,_maxLT))</f>
        <v>27220.593538504567</v>
      </c>
      <c r="N114" s="28">
        <f ca="1">SUMPRODUCT(dFactor,tpSurvRad,INDEX(tEIdxElec,10)*INDEX(elecRad,1,2)*allOnes,OFFSET(tPrcElec,0,9,1,_maxLT))</f>
        <v>27318.672211818463</v>
      </c>
      <c r="O114" s="28">
        <f ca="1">SUMPRODUCT(dFactor,tpSurvRad,INDEX(tEIdxElec,11)*INDEX(elecRad,1,2)*allOnes,OFFSET(tPrcElec,0,10,1,_maxLT))</f>
        <v>27425.48006777083</v>
      </c>
      <c r="P114" s="28">
        <f ca="1">SUMPRODUCT(dFactor,tpSurvRad,INDEX(tEIdxElec,12)*INDEX(elecRad,1,2)*allOnes,OFFSET(tPrcElec,0,11,1,_maxLT))</f>
        <v>27541.757902894744</v>
      </c>
      <c r="Q114" s="28">
        <f ca="1">SUMPRODUCT(dFactor,tpSurvRad,INDEX(tEIdxElec,13)*INDEX(elecRad,1,2)*allOnes,OFFSET(tPrcElec,0,12,1,_maxLT))</f>
        <v>27645.097381195974</v>
      </c>
      <c r="R114" s="28">
        <f ca="1">SUMPRODUCT(dFactor,tpSurvRad,INDEX(tEIdxElec,14)*INDEX(elecRad,1,2)*allOnes,OFFSET(tPrcElec,0,13,1,_maxLT))</f>
        <v>27757.620926605105</v>
      </c>
      <c r="S114" s="28">
        <f ca="1">SUMPRODUCT(dFactor,tpSurvRad,INDEX(tEIdxElec,15)*INDEX(elecRad,1,2)*allOnes,OFFSET(tPrcElec,0,14,1,_maxLT))</f>
        <v>27857.006901680386</v>
      </c>
      <c r="T114" s="28">
        <f ca="1">SUMPRODUCT(dFactor,tpSurvRad,INDEX(tEIdxElec,16)*INDEX(elecRad,1,2)*allOnes,OFFSET(tPrcElec,0,15,1,_maxLT))</f>
        <v>27965.274293836868</v>
      </c>
      <c r="U114" s="28">
        <f ca="1">SUMPRODUCT(dFactor,tpSurvRad,INDEX(tEIdxElec,17)*INDEX(elecRad,1,2)*allOnes,OFFSET(tPrcElec,0,16,1,_maxLT))</f>
        <v>28083.151768189364</v>
      </c>
      <c r="V114" s="28">
        <f ca="1">SUMPRODUCT(dFactor,tpSurvRad,INDEX(tEIdxElec,18)*INDEX(elecRad,1,2)*allOnes,OFFSET(tPrcElec,0,17,1,_maxLT))</f>
        <v>28188.244955514303</v>
      </c>
      <c r="W114" s="28">
        <f ca="1">SUMPRODUCT(dFactor,tpSurvRad,INDEX(tEIdxElec,19)*INDEX(elecRad,1,2)*allOnes,OFFSET(tPrcElec,0,18,1,_maxLT))</f>
        <v>28302.695414103728</v>
      </c>
      <c r="X114" s="28">
        <f ca="1">SUMPRODUCT(dFactor,tpSurvRad,INDEX(tEIdxElec,20)*INDEX(elecRad,1,2)*allOnes,OFFSET(tPrcElec,0,19,1,_maxLT))</f>
        <v>28404.160108120956</v>
      </c>
      <c r="Y114" s="28">
        <f ca="1">SUMPRODUCT(dFactor,tpSurvRad,INDEX(tEIdxElec,21)*INDEX(elecRad,1,2)*allOnes,OFFSET(tPrcElec,0,20,1,_maxLT))</f>
        <v>28514.724942878584</v>
      </c>
      <c r="Z114" s="28">
        <f ca="1">SUMPRODUCT(dFactor,tpSurvRad,INDEX(tEIdxElec,22)*INDEX(elecRad,1,2)*allOnes,OFFSET(tPrcElec,0,21,1,_maxLT))</f>
        <v>28635.137384530779</v>
      </c>
      <c r="AA114" s="28">
        <f ca="1">SUMPRODUCT(dFactor,tpSurvRad,INDEX(tEIdxElec,23)*INDEX(elecRad,1,2)*allOnes,OFFSET(tPrcElec,0,22,1,_maxLT))</f>
        <v>28742.963975059989</v>
      </c>
      <c r="AB114" s="28">
        <f ca="1">SUMPRODUCT(dFactor,tpSurvRad,INDEX(tEIdxElec,24)*INDEX(elecRad,1,2)*allOnes,OFFSET(tPrcElec,0,23,1,_maxLT))</f>
        <v>28860.404695369991</v>
      </c>
      <c r="AC114" s="28">
        <f ca="1">SUMPRODUCT(dFactor,tpSurvRad,INDEX(tEIdxElec,25)*INDEX(elecRad,1,2)*allOnes,OFFSET(tPrcElec,0,24,1,_maxLT))</f>
        <v>28965.080633665286</v>
      </c>
      <c r="AD114" s="28">
        <f ca="1">SUMPRODUCT(dFactor,tpSurvRad,INDEX(tEIdxElec,26)*INDEX(elecRad,1,2)*allOnes,OFFSET(tPrcElec,0,25,1,_maxLT))</f>
        <v>29079.118249287429</v>
      </c>
      <c r="AE114" s="28">
        <f ca="1">SUMPRODUCT(dFactor,tpSurvRad,INDEX(tEIdxElec,27)*INDEX(elecRad,1,2)*allOnes,OFFSET(tPrcElec,0,26,1,_maxLT))</f>
        <v>29203.160594904642</v>
      </c>
      <c r="AF114" s="28">
        <f ca="1">SUMPRODUCT(dFactor,tpSurvRad,INDEX(tEIdxElec,28)*INDEX(elecRad,1,2)*allOnes,OFFSET(tPrcElec,0,27,1,_maxLT))</f>
        <v>29314.949304609119</v>
      </c>
      <c r="AG114" s="28">
        <f ca="1">SUMPRODUCT(dFactor,tpSurvRad,INDEX(tEIdxElec,29)*INDEX(elecRad,1,2)*allOnes,OFFSET(tPrcElec,0,28,1,_maxLT))</f>
        <v>29436.738671079827</v>
      </c>
      <c r="AH114" s="28">
        <f ca="1">SUMPRODUCT(dFactor,tpSurvRad,INDEX(tEIdxElec,30)*INDEX(elecRad,1,2)*allOnes,OFFSET(tPrcElec,0,29,1,_maxLT))</f>
        <v>29546.108737462881</v>
      </c>
      <c r="AI114" s="28">
        <f ca="1">SUMPRODUCT(dFactor,tpSurvRad,INDEX(tEIdxElec,31)*INDEX(elecRad,1,2)*allOnes,OFFSET(tPrcElec,0,30,1,_maxLT))</f>
        <v>29665.266829321532</v>
      </c>
      <c r="AJ114" s="28">
        <f ca="1">SUMPRODUCT(dFactor,tpSurvRad,INDEX(tEIdxElec,32)*INDEX(elecRad,1,2)*allOnes,OFFSET(tPrcElec,0,31,1,_maxLT))</f>
        <v>29771.836981975925</v>
      </c>
      <c r="AK114" s="29">
        <f ca="1">SUMPRODUCT(dFactor,tpSurvRad,INDEX(tEIdxElec,33)*INDEX(elecRad,1,2)*allOnes,OFFSET(tPrcElec,0,32,1,_maxLT))</f>
        <v>29888.009196676197</v>
      </c>
      <c r="AL114" s="3"/>
    </row>
    <row r="115" spans="2:38">
      <c r="B115" s="3"/>
      <c r="C115" s="23" t="s">
        <v>44</v>
      </c>
      <c r="D115" s="13"/>
      <c r="E115" s="142"/>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4"/>
      <c r="AL115" s="3"/>
    </row>
    <row r="116" spans="2:38">
      <c r="B116" s="3"/>
      <c r="C116" s="27" t="str">
        <f>INDEX(_fuel,1)</f>
        <v>Electricity</v>
      </c>
      <c r="D116" s="16" t="s">
        <v>48</v>
      </c>
      <c r="E116" s="144">
        <f ca="1">ts2bElec*SUMPRODUCT(tpSurvRad,INDEX(tEIdxElec,1)*INDEX(elecRad,1,2)*convFactor)</f>
        <v>6058.6454425922911</v>
      </c>
      <c r="F116" s="22">
        <f ca="1">ts2bElec*SUMPRODUCT(tpSurvRad,INDEX(tEIdxElec,2)*INDEX(elecRad,1,2)*convFactor)</f>
        <v>6017.9448806545115</v>
      </c>
      <c r="G116" s="22">
        <f ca="1">ts2bElec*SUMPRODUCT(tpSurvRad,INDEX(tEIdxElec,3)*INDEX(elecRad,1,2)*convFactor)</f>
        <v>5976.9400374559227</v>
      </c>
      <c r="H116" s="22">
        <f ca="1">ts2bElec*SUMPRODUCT(tpSurvRad,INDEX(tEIdxElec,4)*INDEX(elecRad,1,2)*convFactor)</f>
        <v>5940.9410893196045</v>
      </c>
      <c r="I116" s="22">
        <f ca="1">ts2bElec*SUMPRODUCT(tpSurvRad,INDEX(tEIdxElec,5)*INDEX(elecRad,1,2)*convFactor)</f>
        <v>5906.8101315332588</v>
      </c>
      <c r="J116" s="22">
        <f ca="1">ts2bElec*SUMPRODUCT(tpSurvRad,INDEX(tEIdxElec,6)*INDEX(elecRad,1,2)*convFactor)</f>
        <v>5877.0883924584687</v>
      </c>
      <c r="K116" s="22">
        <f ca="1">ts2bElec*SUMPRODUCT(tpSurvRad,INDEX(tEIdxElec,7)*INDEX(elecRad,1,2)*convFactor)</f>
        <v>5854.045448162391</v>
      </c>
      <c r="L116" s="22">
        <f ca="1">ts2bElec*SUMPRODUCT(tpSurvRad,INDEX(tEIdxElec,8)*INDEX(elecRad,1,2)*convFactor)</f>
        <v>5834.9412673310362</v>
      </c>
      <c r="M116" s="22">
        <f ca="1">ts2bElec*SUMPRODUCT(tpSurvRad,INDEX(tEIdxElec,9)*INDEX(elecRad,1,2)*convFactor)</f>
        <v>5815.7411425198206</v>
      </c>
      <c r="N116" s="22">
        <f ca="1">ts2bElec*SUMPRODUCT(tpSurvRad,INDEX(tEIdxElec,10)*INDEX(elecRad,1,2)*convFactor)</f>
        <v>5800.377430554091</v>
      </c>
      <c r="O116" s="22">
        <f ca="1">ts2bElec*SUMPRODUCT(tpSurvRad,INDEX(tEIdxElec,11)*INDEX(elecRad,1,2)*convFactor)</f>
        <v>5789.79222045188</v>
      </c>
      <c r="P116" s="22">
        <f ca="1">ts2bElec*SUMPRODUCT(tpSurvRad,INDEX(tEIdxElec,12)*INDEX(elecRad,1,2)*convFactor)</f>
        <v>5782.0409978047737</v>
      </c>
      <c r="Q116" s="22">
        <f ca="1">ts2bElec*SUMPRODUCT(tpSurvRad,INDEX(tEIdxElec,13)*INDEX(elecRad,1,2)*convFactor)</f>
        <v>5775.5152712080317</v>
      </c>
      <c r="R116" s="22">
        <f ca="1">ts2bElec*SUMPRODUCT(tpSurvRad,INDEX(tEIdxElec,14)*INDEX(elecRad,1,2)*convFactor)</f>
        <v>5770.7009512739442</v>
      </c>
      <c r="S116" s="22">
        <f ca="1">ts2bElec*SUMPRODUCT(tpSurvRad,INDEX(tEIdxElec,15)*INDEX(elecRad,1,2)*convFactor)</f>
        <v>5767.0310370075085</v>
      </c>
      <c r="T116" s="22">
        <f ca="1">ts2bElec*SUMPRODUCT(tpSurvRad,INDEX(tEIdxElec,16)*INDEX(elecRad,1,2)*convFactor)</f>
        <v>5766.5695993905683</v>
      </c>
      <c r="U116" s="22">
        <f ca="1">ts2bElec*SUMPRODUCT(tpSurvRad,INDEX(tEIdxElec,17)*INDEX(elecRad,1,2)*convFactor)</f>
        <v>5767.5094130857997</v>
      </c>
      <c r="V116" s="22">
        <f ca="1">ts2bElec*SUMPRODUCT(tpSurvRad,INDEX(tEIdxElec,18)*INDEX(elecRad,1,2)*convFactor)</f>
        <v>5768.8920575525417</v>
      </c>
      <c r="W116" s="22">
        <f ca="1">ts2bElec*SUMPRODUCT(tpSurvRad,INDEX(tEIdxElec,19)*INDEX(elecRad,1,2)*convFactor)</f>
        <v>5770.8694307030773</v>
      </c>
      <c r="X116" s="22">
        <f ca="1">ts2bElec*SUMPRODUCT(tpSurvRad,INDEX(tEIdxElec,20)*INDEX(elecRad,1,2)*convFactor)</f>
        <v>5772.7380270893455</v>
      </c>
      <c r="Y116" s="22">
        <f ca="1">ts2bElec*SUMPRODUCT(tpSurvRad,INDEX(tEIdxElec,21)*INDEX(elecRad,1,2)*convFactor)</f>
        <v>5774.2862591025278</v>
      </c>
      <c r="Z116" s="22">
        <f ca="1">ts2bElec*SUMPRODUCT(tpSurvRad,INDEX(tEIdxElec,22)*INDEX(elecRad,1,2)*convFactor)</f>
        <v>5775.3237934519184</v>
      </c>
      <c r="AA116" s="22">
        <f ca="1">ts2bElec*SUMPRODUCT(tpSurvRad,INDEX(tEIdxElec,23)*INDEX(elecRad,1,2)*convFactor)</f>
        <v>5776.0075976533089</v>
      </c>
      <c r="AB116" s="22">
        <f ca="1">ts2bElec*SUMPRODUCT(tpSurvRad,INDEX(tEIdxElec,24)*INDEX(elecRad,1,2)*convFactor)</f>
        <v>5776.0075976533089</v>
      </c>
      <c r="AC116" s="22">
        <f ca="1">ts2bElec*SUMPRODUCT(tpSurvRad,INDEX(tEIdxElec,25)*INDEX(elecRad,1,2)*convFactor)</f>
        <v>5776.0075976533089</v>
      </c>
      <c r="AD116" s="22">
        <f ca="1">ts2bElec*SUMPRODUCT(tpSurvRad,INDEX(tEIdxElec,26)*INDEX(elecRad,1,2)*convFactor)</f>
        <v>5776.0075976533089</v>
      </c>
      <c r="AE116" s="22">
        <f ca="1">ts2bElec*SUMPRODUCT(tpSurvRad,INDEX(tEIdxElec,27)*INDEX(elecRad,1,2)*convFactor)</f>
        <v>5776.0075976533089</v>
      </c>
      <c r="AF116" s="22">
        <f ca="1">ts2bElec*SUMPRODUCT(tpSurvRad,INDEX(tEIdxElec,28)*INDEX(elecRad,1,2)*convFactor)</f>
        <v>5776.0075976533089</v>
      </c>
      <c r="AG116" s="22">
        <f ca="1">ts2bElec*SUMPRODUCT(tpSurvRad,INDEX(tEIdxElec,29)*INDEX(elecRad,1,2)*convFactor)</f>
        <v>5776.0075976533089</v>
      </c>
      <c r="AH116" s="22">
        <f ca="1">ts2bElec*SUMPRODUCT(tpSurvRad,INDEX(tEIdxElec,30)*INDEX(elecRad,1,2)*convFactor)</f>
        <v>5776.0075976533089</v>
      </c>
      <c r="AI116" s="22">
        <f ca="1">ts2bElec*SUMPRODUCT(tpSurvRad,INDEX(tEIdxElec,31)*INDEX(elecRad,1,2)*convFactor)</f>
        <v>5776.0075976533089</v>
      </c>
      <c r="AJ116" s="22">
        <f ca="1">ts2bElec*SUMPRODUCT(tpSurvRad,INDEX(tEIdxElec,32)*INDEX(elecRad,1,2)*convFactor)</f>
        <v>5776.0075976533089</v>
      </c>
      <c r="AK116" s="25">
        <f ca="1">ts2bElec*SUMPRODUCT(tpSurvRad,INDEX(tEIdxElec,33)*INDEX(elecRad,1,2)*convFactor)</f>
        <v>5776.0075976533089</v>
      </c>
      <c r="AL116" s="3"/>
    </row>
    <row r="117" spans="2:38">
      <c r="B117" s="3"/>
      <c r="C117" s="30" t="str">
        <f>"EL 2: " &amp; INDEX(_doName,6,3)</f>
        <v>EL 2: EL 2</v>
      </c>
      <c r="D117" s="31"/>
      <c r="E117" s="140"/>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2"/>
      <c r="AL117" s="3"/>
    </row>
    <row r="118" spans="2:38">
      <c r="B118" s="3"/>
      <c r="C118" s="23" t="s">
        <v>39</v>
      </c>
      <c r="D118" s="16" t="str">
        <f>_yearDol &amp; "$"</f>
        <v>2013$</v>
      </c>
      <c r="E118" s="141">
        <f t="array" aca="1" ref="E118:AK118" ca="1">(1+INDEX(vadRad,1,3))*INDEX(mspRad,1,3)*tPIdxAll + INDEX(instRad,1,3) + SUMPRODUCT(dFactor,tpSurvRad,INDEX(mrRad,1,3)*allOnes)</f>
        <v>2365.8775770000002</v>
      </c>
      <c r="F118" s="28">
        <f ca="1"/>
        <v>2365.8775770000002</v>
      </c>
      <c r="G118" s="28">
        <f ca="1"/>
        <v>2365.8775770000002</v>
      </c>
      <c r="H118" s="28">
        <f ca="1"/>
        <v>2365.8775770000002</v>
      </c>
      <c r="I118" s="28">
        <f ca="1"/>
        <v>2365.8775770000002</v>
      </c>
      <c r="J118" s="28">
        <f ca="1"/>
        <v>2365.8775770000002</v>
      </c>
      <c r="K118" s="28">
        <f ca="1"/>
        <v>2365.8775770000002</v>
      </c>
      <c r="L118" s="28">
        <f ca="1"/>
        <v>2365.8775770000002</v>
      </c>
      <c r="M118" s="28">
        <f ca="1"/>
        <v>2365.8775770000002</v>
      </c>
      <c r="N118" s="28">
        <f ca="1"/>
        <v>2365.8775770000002</v>
      </c>
      <c r="O118" s="28">
        <f ca="1"/>
        <v>2365.8775770000002</v>
      </c>
      <c r="P118" s="28">
        <f ca="1"/>
        <v>2365.8775770000002</v>
      </c>
      <c r="Q118" s="28">
        <f ca="1"/>
        <v>2365.8775770000002</v>
      </c>
      <c r="R118" s="28">
        <f ca="1"/>
        <v>2365.8775770000002</v>
      </c>
      <c r="S118" s="28">
        <f ca="1"/>
        <v>2365.8775770000002</v>
      </c>
      <c r="T118" s="28">
        <f ca="1"/>
        <v>2365.8775770000002</v>
      </c>
      <c r="U118" s="28">
        <f ca="1"/>
        <v>2365.8775770000002</v>
      </c>
      <c r="V118" s="28">
        <f ca="1"/>
        <v>2365.8775770000002</v>
      </c>
      <c r="W118" s="28">
        <f ca="1"/>
        <v>2365.8775770000002</v>
      </c>
      <c r="X118" s="28">
        <f ca="1"/>
        <v>2365.8775770000002</v>
      </c>
      <c r="Y118" s="28">
        <f ca="1"/>
        <v>2365.8775770000002</v>
      </c>
      <c r="Z118" s="28">
        <f ca="1"/>
        <v>2365.8775770000002</v>
      </c>
      <c r="AA118" s="28">
        <f ca="1"/>
        <v>2365.8775770000002</v>
      </c>
      <c r="AB118" s="28">
        <f ca="1"/>
        <v>2365.8775770000002</v>
      </c>
      <c r="AC118" s="28">
        <f ca="1"/>
        <v>2365.8775770000002</v>
      </c>
      <c r="AD118" s="28">
        <f ca="1"/>
        <v>2365.8775770000002</v>
      </c>
      <c r="AE118" s="28">
        <f ca="1"/>
        <v>2365.8775770000002</v>
      </c>
      <c r="AF118" s="28">
        <f ca="1"/>
        <v>2365.8775770000002</v>
      </c>
      <c r="AG118" s="28">
        <f ca="1"/>
        <v>2365.8775770000002</v>
      </c>
      <c r="AH118" s="28">
        <f ca="1"/>
        <v>2365.8775770000002</v>
      </c>
      <c r="AI118" s="28">
        <f ca="1"/>
        <v>2365.8775770000002</v>
      </c>
      <c r="AJ118" s="28">
        <f ca="1"/>
        <v>2365.8775770000002</v>
      </c>
      <c r="AK118" s="29">
        <f ca="1"/>
        <v>2365.8775770000002</v>
      </c>
      <c r="AL118" s="3"/>
    </row>
    <row r="119" spans="2:38">
      <c r="B119" s="3"/>
      <c r="C119" s="23" t="s">
        <v>47</v>
      </c>
      <c r="D119" s="16" t="str">
        <f>_yearDol &amp; "$"</f>
        <v>2013$</v>
      </c>
      <c r="E119" s="141">
        <f t="array" aca="1" ref="E119:AK119" ca="1">(tlccEFubcElec2)</f>
        <v>106248.66325690194</v>
      </c>
      <c r="F119" s="28">
        <f ca="1"/>
        <v>106715.33722651884</v>
      </c>
      <c r="G119" s="28">
        <f ca="1"/>
        <v>107129.43518075754</v>
      </c>
      <c r="H119" s="28">
        <f ca="1"/>
        <v>107579.9515528015</v>
      </c>
      <c r="I119" s="28">
        <f ca="1"/>
        <v>107977.21907122158</v>
      </c>
      <c r="J119" s="28">
        <f ca="1"/>
        <v>108409.68553331292</v>
      </c>
      <c r="K119" s="28">
        <f ca="1"/>
        <v>108787.78596131326</v>
      </c>
      <c r="L119" s="28">
        <f ca="1"/>
        <v>109199.80424816087</v>
      </c>
      <c r="M119" s="28">
        <f ca="1"/>
        <v>109648.23514224029</v>
      </c>
      <c r="N119" s="28">
        <f ca="1"/>
        <v>110043.30931351984</v>
      </c>
      <c r="O119" s="28">
        <f ca="1"/>
        <v>110473.54581398182</v>
      </c>
      <c r="P119" s="28">
        <f ca="1"/>
        <v>110941.92867232992</v>
      </c>
      <c r="Q119" s="28">
        <f ca="1"/>
        <v>111358.1940781603</v>
      </c>
      <c r="R119" s="28">
        <f ca="1"/>
        <v>111811.45414938559</v>
      </c>
      <c r="S119" s="28">
        <f ca="1"/>
        <v>112211.79430910625</v>
      </c>
      <c r="T119" s="28">
        <f ca="1"/>
        <v>112647.91001894994</v>
      </c>
      <c r="U119" s="28">
        <f ca="1"/>
        <v>113122.73644062558</v>
      </c>
      <c r="V119" s="28">
        <f ca="1"/>
        <v>113546.066023772</v>
      </c>
      <c r="W119" s="28">
        <f ca="1"/>
        <v>114007.08796209964</v>
      </c>
      <c r="X119" s="28">
        <f ca="1"/>
        <v>114415.80148307781</v>
      </c>
      <c r="Y119" s="28">
        <f ca="1"/>
        <v>114861.17160268297</v>
      </c>
      <c r="Z119" s="28">
        <f ca="1"/>
        <v>115346.2092157554</v>
      </c>
      <c r="AA119" s="28">
        <f ca="1"/>
        <v>115780.54931698089</v>
      </c>
      <c r="AB119" s="28">
        <f ca="1"/>
        <v>116253.61643425781</v>
      </c>
      <c r="AC119" s="28">
        <f ca="1"/>
        <v>116675.26528183724</v>
      </c>
      <c r="AD119" s="28">
        <f ca="1"/>
        <v>117134.62423281347</v>
      </c>
      <c r="AE119" s="28">
        <f ca="1"/>
        <v>117634.28359037262</v>
      </c>
      <c r="AF119" s="28">
        <f ca="1"/>
        <v>118084.58364391794</v>
      </c>
      <c r="AG119" s="28">
        <f ca="1"/>
        <v>118575.1676965293</v>
      </c>
      <c r="AH119" s="28">
        <f ca="1"/>
        <v>119015.72512740701</v>
      </c>
      <c r="AI119" s="28">
        <f ca="1"/>
        <v>119495.71004973196</v>
      </c>
      <c r="AJ119" s="28">
        <f ca="1"/>
        <v>119924.9890491361</v>
      </c>
      <c r="AK119" s="29">
        <f ca="1"/>
        <v>120392.9464541218</v>
      </c>
      <c r="AL119" s="3"/>
    </row>
    <row r="120" spans="2:38">
      <c r="B120" s="3"/>
      <c r="C120" s="27" t="str">
        <f>INDEX(_fuel,1)</f>
        <v>Electricity</v>
      </c>
      <c r="D120" s="16" t="str">
        <f>_yearDol &amp; "$"</f>
        <v>2013$</v>
      </c>
      <c r="E120" s="141">
        <f ca="1">SUMPRODUCT(dFactor,tpSurvRad,INDEX(tEIdxElec,1)*INDEX(elecRad,1,3)*allOnes,OFFSET(tPrcElec,0,0,1,_maxLT))</f>
        <v>106248.66325690194</v>
      </c>
      <c r="F120" s="28">
        <f ca="1">SUMPRODUCT(dFactor,tpSurvRad,INDEX(tEIdxElec,2)*INDEX(elecRad,1,3)*allOnes,OFFSET(tPrcElec,0,1,1,_maxLT))</f>
        <v>106715.33722651884</v>
      </c>
      <c r="G120" s="28">
        <f ca="1">SUMPRODUCT(dFactor,tpSurvRad,INDEX(tEIdxElec,3)*INDEX(elecRad,1,3)*allOnes,OFFSET(tPrcElec,0,2,1,_maxLT))</f>
        <v>107129.43518075754</v>
      </c>
      <c r="H120" s="28">
        <f ca="1">SUMPRODUCT(dFactor,tpSurvRad,INDEX(tEIdxElec,4)*INDEX(elecRad,1,3)*allOnes,OFFSET(tPrcElec,0,3,1,_maxLT))</f>
        <v>107579.9515528015</v>
      </c>
      <c r="I120" s="28">
        <f ca="1">SUMPRODUCT(dFactor,tpSurvRad,INDEX(tEIdxElec,5)*INDEX(elecRad,1,3)*allOnes,OFFSET(tPrcElec,0,4,1,_maxLT))</f>
        <v>107977.21907122158</v>
      </c>
      <c r="J120" s="28">
        <f ca="1">SUMPRODUCT(dFactor,tpSurvRad,INDEX(tEIdxElec,6)*INDEX(elecRad,1,3)*allOnes,OFFSET(tPrcElec,0,5,1,_maxLT))</f>
        <v>108409.68553331292</v>
      </c>
      <c r="K120" s="28">
        <f ca="1">SUMPRODUCT(dFactor,tpSurvRad,INDEX(tEIdxElec,7)*INDEX(elecRad,1,3)*allOnes,OFFSET(tPrcElec,0,6,1,_maxLT))</f>
        <v>108787.78596131326</v>
      </c>
      <c r="L120" s="28">
        <f ca="1">SUMPRODUCT(dFactor,tpSurvRad,INDEX(tEIdxElec,8)*INDEX(elecRad,1,3)*allOnes,OFFSET(tPrcElec,0,7,1,_maxLT))</f>
        <v>109199.80424816087</v>
      </c>
      <c r="M120" s="28">
        <f ca="1">SUMPRODUCT(dFactor,tpSurvRad,INDEX(tEIdxElec,9)*INDEX(elecRad,1,3)*allOnes,OFFSET(tPrcElec,0,8,1,_maxLT))</f>
        <v>109648.23514224029</v>
      </c>
      <c r="N120" s="28">
        <f ca="1">SUMPRODUCT(dFactor,tpSurvRad,INDEX(tEIdxElec,10)*INDEX(elecRad,1,3)*allOnes,OFFSET(tPrcElec,0,9,1,_maxLT))</f>
        <v>110043.30931351984</v>
      </c>
      <c r="O120" s="28">
        <f ca="1">SUMPRODUCT(dFactor,tpSurvRad,INDEX(tEIdxElec,11)*INDEX(elecRad,1,3)*allOnes,OFFSET(tPrcElec,0,10,1,_maxLT))</f>
        <v>110473.54581398182</v>
      </c>
      <c r="P120" s="28">
        <f ca="1">SUMPRODUCT(dFactor,tpSurvRad,INDEX(tEIdxElec,12)*INDEX(elecRad,1,3)*allOnes,OFFSET(tPrcElec,0,11,1,_maxLT))</f>
        <v>110941.92867232992</v>
      </c>
      <c r="Q120" s="28">
        <f ca="1">SUMPRODUCT(dFactor,tpSurvRad,INDEX(tEIdxElec,13)*INDEX(elecRad,1,3)*allOnes,OFFSET(tPrcElec,0,12,1,_maxLT))</f>
        <v>111358.1940781603</v>
      </c>
      <c r="R120" s="28">
        <f ca="1">SUMPRODUCT(dFactor,tpSurvRad,INDEX(tEIdxElec,14)*INDEX(elecRad,1,3)*allOnes,OFFSET(tPrcElec,0,13,1,_maxLT))</f>
        <v>111811.45414938559</v>
      </c>
      <c r="S120" s="28">
        <f ca="1">SUMPRODUCT(dFactor,tpSurvRad,INDEX(tEIdxElec,15)*INDEX(elecRad,1,3)*allOnes,OFFSET(tPrcElec,0,14,1,_maxLT))</f>
        <v>112211.79430910625</v>
      </c>
      <c r="T120" s="28">
        <f ca="1">SUMPRODUCT(dFactor,tpSurvRad,INDEX(tEIdxElec,16)*INDEX(elecRad,1,3)*allOnes,OFFSET(tPrcElec,0,15,1,_maxLT))</f>
        <v>112647.91001894994</v>
      </c>
      <c r="U120" s="28">
        <f ca="1">SUMPRODUCT(dFactor,tpSurvRad,INDEX(tEIdxElec,17)*INDEX(elecRad,1,3)*allOnes,OFFSET(tPrcElec,0,16,1,_maxLT))</f>
        <v>113122.73644062558</v>
      </c>
      <c r="V120" s="28">
        <f ca="1">SUMPRODUCT(dFactor,tpSurvRad,INDEX(tEIdxElec,18)*INDEX(elecRad,1,3)*allOnes,OFFSET(tPrcElec,0,17,1,_maxLT))</f>
        <v>113546.066023772</v>
      </c>
      <c r="W120" s="28">
        <f ca="1">SUMPRODUCT(dFactor,tpSurvRad,INDEX(tEIdxElec,19)*INDEX(elecRad,1,3)*allOnes,OFFSET(tPrcElec,0,18,1,_maxLT))</f>
        <v>114007.08796209964</v>
      </c>
      <c r="X120" s="28">
        <f ca="1">SUMPRODUCT(dFactor,tpSurvRad,INDEX(tEIdxElec,20)*INDEX(elecRad,1,3)*allOnes,OFFSET(tPrcElec,0,19,1,_maxLT))</f>
        <v>114415.80148307781</v>
      </c>
      <c r="Y120" s="28">
        <f ca="1">SUMPRODUCT(dFactor,tpSurvRad,INDEX(tEIdxElec,21)*INDEX(elecRad,1,3)*allOnes,OFFSET(tPrcElec,0,20,1,_maxLT))</f>
        <v>114861.17160268297</v>
      </c>
      <c r="Z120" s="28">
        <f ca="1">SUMPRODUCT(dFactor,tpSurvRad,INDEX(tEIdxElec,22)*INDEX(elecRad,1,3)*allOnes,OFFSET(tPrcElec,0,21,1,_maxLT))</f>
        <v>115346.2092157554</v>
      </c>
      <c r="AA120" s="28">
        <f ca="1">SUMPRODUCT(dFactor,tpSurvRad,INDEX(tEIdxElec,23)*INDEX(elecRad,1,3)*allOnes,OFFSET(tPrcElec,0,22,1,_maxLT))</f>
        <v>115780.54931698089</v>
      </c>
      <c r="AB120" s="28">
        <f ca="1">SUMPRODUCT(dFactor,tpSurvRad,INDEX(tEIdxElec,24)*INDEX(elecRad,1,3)*allOnes,OFFSET(tPrcElec,0,23,1,_maxLT))</f>
        <v>116253.61643425781</v>
      </c>
      <c r="AC120" s="28">
        <f ca="1">SUMPRODUCT(dFactor,tpSurvRad,INDEX(tEIdxElec,25)*INDEX(elecRad,1,3)*allOnes,OFFSET(tPrcElec,0,24,1,_maxLT))</f>
        <v>116675.26528183724</v>
      </c>
      <c r="AD120" s="28">
        <f ca="1">SUMPRODUCT(dFactor,tpSurvRad,INDEX(tEIdxElec,26)*INDEX(elecRad,1,3)*allOnes,OFFSET(tPrcElec,0,25,1,_maxLT))</f>
        <v>117134.62423281347</v>
      </c>
      <c r="AE120" s="28">
        <f ca="1">SUMPRODUCT(dFactor,tpSurvRad,INDEX(tEIdxElec,27)*INDEX(elecRad,1,3)*allOnes,OFFSET(tPrcElec,0,26,1,_maxLT))</f>
        <v>117634.28359037262</v>
      </c>
      <c r="AF120" s="28">
        <f ca="1">SUMPRODUCT(dFactor,tpSurvRad,INDEX(tEIdxElec,28)*INDEX(elecRad,1,3)*allOnes,OFFSET(tPrcElec,0,27,1,_maxLT))</f>
        <v>118084.58364391794</v>
      </c>
      <c r="AG120" s="28">
        <f ca="1">SUMPRODUCT(dFactor,tpSurvRad,INDEX(tEIdxElec,29)*INDEX(elecRad,1,3)*allOnes,OFFSET(tPrcElec,0,28,1,_maxLT))</f>
        <v>118575.1676965293</v>
      </c>
      <c r="AH120" s="28">
        <f ca="1">SUMPRODUCT(dFactor,tpSurvRad,INDEX(tEIdxElec,30)*INDEX(elecRad,1,3)*allOnes,OFFSET(tPrcElec,0,29,1,_maxLT))</f>
        <v>119015.72512740701</v>
      </c>
      <c r="AI120" s="28">
        <f ca="1">SUMPRODUCT(dFactor,tpSurvRad,INDEX(tEIdxElec,31)*INDEX(elecRad,1,3)*allOnes,OFFSET(tPrcElec,0,30,1,_maxLT))</f>
        <v>119495.71004973196</v>
      </c>
      <c r="AJ120" s="28">
        <f ca="1">SUMPRODUCT(dFactor,tpSurvRad,INDEX(tEIdxElec,32)*INDEX(elecRad,1,3)*allOnes,OFFSET(tPrcElec,0,31,1,_maxLT))</f>
        <v>119924.9890491361</v>
      </c>
      <c r="AK120" s="29">
        <f ca="1">SUMPRODUCT(dFactor,tpSurvRad,INDEX(tEIdxElec,33)*INDEX(elecRad,1,3)*allOnes,OFFSET(tPrcElec,0,32,1,_maxLT))</f>
        <v>120392.9464541218</v>
      </c>
      <c r="AL120" s="3"/>
    </row>
    <row r="121" spans="2:38">
      <c r="B121" s="3"/>
      <c r="C121" s="23" t="s">
        <v>44</v>
      </c>
      <c r="D121" s="13"/>
      <c r="E121" s="142"/>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4"/>
      <c r="AL121" s="3"/>
    </row>
    <row r="122" spans="2:38">
      <c r="B122" s="3"/>
      <c r="C122" s="27" t="str">
        <f>INDEX(_fuel,1)</f>
        <v>Electricity</v>
      </c>
      <c r="D122" s="16" t="s">
        <v>48</v>
      </c>
      <c r="E122" s="144">
        <f ca="1">ts2bElec*SUMPRODUCT(tpSurvRad,INDEX(tEIdxElec,1)*INDEX(elecRad,1,3)*convFactor)</f>
        <v>24405.043894179471</v>
      </c>
      <c r="F122" s="22">
        <f ca="1">ts2bElec*SUMPRODUCT(tpSurvRad,INDEX(tEIdxElec,2)*INDEX(elecRad,1,3)*convFactor)</f>
        <v>24241.096521780615</v>
      </c>
      <c r="G122" s="22">
        <f ca="1">ts2bElec*SUMPRODUCT(tpSurvRad,INDEX(tEIdxElec,3)*INDEX(elecRad,1,3)*convFactor)</f>
        <v>24075.923463278068</v>
      </c>
      <c r="H122" s="22">
        <f ca="1">ts2bElec*SUMPRODUCT(tpSurvRad,INDEX(tEIdxElec,4)*INDEX(elecRad,1,3)*convFactor)</f>
        <v>23930.914827645611</v>
      </c>
      <c r="I122" s="22">
        <f ca="1">ts2bElec*SUMPRODUCT(tpSurvRad,INDEX(tEIdxElec,5)*INDEX(elecRad,1,3)*convFactor)</f>
        <v>23793.430709979566</v>
      </c>
      <c r="J122" s="22">
        <f ca="1">ts2bElec*SUMPRODUCT(tpSurvRad,INDEX(tEIdxElec,6)*INDEX(elecRad,1,3)*convFactor)</f>
        <v>23673.707522081444</v>
      </c>
      <c r="K122" s="22">
        <f ca="1">ts2bElec*SUMPRODUCT(tpSurvRad,INDEX(tEIdxElec,7)*INDEX(elecRad,1,3)*convFactor)</f>
        <v>23580.887423542012</v>
      </c>
      <c r="L122" s="22">
        <f ca="1">ts2bElec*SUMPRODUCT(tpSurvRad,INDEX(tEIdxElec,8)*INDEX(elecRad,1,3)*convFactor)</f>
        <v>23503.933197359056</v>
      </c>
      <c r="M122" s="22">
        <f ca="1">ts2bElec*SUMPRODUCT(tpSurvRad,INDEX(tEIdxElec,9)*INDEX(elecRad,1,3)*convFactor)</f>
        <v>23426.592495838995</v>
      </c>
      <c r="N122" s="22">
        <f ca="1">ts2bElec*SUMPRODUCT(tpSurvRad,INDEX(tEIdxElec,10)*INDEX(elecRad,1,3)*convFactor)</f>
        <v>23364.705384527733</v>
      </c>
      <c r="O122" s="22">
        <f ca="1">ts2bElec*SUMPRODUCT(tpSurvRad,INDEX(tEIdxElec,11)*INDEX(elecRad,1,3)*convFactor)</f>
        <v>23322.066725503802</v>
      </c>
      <c r="P122" s="22">
        <f ca="1">ts2bElec*SUMPRODUCT(tpSurvRad,INDEX(tEIdxElec,12)*INDEX(elecRad,1,3)*convFactor)</f>
        <v>23290.843751535667</v>
      </c>
      <c r="Q122" s="22">
        <f ca="1">ts2bElec*SUMPRODUCT(tpSurvRad,INDEX(tEIdxElec,13)*INDEX(elecRad,1,3)*convFactor)</f>
        <v>23264.557241532082</v>
      </c>
      <c r="R122" s="22">
        <f ca="1">ts2bElec*SUMPRODUCT(tpSurvRad,INDEX(tEIdxElec,14)*INDEX(elecRad,1,3)*convFactor)</f>
        <v>23245.16450920844</v>
      </c>
      <c r="S122" s="22">
        <f ca="1">ts2bElec*SUMPRODUCT(tpSurvRad,INDEX(tEIdxElec,15)*INDEX(elecRad,1,3)*convFactor)</f>
        <v>23230.381597812011</v>
      </c>
      <c r="T122" s="22">
        <f ca="1">ts2bElec*SUMPRODUCT(tpSurvRad,INDEX(tEIdxElec,16)*INDEX(elecRad,1,3)*convFactor)</f>
        <v>23228.522864634346</v>
      </c>
      <c r="U122" s="22">
        <f ca="1">ts2bElec*SUMPRODUCT(tpSurvRad,INDEX(tEIdxElec,17)*INDEX(elecRad,1,3)*convFactor)</f>
        <v>23232.308561404654</v>
      </c>
      <c r="V122" s="22">
        <f ca="1">ts2bElec*SUMPRODUCT(tpSurvRad,INDEX(tEIdxElec,18)*INDEX(elecRad,1,3)*convFactor)</f>
        <v>23237.878040460761</v>
      </c>
      <c r="W122" s="22">
        <f ca="1">ts2bElec*SUMPRODUCT(tpSurvRad,INDEX(tEIdxElec,19)*INDEX(elecRad,1,3)*convFactor)</f>
        <v>23245.843167153063</v>
      </c>
      <c r="X122" s="22">
        <f ca="1">ts2bElec*SUMPRODUCT(tpSurvRad,INDEX(tEIdxElec,20)*INDEX(elecRad,1,3)*convFactor)</f>
        <v>23253.370126315716</v>
      </c>
      <c r="Y122" s="22">
        <f ca="1">ts2bElec*SUMPRODUCT(tpSurvRad,INDEX(tEIdxElec,21)*INDEX(elecRad,1,3)*convFactor)</f>
        <v>23259.606614421533</v>
      </c>
      <c r="Z122" s="22">
        <f ca="1">ts2bElec*SUMPRODUCT(tpSurvRad,INDEX(tEIdxElec,22)*INDEX(elecRad,1,3)*convFactor)</f>
        <v>23263.785943213508</v>
      </c>
      <c r="AA122" s="22">
        <f ca="1">ts2bElec*SUMPRODUCT(tpSurvRad,INDEX(tEIdxElec,23)*INDEX(elecRad,1,3)*convFactor)</f>
        <v>23266.540399091158</v>
      </c>
      <c r="AB122" s="22">
        <f ca="1">ts2bElec*SUMPRODUCT(tpSurvRad,INDEX(tEIdxElec,24)*INDEX(elecRad,1,3)*convFactor)</f>
        <v>23266.540399091158</v>
      </c>
      <c r="AC122" s="22">
        <f ca="1">ts2bElec*SUMPRODUCT(tpSurvRad,INDEX(tEIdxElec,25)*INDEX(elecRad,1,3)*convFactor)</f>
        <v>23266.540399091158</v>
      </c>
      <c r="AD122" s="22">
        <f ca="1">ts2bElec*SUMPRODUCT(tpSurvRad,INDEX(tEIdxElec,26)*INDEX(elecRad,1,3)*convFactor)</f>
        <v>23266.540399091158</v>
      </c>
      <c r="AE122" s="22">
        <f ca="1">ts2bElec*SUMPRODUCT(tpSurvRad,INDEX(tEIdxElec,27)*INDEX(elecRad,1,3)*convFactor)</f>
        <v>23266.540399091158</v>
      </c>
      <c r="AF122" s="22">
        <f ca="1">ts2bElec*SUMPRODUCT(tpSurvRad,INDEX(tEIdxElec,28)*INDEX(elecRad,1,3)*convFactor)</f>
        <v>23266.540399091158</v>
      </c>
      <c r="AG122" s="22">
        <f ca="1">ts2bElec*SUMPRODUCT(tpSurvRad,INDEX(tEIdxElec,29)*INDEX(elecRad,1,3)*convFactor)</f>
        <v>23266.540399091158</v>
      </c>
      <c r="AH122" s="22">
        <f ca="1">ts2bElec*SUMPRODUCT(tpSurvRad,INDEX(tEIdxElec,30)*INDEX(elecRad,1,3)*convFactor)</f>
        <v>23266.540399091158</v>
      </c>
      <c r="AI122" s="22">
        <f ca="1">ts2bElec*SUMPRODUCT(tpSurvRad,INDEX(tEIdxElec,31)*INDEX(elecRad,1,3)*convFactor)</f>
        <v>23266.540399091158</v>
      </c>
      <c r="AJ122" s="22">
        <f ca="1">ts2bElec*SUMPRODUCT(tpSurvRad,INDEX(tEIdxElec,32)*INDEX(elecRad,1,3)*convFactor)</f>
        <v>23266.540399091158</v>
      </c>
      <c r="AK122" s="25">
        <f ca="1">ts2bElec*SUMPRODUCT(tpSurvRad,INDEX(tEIdxElec,33)*INDEX(elecRad,1,3)*convFactor)</f>
        <v>23266.540399091158</v>
      </c>
      <c r="AL122" s="3"/>
    </row>
    <row r="123" spans="2:38">
      <c r="B123" s="3"/>
      <c r="C123" s="30" t="str">
        <f>"EL 3: " &amp; INDEX(_doName,6,4)</f>
        <v>EL 3: EL 3</v>
      </c>
      <c r="D123" s="31"/>
      <c r="E123" s="140"/>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2"/>
      <c r="AL123" s="3"/>
    </row>
    <row r="124" spans="2:38">
      <c r="B124" s="3"/>
      <c r="C124" s="23" t="s">
        <v>39</v>
      </c>
      <c r="D124" s="16" t="str">
        <f>_yearDol &amp; "$"</f>
        <v>2013$</v>
      </c>
      <c r="E124" s="141">
        <f t="array" aca="1" ref="E124:AK124" ca="1">(1+INDEX(vadRad,1,4))*INDEX(mspRad,1,4)*tPIdxAll + INDEX(instRad,1,4) + SUMPRODUCT(dFactor,tpSurvRad,INDEX(mrRad,1,4)*allOnes)</f>
        <v>1984.217011</v>
      </c>
      <c r="F124" s="28">
        <f ca="1"/>
        <v>1984.217011</v>
      </c>
      <c r="G124" s="28">
        <f ca="1"/>
        <v>1984.217011</v>
      </c>
      <c r="H124" s="28">
        <f ca="1"/>
        <v>1984.217011</v>
      </c>
      <c r="I124" s="28">
        <f ca="1"/>
        <v>1984.217011</v>
      </c>
      <c r="J124" s="28">
        <f ca="1"/>
        <v>1984.217011</v>
      </c>
      <c r="K124" s="28">
        <f ca="1"/>
        <v>1984.217011</v>
      </c>
      <c r="L124" s="28">
        <f ca="1"/>
        <v>1984.217011</v>
      </c>
      <c r="M124" s="28">
        <f ca="1"/>
        <v>1984.217011</v>
      </c>
      <c r="N124" s="28">
        <f ca="1"/>
        <v>1984.217011</v>
      </c>
      <c r="O124" s="28">
        <f ca="1"/>
        <v>1984.217011</v>
      </c>
      <c r="P124" s="28">
        <f ca="1"/>
        <v>1984.217011</v>
      </c>
      <c r="Q124" s="28">
        <f ca="1"/>
        <v>1984.217011</v>
      </c>
      <c r="R124" s="28">
        <f ca="1"/>
        <v>1984.217011</v>
      </c>
      <c r="S124" s="28">
        <f ca="1"/>
        <v>1984.217011</v>
      </c>
      <c r="T124" s="28">
        <f ca="1"/>
        <v>1984.217011</v>
      </c>
      <c r="U124" s="28">
        <f ca="1"/>
        <v>1984.217011</v>
      </c>
      <c r="V124" s="28">
        <f ca="1"/>
        <v>1984.217011</v>
      </c>
      <c r="W124" s="28">
        <f ca="1"/>
        <v>1984.217011</v>
      </c>
      <c r="X124" s="28">
        <f ca="1"/>
        <v>1984.217011</v>
      </c>
      <c r="Y124" s="28">
        <f ca="1"/>
        <v>1984.217011</v>
      </c>
      <c r="Z124" s="28">
        <f ca="1"/>
        <v>1984.217011</v>
      </c>
      <c r="AA124" s="28">
        <f ca="1"/>
        <v>1984.217011</v>
      </c>
      <c r="AB124" s="28">
        <f ca="1"/>
        <v>1984.217011</v>
      </c>
      <c r="AC124" s="28">
        <f ca="1"/>
        <v>1984.217011</v>
      </c>
      <c r="AD124" s="28">
        <f ca="1"/>
        <v>1984.217011</v>
      </c>
      <c r="AE124" s="28">
        <f ca="1"/>
        <v>1984.217011</v>
      </c>
      <c r="AF124" s="28">
        <f ca="1"/>
        <v>1984.217011</v>
      </c>
      <c r="AG124" s="28">
        <f ca="1"/>
        <v>1984.217011</v>
      </c>
      <c r="AH124" s="28">
        <f ca="1"/>
        <v>1984.217011</v>
      </c>
      <c r="AI124" s="28">
        <f ca="1"/>
        <v>1984.217011</v>
      </c>
      <c r="AJ124" s="28">
        <f ca="1"/>
        <v>1984.217011</v>
      </c>
      <c r="AK124" s="29">
        <f ca="1"/>
        <v>1984.217011</v>
      </c>
      <c r="AL124" s="3"/>
    </row>
    <row r="125" spans="2:38">
      <c r="B125" s="3"/>
      <c r="C125" s="23" t="s">
        <v>47</v>
      </c>
      <c r="D125" s="16" t="str">
        <f>_yearDol &amp; "$"</f>
        <v>2013$</v>
      </c>
      <c r="E125" s="141">
        <f t="array" aca="1" ref="E125:AK125" ca="1">(tlccEFubcElec3)</f>
        <v>112952.73371609411</v>
      </c>
      <c r="F125" s="28">
        <f ca="1"/>
        <v>113448.85384604734</v>
      </c>
      <c r="G125" s="28">
        <f ca="1"/>
        <v>113889.08052301186</v>
      </c>
      <c r="H125" s="28">
        <f ca="1"/>
        <v>114368.02354447066</v>
      </c>
      <c r="I125" s="28">
        <f ca="1"/>
        <v>114790.3578199961</v>
      </c>
      <c r="J125" s="28">
        <f ca="1"/>
        <v>115250.1120195914</v>
      </c>
      <c r="K125" s="28">
        <f ca="1"/>
        <v>115652.06980101409</v>
      </c>
      <c r="L125" s="28">
        <f ca="1"/>
        <v>116090.08558788498</v>
      </c>
      <c r="M125" s="28">
        <f ca="1"/>
        <v>116566.81154204172</v>
      </c>
      <c r="N125" s="28">
        <f ca="1"/>
        <v>116986.8140747677</v>
      </c>
      <c r="O125" s="28">
        <f ca="1"/>
        <v>117444.19760677622</v>
      </c>
      <c r="P125" s="28">
        <f ca="1"/>
        <v>117942.134452798</v>
      </c>
      <c r="Q125" s="28">
        <f ca="1"/>
        <v>118384.66534305777</v>
      </c>
      <c r="R125" s="28">
        <f ca="1"/>
        <v>118866.5251854302</v>
      </c>
      <c r="S125" s="28">
        <f ca="1"/>
        <v>119292.12597955453</v>
      </c>
      <c r="T125" s="28">
        <f ca="1"/>
        <v>119755.75968687254</v>
      </c>
      <c r="U125" s="28">
        <f ca="1"/>
        <v>120260.54667171404</v>
      </c>
      <c r="V125" s="28">
        <f ca="1"/>
        <v>120710.58747423839</v>
      </c>
      <c r="W125" s="28">
        <f ca="1"/>
        <v>121200.69894144143</v>
      </c>
      <c r="X125" s="28">
        <f ca="1"/>
        <v>121635.20143856553</v>
      </c>
      <c r="Y125" s="28">
        <f ca="1"/>
        <v>122108.6734897219</v>
      </c>
      <c r="Z125" s="28">
        <f ca="1"/>
        <v>122624.31597097545</v>
      </c>
      <c r="AA125" s="28">
        <f ca="1"/>
        <v>123086.06203245126</v>
      </c>
      <c r="AB125" s="28">
        <f ca="1"/>
        <v>123588.97870443246</v>
      </c>
      <c r="AC125" s="28">
        <f ca="1"/>
        <v>124037.23272045875</v>
      </c>
      <c r="AD125" s="28">
        <f ca="1"/>
        <v>124525.57626925492</v>
      </c>
      <c r="AE125" s="28">
        <f ca="1"/>
        <v>125056.76309676988</v>
      </c>
      <c r="AF125" s="28">
        <f ca="1"/>
        <v>125535.4761504811</v>
      </c>
      <c r="AG125" s="28">
        <f ca="1"/>
        <v>126057.01504011385</v>
      </c>
      <c r="AH125" s="28">
        <f ca="1"/>
        <v>126525.37073185798</v>
      </c>
      <c r="AI125" s="28">
        <f ca="1"/>
        <v>127035.64170804921</v>
      </c>
      <c r="AJ125" s="28">
        <f ca="1"/>
        <v>127492.00732266743</v>
      </c>
      <c r="AK125" s="29">
        <f ca="1"/>
        <v>127989.49187010144</v>
      </c>
      <c r="AL125" s="3"/>
    </row>
    <row r="126" spans="2:38">
      <c r="B126" s="3"/>
      <c r="C126" s="27" t="str">
        <f>INDEX(_fuel,1)</f>
        <v>Electricity</v>
      </c>
      <c r="D126" s="16" t="str">
        <f>_yearDol &amp; "$"</f>
        <v>2013$</v>
      </c>
      <c r="E126" s="141">
        <f ca="1">SUMPRODUCT(dFactor,tpSurvRad,INDEX(tEIdxElec,1)*INDEX(elecRad,1,4)*allOnes,OFFSET(tPrcElec,0,0,1,_maxLT))</f>
        <v>112952.73371609411</v>
      </c>
      <c r="F126" s="28">
        <f ca="1">SUMPRODUCT(dFactor,tpSurvRad,INDEX(tEIdxElec,2)*INDEX(elecRad,1,4)*allOnes,OFFSET(tPrcElec,0,1,1,_maxLT))</f>
        <v>113448.85384604734</v>
      </c>
      <c r="G126" s="28">
        <f ca="1">SUMPRODUCT(dFactor,tpSurvRad,INDEX(tEIdxElec,3)*INDEX(elecRad,1,4)*allOnes,OFFSET(tPrcElec,0,2,1,_maxLT))</f>
        <v>113889.08052301186</v>
      </c>
      <c r="H126" s="28">
        <f ca="1">SUMPRODUCT(dFactor,tpSurvRad,INDEX(tEIdxElec,4)*INDEX(elecRad,1,4)*allOnes,OFFSET(tPrcElec,0,3,1,_maxLT))</f>
        <v>114368.02354447066</v>
      </c>
      <c r="I126" s="28">
        <f ca="1">SUMPRODUCT(dFactor,tpSurvRad,INDEX(tEIdxElec,5)*INDEX(elecRad,1,4)*allOnes,OFFSET(tPrcElec,0,4,1,_maxLT))</f>
        <v>114790.3578199961</v>
      </c>
      <c r="J126" s="28">
        <f ca="1">SUMPRODUCT(dFactor,tpSurvRad,INDEX(tEIdxElec,6)*INDEX(elecRad,1,4)*allOnes,OFFSET(tPrcElec,0,5,1,_maxLT))</f>
        <v>115250.1120195914</v>
      </c>
      <c r="K126" s="28">
        <f ca="1">SUMPRODUCT(dFactor,tpSurvRad,INDEX(tEIdxElec,7)*INDEX(elecRad,1,4)*allOnes,OFFSET(tPrcElec,0,6,1,_maxLT))</f>
        <v>115652.06980101409</v>
      </c>
      <c r="L126" s="28">
        <f ca="1">SUMPRODUCT(dFactor,tpSurvRad,INDEX(tEIdxElec,8)*INDEX(elecRad,1,4)*allOnes,OFFSET(tPrcElec,0,7,1,_maxLT))</f>
        <v>116090.08558788498</v>
      </c>
      <c r="M126" s="28">
        <f ca="1">SUMPRODUCT(dFactor,tpSurvRad,INDEX(tEIdxElec,9)*INDEX(elecRad,1,4)*allOnes,OFFSET(tPrcElec,0,8,1,_maxLT))</f>
        <v>116566.81154204172</v>
      </c>
      <c r="N126" s="28">
        <f ca="1">SUMPRODUCT(dFactor,tpSurvRad,INDEX(tEIdxElec,10)*INDEX(elecRad,1,4)*allOnes,OFFSET(tPrcElec,0,9,1,_maxLT))</f>
        <v>116986.8140747677</v>
      </c>
      <c r="O126" s="28">
        <f ca="1">SUMPRODUCT(dFactor,tpSurvRad,INDEX(tEIdxElec,11)*INDEX(elecRad,1,4)*allOnes,OFFSET(tPrcElec,0,10,1,_maxLT))</f>
        <v>117444.19760677622</v>
      </c>
      <c r="P126" s="28">
        <f ca="1">SUMPRODUCT(dFactor,tpSurvRad,INDEX(tEIdxElec,12)*INDEX(elecRad,1,4)*allOnes,OFFSET(tPrcElec,0,11,1,_maxLT))</f>
        <v>117942.134452798</v>
      </c>
      <c r="Q126" s="28">
        <f ca="1">SUMPRODUCT(dFactor,tpSurvRad,INDEX(tEIdxElec,13)*INDEX(elecRad,1,4)*allOnes,OFFSET(tPrcElec,0,12,1,_maxLT))</f>
        <v>118384.66534305777</v>
      </c>
      <c r="R126" s="28">
        <f ca="1">SUMPRODUCT(dFactor,tpSurvRad,INDEX(tEIdxElec,14)*INDEX(elecRad,1,4)*allOnes,OFFSET(tPrcElec,0,13,1,_maxLT))</f>
        <v>118866.5251854302</v>
      </c>
      <c r="S126" s="28">
        <f ca="1">SUMPRODUCT(dFactor,tpSurvRad,INDEX(tEIdxElec,15)*INDEX(elecRad,1,4)*allOnes,OFFSET(tPrcElec,0,14,1,_maxLT))</f>
        <v>119292.12597955453</v>
      </c>
      <c r="T126" s="28">
        <f ca="1">SUMPRODUCT(dFactor,tpSurvRad,INDEX(tEIdxElec,16)*INDEX(elecRad,1,4)*allOnes,OFFSET(tPrcElec,0,15,1,_maxLT))</f>
        <v>119755.75968687254</v>
      </c>
      <c r="U126" s="28">
        <f ca="1">SUMPRODUCT(dFactor,tpSurvRad,INDEX(tEIdxElec,17)*INDEX(elecRad,1,4)*allOnes,OFFSET(tPrcElec,0,16,1,_maxLT))</f>
        <v>120260.54667171404</v>
      </c>
      <c r="V126" s="28">
        <f ca="1">SUMPRODUCT(dFactor,tpSurvRad,INDEX(tEIdxElec,18)*INDEX(elecRad,1,4)*allOnes,OFFSET(tPrcElec,0,17,1,_maxLT))</f>
        <v>120710.58747423839</v>
      </c>
      <c r="W126" s="28">
        <f ca="1">SUMPRODUCT(dFactor,tpSurvRad,INDEX(tEIdxElec,19)*INDEX(elecRad,1,4)*allOnes,OFFSET(tPrcElec,0,18,1,_maxLT))</f>
        <v>121200.69894144143</v>
      </c>
      <c r="X126" s="28">
        <f ca="1">SUMPRODUCT(dFactor,tpSurvRad,INDEX(tEIdxElec,20)*INDEX(elecRad,1,4)*allOnes,OFFSET(tPrcElec,0,19,1,_maxLT))</f>
        <v>121635.20143856553</v>
      </c>
      <c r="Y126" s="28">
        <f ca="1">SUMPRODUCT(dFactor,tpSurvRad,INDEX(tEIdxElec,21)*INDEX(elecRad,1,4)*allOnes,OFFSET(tPrcElec,0,20,1,_maxLT))</f>
        <v>122108.6734897219</v>
      </c>
      <c r="Z126" s="28">
        <f ca="1">SUMPRODUCT(dFactor,tpSurvRad,INDEX(tEIdxElec,22)*INDEX(elecRad,1,4)*allOnes,OFFSET(tPrcElec,0,21,1,_maxLT))</f>
        <v>122624.31597097545</v>
      </c>
      <c r="AA126" s="28">
        <f ca="1">SUMPRODUCT(dFactor,tpSurvRad,INDEX(tEIdxElec,23)*INDEX(elecRad,1,4)*allOnes,OFFSET(tPrcElec,0,22,1,_maxLT))</f>
        <v>123086.06203245126</v>
      </c>
      <c r="AB126" s="28">
        <f ca="1">SUMPRODUCT(dFactor,tpSurvRad,INDEX(tEIdxElec,24)*INDEX(elecRad,1,4)*allOnes,OFFSET(tPrcElec,0,23,1,_maxLT))</f>
        <v>123588.97870443246</v>
      </c>
      <c r="AC126" s="28">
        <f ca="1">SUMPRODUCT(dFactor,tpSurvRad,INDEX(tEIdxElec,25)*INDEX(elecRad,1,4)*allOnes,OFFSET(tPrcElec,0,24,1,_maxLT))</f>
        <v>124037.23272045875</v>
      </c>
      <c r="AD126" s="28">
        <f ca="1">SUMPRODUCT(dFactor,tpSurvRad,INDEX(tEIdxElec,26)*INDEX(elecRad,1,4)*allOnes,OFFSET(tPrcElec,0,25,1,_maxLT))</f>
        <v>124525.57626925492</v>
      </c>
      <c r="AE126" s="28">
        <f ca="1">SUMPRODUCT(dFactor,tpSurvRad,INDEX(tEIdxElec,27)*INDEX(elecRad,1,4)*allOnes,OFFSET(tPrcElec,0,26,1,_maxLT))</f>
        <v>125056.76309676988</v>
      </c>
      <c r="AF126" s="28">
        <f ca="1">SUMPRODUCT(dFactor,tpSurvRad,INDEX(tEIdxElec,28)*INDEX(elecRad,1,4)*allOnes,OFFSET(tPrcElec,0,27,1,_maxLT))</f>
        <v>125535.4761504811</v>
      </c>
      <c r="AG126" s="28">
        <f ca="1">SUMPRODUCT(dFactor,tpSurvRad,INDEX(tEIdxElec,29)*INDEX(elecRad,1,4)*allOnes,OFFSET(tPrcElec,0,28,1,_maxLT))</f>
        <v>126057.01504011385</v>
      </c>
      <c r="AH126" s="28">
        <f ca="1">SUMPRODUCT(dFactor,tpSurvRad,INDEX(tEIdxElec,30)*INDEX(elecRad,1,4)*allOnes,OFFSET(tPrcElec,0,29,1,_maxLT))</f>
        <v>126525.37073185798</v>
      </c>
      <c r="AI126" s="28">
        <f ca="1">SUMPRODUCT(dFactor,tpSurvRad,INDEX(tEIdxElec,31)*INDEX(elecRad,1,4)*allOnes,OFFSET(tPrcElec,0,30,1,_maxLT))</f>
        <v>127035.64170804921</v>
      </c>
      <c r="AJ126" s="28">
        <f ca="1">SUMPRODUCT(dFactor,tpSurvRad,INDEX(tEIdxElec,32)*INDEX(elecRad,1,4)*allOnes,OFFSET(tPrcElec,0,31,1,_maxLT))</f>
        <v>127492.00732266743</v>
      </c>
      <c r="AK126" s="29">
        <f ca="1">SUMPRODUCT(dFactor,tpSurvRad,INDEX(tEIdxElec,33)*INDEX(elecRad,1,4)*allOnes,OFFSET(tPrcElec,0,32,1,_maxLT))</f>
        <v>127989.49187010144</v>
      </c>
      <c r="AL126" s="3"/>
    </row>
    <row r="127" spans="2:38">
      <c r="B127" s="3"/>
      <c r="C127" s="23" t="s">
        <v>44</v>
      </c>
      <c r="D127" s="13"/>
      <c r="E127" s="142"/>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4"/>
      <c r="AL127" s="3"/>
    </row>
    <row r="128" spans="2:38">
      <c r="B128" s="3"/>
      <c r="C128" s="27" t="str">
        <f>INDEX(_fuel,1)</f>
        <v>Electricity</v>
      </c>
      <c r="D128" s="16" t="s">
        <v>48</v>
      </c>
      <c r="E128" s="144">
        <f ca="1">ts2bElec*SUMPRODUCT(tpSurvRad,INDEX(tEIdxElec,1)*INDEX(elecRad,1,4)*convFactor)</f>
        <v>25944.951586294639</v>
      </c>
      <c r="F128" s="22">
        <f ca="1">ts2bElec*SUMPRODUCT(tpSurvRad,INDEX(tEIdxElec,2)*INDEX(elecRad,1,4)*convFactor)</f>
        <v>25770.659474465949</v>
      </c>
      <c r="G128" s="22">
        <f ca="1">ts2bElec*SUMPRODUCT(tpSurvRad,INDEX(tEIdxElec,3)*INDEX(elecRad,1,4)*convFactor)</f>
        <v>25595.064338280561</v>
      </c>
      <c r="H128" s="22">
        <f ca="1">ts2bElec*SUMPRODUCT(tpSurvRad,INDEX(tEIdxElec,4)*INDEX(elecRad,1,4)*convFactor)</f>
        <v>25440.905958259125</v>
      </c>
      <c r="I128" s="22">
        <f ca="1">ts2bElec*SUMPRODUCT(tpSurvRad,INDEX(tEIdxElec,5)*INDEX(elecRad,1,4)*convFactor)</f>
        <v>25294.746877693779</v>
      </c>
      <c r="J128" s="22">
        <f ca="1">ts2bElec*SUMPRODUCT(tpSurvRad,INDEX(tEIdxElec,6)*INDEX(elecRad,1,4)*convFactor)</f>
        <v>25167.469404756539</v>
      </c>
      <c r="K128" s="22">
        <f ca="1">ts2bElec*SUMPRODUCT(tpSurvRad,INDEX(tEIdxElec,7)*INDEX(elecRad,1,4)*convFactor)</f>
        <v>25068.792550361901</v>
      </c>
      <c r="L128" s="22">
        <f ca="1">ts2bElec*SUMPRODUCT(tpSurvRad,INDEX(tEIdxElec,8)*INDEX(elecRad,1,4)*convFactor)</f>
        <v>24986.982671988615</v>
      </c>
      <c r="M128" s="22">
        <f ca="1">ts2bElec*SUMPRODUCT(tpSurvRad,INDEX(tEIdxElec,9)*INDEX(elecRad,1,4)*convFactor)</f>
        <v>24904.761932485391</v>
      </c>
      <c r="N128" s="22">
        <f ca="1">ts2bElec*SUMPRODUCT(tpSurvRad,INDEX(tEIdxElec,10)*INDEX(elecRad,1,4)*convFactor)</f>
        <v>24838.969872706741</v>
      </c>
      <c r="O128" s="22">
        <f ca="1">ts2bElec*SUMPRODUCT(tpSurvRad,INDEX(tEIdxElec,11)*INDEX(elecRad,1,4)*convFactor)</f>
        <v>24793.640802663798</v>
      </c>
      <c r="P128" s="22">
        <f ca="1">ts2bElec*SUMPRODUCT(tpSurvRad,INDEX(tEIdxElec,12)*INDEX(elecRad,1,4)*convFactor)</f>
        <v>24760.447723745532</v>
      </c>
      <c r="Q128" s="22">
        <f ca="1">ts2bElec*SUMPRODUCT(tpSurvRad,INDEX(tEIdxElec,13)*INDEX(elecRad,1,4)*convFactor)</f>
        <v>24732.502589437518</v>
      </c>
      <c r="R128" s="22">
        <f ca="1">ts2bElec*SUMPRODUCT(tpSurvRad,INDEX(tEIdxElec,14)*INDEX(elecRad,1,4)*convFactor)</f>
        <v>24711.886215894232</v>
      </c>
      <c r="S128" s="22">
        <f ca="1">ts2bElec*SUMPRODUCT(tpSurvRad,INDEX(tEIdxElec,15)*INDEX(elecRad,1,4)*convFactor)</f>
        <v>24696.170533425149</v>
      </c>
      <c r="T128" s="22">
        <f ca="1">ts2bElec*SUMPRODUCT(tpSurvRad,INDEX(tEIdxElec,16)*INDEX(elecRad,1,4)*convFactor)</f>
        <v>24694.19451803606</v>
      </c>
      <c r="U128" s="22">
        <f ca="1">ts2bElec*SUMPRODUCT(tpSurvRad,INDEX(tEIdxElec,17)*INDEX(elecRad,1,4)*convFactor)</f>
        <v>24698.219084427004</v>
      </c>
      <c r="V128" s="22">
        <f ca="1">ts2bElec*SUMPRODUCT(tpSurvRad,INDEX(tEIdxElec,18)*INDEX(elecRad,1,4)*convFactor)</f>
        <v>24704.139986069229</v>
      </c>
      <c r="W128" s="22">
        <f ca="1">ts2bElec*SUMPRODUCT(tpSurvRad,INDEX(tEIdxElec,19)*INDEX(elecRad,1,4)*convFactor)</f>
        <v>24712.607695748691</v>
      </c>
      <c r="X128" s="22">
        <f ca="1">ts2bElec*SUMPRODUCT(tpSurvRad,INDEX(tEIdxElec,20)*INDEX(elecRad,1,4)*convFactor)</f>
        <v>24720.609590435455</v>
      </c>
      <c r="Y128" s="22">
        <f ca="1">ts2bElec*SUMPRODUCT(tpSurvRad,INDEX(tEIdxElec,21)*INDEX(elecRad,1,4)*convFactor)</f>
        <v>24727.239588016095</v>
      </c>
      <c r="Z128" s="22">
        <f ca="1">ts2bElec*SUMPRODUCT(tpSurvRad,INDEX(tEIdxElec,22)*INDEX(elecRad,1,4)*convFactor)</f>
        <v>24731.682623793506</v>
      </c>
      <c r="AA128" s="22">
        <f ca="1">ts2bElec*SUMPRODUCT(tpSurvRad,INDEX(tEIdxElec,23)*INDEX(elecRad,1,4)*convFactor)</f>
        <v>24734.610880128628</v>
      </c>
      <c r="AB128" s="22">
        <f ca="1">ts2bElec*SUMPRODUCT(tpSurvRad,INDEX(tEIdxElec,24)*INDEX(elecRad,1,4)*convFactor)</f>
        <v>24734.610880128628</v>
      </c>
      <c r="AC128" s="22">
        <f ca="1">ts2bElec*SUMPRODUCT(tpSurvRad,INDEX(tEIdxElec,25)*INDEX(elecRad,1,4)*convFactor)</f>
        <v>24734.610880128628</v>
      </c>
      <c r="AD128" s="22">
        <f ca="1">ts2bElec*SUMPRODUCT(tpSurvRad,INDEX(tEIdxElec,26)*INDEX(elecRad,1,4)*convFactor)</f>
        <v>24734.610880128628</v>
      </c>
      <c r="AE128" s="22">
        <f ca="1">ts2bElec*SUMPRODUCT(tpSurvRad,INDEX(tEIdxElec,27)*INDEX(elecRad,1,4)*convFactor)</f>
        <v>24734.610880128628</v>
      </c>
      <c r="AF128" s="22">
        <f ca="1">ts2bElec*SUMPRODUCT(tpSurvRad,INDEX(tEIdxElec,28)*INDEX(elecRad,1,4)*convFactor)</f>
        <v>24734.610880128628</v>
      </c>
      <c r="AG128" s="22">
        <f ca="1">ts2bElec*SUMPRODUCT(tpSurvRad,INDEX(tEIdxElec,29)*INDEX(elecRad,1,4)*convFactor)</f>
        <v>24734.610880128628</v>
      </c>
      <c r="AH128" s="22">
        <f ca="1">ts2bElec*SUMPRODUCT(tpSurvRad,INDEX(tEIdxElec,30)*INDEX(elecRad,1,4)*convFactor)</f>
        <v>24734.610880128628</v>
      </c>
      <c r="AI128" s="22">
        <f ca="1">ts2bElec*SUMPRODUCT(tpSurvRad,INDEX(tEIdxElec,31)*INDEX(elecRad,1,4)*convFactor)</f>
        <v>24734.610880128628</v>
      </c>
      <c r="AJ128" s="22">
        <f ca="1">ts2bElec*SUMPRODUCT(tpSurvRad,INDEX(tEIdxElec,32)*INDEX(elecRad,1,4)*convFactor)</f>
        <v>24734.610880128628</v>
      </c>
      <c r="AK128" s="25">
        <f ca="1">ts2bElec*SUMPRODUCT(tpSurvRad,INDEX(tEIdxElec,33)*INDEX(elecRad,1,4)*convFactor)</f>
        <v>24734.610880128628</v>
      </c>
      <c r="AL128" s="3"/>
    </row>
    <row r="129" spans="2:38">
      <c r="B129" s="3"/>
      <c r="C129" s="30" t="str">
        <f>"EL 4: " &amp; INDEX(_doName,6,5)</f>
        <v>EL 4: EL 4</v>
      </c>
      <c r="D129" s="31"/>
      <c r="E129" s="140"/>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2"/>
      <c r="AL129" s="3"/>
    </row>
    <row r="130" spans="2:38">
      <c r="B130" s="3"/>
      <c r="C130" s="23" t="s">
        <v>39</v>
      </c>
      <c r="D130" s="16" t="str">
        <f>_yearDol &amp; "$"</f>
        <v>2013$</v>
      </c>
      <c r="E130" s="141">
        <f t="array" aca="1" ref="E130:AK130" ca="1">(1+INDEX(vadRad,1,5))*INDEX(mspRad,1,5)*tPIdxAll + INDEX(instRad,1,5) + SUMPRODUCT(dFactor,tpSurvRad,INDEX(mrRad,1,5)*allOnes)</f>
        <v>2032.5232620000002</v>
      </c>
      <c r="F130" s="28">
        <f ca="1"/>
        <v>2032.5232620000002</v>
      </c>
      <c r="G130" s="28">
        <f ca="1"/>
        <v>2032.5232620000002</v>
      </c>
      <c r="H130" s="28">
        <f ca="1"/>
        <v>2032.5232620000002</v>
      </c>
      <c r="I130" s="28">
        <f ca="1"/>
        <v>2032.5232620000002</v>
      </c>
      <c r="J130" s="28">
        <f ca="1"/>
        <v>2032.5232620000002</v>
      </c>
      <c r="K130" s="28">
        <f ca="1"/>
        <v>2032.5232620000002</v>
      </c>
      <c r="L130" s="28">
        <f ca="1"/>
        <v>2032.5232620000002</v>
      </c>
      <c r="M130" s="28">
        <f ca="1"/>
        <v>2032.5232620000002</v>
      </c>
      <c r="N130" s="28">
        <f ca="1"/>
        <v>2032.5232620000002</v>
      </c>
      <c r="O130" s="28">
        <f ca="1"/>
        <v>2032.5232620000002</v>
      </c>
      <c r="P130" s="28">
        <f ca="1"/>
        <v>2032.5232620000002</v>
      </c>
      <c r="Q130" s="28">
        <f ca="1"/>
        <v>2032.5232620000002</v>
      </c>
      <c r="R130" s="28">
        <f ca="1"/>
        <v>2032.5232620000002</v>
      </c>
      <c r="S130" s="28">
        <f ca="1"/>
        <v>2032.5232620000002</v>
      </c>
      <c r="T130" s="28">
        <f ca="1"/>
        <v>2032.5232620000002</v>
      </c>
      <c r="U130" s="28">
        <f ca="1"/>
        <v>2032.5232620000002</v>
      </c>
      <c r="V130" s="28">
        <f ca="1"/>
        <v>2032.5232620000002</v>
      </c>
      <c r="W130" s="28">
        <f ca="1"/>
        <v>2032.5232620000002</v>
      </c>
      <c r="X130" s="28">
        <f ca="1"/>
        <v>2032.5232620000002</v>
      </c>
      <c r="Y130" s="28">
        <f ca="1"/>
        <v>2032.5232620000002</v>
      </c>
      <c r="Z130" s="28">
        <f ca="1"/>
        <v>2032.5232620000002</v>
      </c>
      <c r="AA130" s="28">
        <f ca="1"/>
        <v>2032.5232620000002</v>
      </c>
      <c r="AB130" s="28">
        <f ca="1"/>
        <v>2032.5232620000002</v>
      </c>
      <c r="AC130" s="28">
        <f ca="1"/>
        <v>2032.5232620000002</v>
      </c>
      <c r="AD130" s="28">
        <f ca="1"/>
        <v>2032.5232620000002</v>
      </c>
      <c r="AE130" s="28">
        <f ca="1"/>
        <v>2032.5232620000002</v>
      </c>
      <c r="AF130" s="28">
        <f ca="1"/>
        <v>2032.5232620000002</v>
      </c>
      <c r="AG130" s="28">
        <f ca="1"/>
        <v>2032.5232620000002</v>
      </c>
      <c r="AH130" s="28">
        <f ca="1"/>
        <v>2032.5232620000002</v>
      </c>
      <c r="AI130" s="28">
        <f ca="1"/>
        <v>2032.5232620000002</v>
      </c>
      <c r="AJ130" s="28">
        <f ca="1"/>
        <v>2032.5232620000002</v>
      </c>
      <c r="AK130" s="29">
        <f ca="1"/>
        <v>2032.5232620000002</v>
      </c>
      <c r="AL130" s="3"/>
    </row>
    <row r="131" spans="2:38">
      <c r="B131" s="3"/>
      <c r="C131" s="23" t="s">
        <v>47</v>
      </c>
      <c r="D131" s="16" t="str">
        <f>_yearDol &amp; "$"</f>
        <v>2013$</v>
      </c>
      <c r="E131" s="141">
        <f t="array" aca="1" ref="E131:AK131" ca="1">(tlccEFubcElec4)</f>
        <v>92983.913154714319</v>
      </c>
      <c r="F131" s="28">
        <f ca="1"/>
        <v>93392.324616395534</v>
      </c>
      <c r="G131" s="28">
        <f ca="1"/>
        <v>93754.723982506868</v>
      </c>
      <c r="H131" s="28">
        <f ca="1"/>
        <v>94148.995062526228</v>
      </c>
      <c r="I131" s="28">
        <f ca="1"/>
        <v>94496.665210080362</v>
      </c>
      <c r="J131" s="28">
        <f ca="1"/>
        <v>94875.139844214835</v>
      </c>
      <c r="K131" s="28">
        <f ca="1"/>
        <v>95206.035841239689</v>
      </c>
      <c r="L131" s="28">
        <f ca="1"/>
        <v>95566.615178692213</v>
      </c>
      <c r="M131" s="28">
        <f ca="1"/>
        <v>95959.061144907813</v>
      </c>
      <c r="N131" s="28">
        <f ca="1"/>
        <v>96304.811776547285</v>
      </c>
      <c r="O131" s="28">
        <f ca="1"/>
        <v>96681.334851460837</v>
      </c>
      <c r="P131" s="28">
        <f ca="1"/>
        <v>97091.2418534764</v>
      </c>
      <c r="Q131" s="28">
        <f ca="1"/>
        <v>97455.538072916504</v>
      </c>
      <c r="R131" s="28">
        <f ca="1"/>
        <v>97852.21031148771</v>
      </c>
      <c r="S131" s="28">
        <f ca="1"/>
        <v>98202.569492513794</v>
      </c>
      <c r="T131" s="28">
        <f ca="1"/>
        <v>98584.237779402843</v>
      </c>
      <c r="U131" s="28">
        <f ca="1"/>
        <v>98999.783889850398</v>
      </c>
      <c r="V131" s="28">
        <f ca="1"/>
        <v>99370.26235036453</v>
      </c>
      <c r="W131" s="28">
        <f ca="1"/>
        <v>99773.727415823494</v>
      </c>
      <c r="X131" s="28">
        <f ca="1"/>
        <v>100131.41457512359</v>
      </c>
      <c r="Y131" s="28">
        <f ca="1"/>
        <v>100521.18189316445</v>
      </c>
      <c r="Z131" s="28">
        <f ca="1"/>
        <v>100945.66436577351</v>
      </c>
      <c r="AA131" s="28">
        <f ca="1"/>
        <v>101325.77872217073</v>
      </c>
      <c r="AB131" s="28">
        <f ca="1"/>
        <v>101739.78517082476</v>
      </c>
      <c r="AC131" s="28">
        <f ca="1"/>
        <v>102108.79272935099</v>
      </c>
      <c r="AD131" s="28">
        <f ca="1"/>
        <v>102510.80242523896</v>
      </c>
      <c r="AE131" s="28">
        <f ca="1"/>
        <v>102948.08117196435</v>
      </c>
      <c r="AF131" s="28">
        <f ca="1"/>
        <v>103342.16294004441</v>
      </c>
      <c r="AG131" s="28">
        <f ca="1"/>
        <v>103771.49939986228</v>
      </c>
      <c r="AH131" s="28">
        <f ca="1"/>
        <v>104157.05487544835</v>
      </c>
      <c r="AI131" s="28">
        <f ca="1"/>
        <v>104577.11546694138</v>
      </c>
      <c r="AJ131" s="28">
        <f ca="1"/>
        <v>104952.80058123988</v>
      </c>
      <c r="AK131" s="29">
        <f ca="1"/>
        <v>105362.3352461616</v>
      </c>
      <c r="AL131" s="3"/>
    </row>
    <row r="132" spans="2:38">
      <c r="B132" s="3"/>
      <c r="C132" s="27" t="str">
        <f>INDEX(_fuel,1)</f>
        <v>Electricity</v>
      </c>
      <c r="D132" s="16" t="str">
        <f>_yearDol &amp; "$"</f>
        <v>2013$</v>
      </c>
      <c r="E132" s="141">
        <f ca="1">SUMPRODUCT(dFactor,tpSurvRad,INDEX(tEIdxElec,1)*INDEX(elecRad,1,5)*allOnes,OFFSET(tPrcElec,0,0,1,_maxLT))</f>
        <v>92983.913154714319</v>
      </c>
      <c r="F132" s="28">
        <f ca="1">SUMPRODUCT(dFactor,tpSurvRad,INDEX(tEIdxElec,2)*INDEX(elecRad,1,5)*allOnes,OFFSET(tPrcElec,0,1,1,_maxLT))</f>
        <v>93392.324616395534</v>
      </c>
      <c r="G132" s="28">
        <f ca="1">SUMPRODUCT(dFactor,tpSurvRad,INDEX(tEIdxElec,3)*INDEX(elecRad,1,5)*allOnes,OFFSET(tPrcElec,0,2,1,_maxLT))</f>
        <v>93754.723982506868</v>
      </c>
      <c r="H132" s="28">
        <f ca="1">SUMPRODUCT(dFactor,tpSurvRad,INDEX(tEIdxElec,4)*INDEX(elecRad,1,5)*allOnes,OFFSET(tPrcElec,0,3,1,_maxLT))</f>
        <v>94148.995062526228</v>
      </c>
      <c r="I132" s="28">
        <f ca="1">SUMPRODUCT(dFactor,tpSurvRad,INDEX(tEIdxElec,5)*INDEX(elecRad,1,5)*allOnes,OFFSET(tPrcElec,0,4,1,_maxLT))</f>
        <v>94496.665210080362</v>
      </c>
      <c r="J132" s="28">
        <f ca="1">SUMPRODUCT(dFactor,tpSurvRad,INDEX(tEIdxElec,6)*INDEX(elecRad,1,5)*allOnes,OFFSET(tPrcElec,0,5,1,_maxLT))</f>
        <v>94875.139844214835</v>
      </c>
      <c r="K132" s="28">
        <f ca="1">SUMPRODUCT(dFactor,tpSurvRad,INDEX(tEIdxElec,7)*INDEX(elecRad,1,5)*allOnes,OFFSET(tPrcElec,0,6,1,_maxLT))</f>
        <v>95206.035841239689</v>
      </c>
      <c r="L132" s="28">
        <f ca="1">SUMPRODUCT(dFactor,tpSurvRad,INDEX(tEIdxElec,8)*INDEX(elecRad,1,5)*allOnes,OFFSET(tPrcElec,0,7,1,_maxLT))</f>
        <v>95566.615178692213</v>
      </c>
      <c r="M132" s="28">
        <f ca="1">SUMPRODUCT(dFactor,tpSurvRad,INDEX(tEIdxElec,9)*INDEX(elecRad,1,5)*allOnes,OFFSET(tPrcElec,0,8,1,_maxLT))</f>
        <v>95959.061144907813</v>
      </c>
      <c r="N132" s="28">
        <f ca="1">SUMPRODUCT(dFactor,tpSurvRad,INDEX(tEIdxElec,10)*INDEX(elecRad,1,5)*allOnes,OFFSET(tPrcElec,0,9,1,_maxLT))</f>
        <v>96304.811776547285</v>
      </c>
      <c r="O132" s="28">
        <f ca="1">SUMPRODUCT(dFactor,tpSurvRad,INDEX(tEIdxElec,11)*INDEX(elecRad,1,5)*allOnes,OFFSET(tPrcElec,0,10,1,_maxLT))</f>
        <v>96681.334851460837</v>
      </c>
      <c r="P132" s="28">
        <f ca="1">SUMPRODUCT(dFactor,tpSurvRad,INDEX(tEIdxElec,12)*INDEX(elecRad,1,5)*allOnes,OFFSET(tPrcElec,0,11,1,_maxLT))</f>
        <v>97091.2418534764</v>
      </c>
      <c r="Q132" s="28">
        <f ca="1">SUMPRODUCT(dFactor,tpSurvRad,INDEX(tEIdxElec,13)*INDEX(elecRad,1,5)*allOnes,OFFSET(tPrcElec,0,12,1,_maxLT))</f>
        <v>97455.538072916504</v>
      </c>
      <c r="R132" s="28">
        <f ca="1">SUMPRODUCT(dFactor,tpSurvRad,INDEX(tEIdxElec,14)*INDEX(elecRad,1,5)*allOnes,OFFSET(tPrcElec,0,13,1,_maxLT))</f>
        <v>97852.21031148771</v>
      </c>
      <c r="S132" s="28">
        <f ca="1">SUMPRODUCT(dFactor,tpSurvRad,INDEX(tEIdxElec,15)*INDEX(elecRad,1,5)*allOnes,OFFSET(tPrcElec,0,14,1,_maxLT))</f>
        <v>98202.569492513794</v>
      </c>
      <c r="T132" s="28">
        <f ca="1">SUMPRODUCT(dFactor,tpSurvRad,INDEX(tEIdxElec,16)*INDEX(elecRad,1,5)*allOnes,OFFSET(tPrcElec,0,15,1,_maxLT))</f>
        <v>98584.237779402843</v>
      </c>
      <c r="U132" s="28">
        <f ca="1">SUMPRODUCT(dFactor,tpSurvRad,INDEX(tEIdxElec,17)*INDEX(elecRad,1,5)*allOnes,OFFSET(tPrcElec,0,16,1,_maxLT))</f>
        <v>98999.783889850398</v>
      </c>
      <c r="V132" s="28">
        <f ca="1">SUMPRODUCT(dFactor,tpSurvRad,INDEX(tEIdxElec,18)*INDEX(elecRad,1,5)*allOnes,OFFSET(tPrcElec,0,17,1,_maxLT))</f>
        <v>99370.26235036453</v>
      </c>
      <c r="W132" s="28">
        <f ca="1">SUMPRODUCT(dFactor,tpSurvRad,INDEX(tEIdxElec,19)*INDEX(elecRad,1,5)*allOnes,OFFSET(tPrcElec,0,18,1,_maxLT))</f>
        <v>99773.727415823494</v>
      </c>
      <c r="X132" s="28">
        <f ca="1">SUMPRODUCT(dFactor,tpSurvRad,INDEX(tEIdxElec,20)*INDEX(elecRad,1,5)*allOnes,OFFSET(tPrcElec,0,19,1,_maxLT))</f>
        <v>100131.41457512359</v>
      </c>
      <c r="Y132" s="28">
        <f ca="1">SUMPRODUCT(dFactor,tpSurvRad,INDEX(tEIdxElec,21)*INDEX(elecRad,1,5)*allOnes,OFFSET(tPrcElec,0,20,1,_maxLT))</f>
        <v>100521.18189316445</v>
      </c>
      <c r="Z132" s="28">
        <f ca="1">SUMPRODUCT(dFactor,tpSurvRad,INDEX(tEIdxElec,22)*INDEX(elecRad,1,5)*allOnes,OFFSET(tPrcElec,0,21,1,_maxLT))</f>
        <v>100945.66436577351</v>
      </c>
      <c r="AA132" s="28">
        <f ca="1">SUMPRODUCT(dFactor,tpSurvRad,INDEX(tEIdxElec,23)*INDEX(elecRad,1,5)*allOnes,OFFSET(tPrcElec,0,22,1,_maxLT))</f>
        <v>101325.77872217073</v>
      </c>
      <c r="AB132" s="28">
        <f ca="1">SUMPRODUCT(dFactor,tpSurvRad,INDEX(tEIdxElec,24)*INDEX(elecRad,1,5)*allOnes,OFFSET(tPrcElec,0,23,1,_maxLT))</f>
        <v>101739.78517082476</v>
      </c>
      <c r="AC132" s="28">
        <f ca="1">SUMPRODUCT(dFactor,tpSurvRad,INDEX(tEIdxElec,25)*INDEX(elecRad,1,5)*allOnes,OFFSET(tPrcElec,0,24,1,_maxLT))</f>
        <v>102108.79272935099</v>
      </c>
      <c r="AD132" s="28">
        <f ca="1">SUMPRODUCT(dFactor,tpSurvRad,INDEX(tEIdxElec,26)*INDEX(elecRad,1,5)*allOnes,OFFSET(tPrcElec,0,25,1,_maxLT))</f>
        <v>102510.80242523896</v>
      </c>
      <c r="AE132" s="28">
        <f ca="1">SUMPRODUCT(dFactor,tpSurvRad,INDEX(tEIdxElec,27)*INDEX(elecRad,1,5)*allOnes,OFFSET(tPrcElec,0,26,1,_maxLT))</f>
        <v>102948.08117196435</v>
      </c>
      <c r="AF132" s="28">
        <f ca="1">SUMPRODUCT(dFactor,tpSurvRad,INDEX(tEIdxElec,28)*INDEX(elecRad,1,5)*allOnes,OFFSET(tPrcElec,0,27,1,_maxLT))</f>
        <v>103342.16294004441</v>
      </c>
      <c r="AG132" s="28">
        <f ca="1">SUMPRODUCT(dFactor,tpSurvRad,INDEX(tEIdxElec,29)*INDEX(elecRad,1,5)*allOnes,OFFSET(tPrcElec,0,28,1,_maxLT))</f>
        <v>103771.49939986228</v>
      </c>
      <c r="AH132" s="28">
        <f ca="1">SUMPRODUCT(dFactor,tpSurvRad,INDEX(tEIdxElec,30)*INDEX(elecRad,1,5)*allOnes,OFFSET(tPrcElec,0,29,1,_maxLT))</f>
        <v>104157.05487544835</v>
      </c>
      <c r="AI132" s="28">
        <f ca="1">SUMPRODUCT(dFactor,tpSurvRad,INDEX(tEIdxElec,31)*INDEX(elecRad,1,5)*allOnes,OFFSET(tPrcElec,0,30,1,_maxLT))</f>
        <v>104577.11546694138</v>
      </c>
      <c r="AJ132" s="28">
        <f ca="1">SUMPRODUCT(dFactor,tpSurvRad,INDEX(tEIdxElec,32)*INDEX(elecRad,1,5)*allOnes,OFFSET(tPrcElec,0,31,1,_maxLT))</f>
        <v>104952.80058123988</v>
      </c>
      <c r="AK132" s="29">
        <f ca="1">SUMPRODUCT(dFactor,tpSurvRad,INDEX(tEIdxElec,33)*INDEX(elecRad,1,5)*allOnes,OFFSET(tPrcElec,0,32,1,_maxLT))</f>
        <v>105362.3352461616</v>
      </c>
      <c r="AL132" s="3"/>
    </row>
    <row r="133" spans="2:38">
      <c r="B133" s="3"/>
      <c r="C133" s="23" t="s">
        <v>44</v>
      </c>
      <c r="D133" s="13"/>
      <c r="E133" s="142"/>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4"/>
      <c r="AL133" s="3"/>
    </row>
    <row r="134" spans="2:38">
      <c r="B134" s="3"/>
      <c r="C134" s="27" t="str">
        <f>INDEX(_fuel,1)</f>
        <v>Electricity</v>
      </c>
      <c r="D134" s="16" t="s">
        <v>48</v>
      </c>
      <c r="E134" s="144">
        <f ca="1">ts2bElec*SUMPRODUCT(tpSurvRad,INDEX(tEIdxElec,1)*INDEX(elecRad,1,5)*convFactor)</f>
        <v>21358.165010569806</v>
      </c>
      <c r="F134" s="22">
        <f ca="1">ts2bElec*SUMPRODUCT(tpSurvRad,INDEX(tEIdxElec,2)*INDEX(elecRad,1,5)*convFactor)</f>
        <v>21214.685857328899</v>
      </c>
      <c r="G134" s="22">
        <f ca="1">ts2bElec*SUMPRODUCT(tpSurvRad,INDEX(tEIdxElec,3)*INDEX(elecRad,1,5)*convFactor)</f>
        <v>21070.134040331788</v>
      </c>
      <c r="H134" s="22">
        <f ca="1">ts2bElec*SUMPRODUCT(tpSurvRad,INDEX(tEIdxElec,4)*INDEX(elecRad,1,5)*convFactor)</f>
        <v>20943.229193070511</v>
      </c>
      <c r="I134" s="22">
        <f ca="1">ts2bElec*SUMPRODUCT(tpSurvRad,INDEX(tEIdxElec,5)*INDEX(elecRad,1,5)*convFactor)</f>
        <v>20822.909455717185</v>
      </c>
      <c r="J134" s="22">
        <f ca="1">ts2bElec*SUMPRODUCT(tpSurvRad,INDEX(tEIdxElec,6)*INDEX(elecRad,1,5)*convFactor)</f>
        <v>20718.133262164454</v>
      </c>
      <c r="K134" s="22">
        <f ca="1">ts2bElec*SUMPRODUCT(tpSurvRad,INDEX(tEIdxElec,7)*INDEX(elecRad,1,5)*convFactor)</f>
        <v>20636.901407409401</v>
      </c>
      <c r="L134" s="22">
        <f ca="1">ts2bElec*SUMPRODUCT(tpSurvRad,INDEX(tEIdxElec,8)*INDEX(elecRad,1,5)*convFactor)</f>
        <v>20569.554629907063</v>
      </c>
      <c r="M134" s="22">
        <f ca="1">ts2bElec*SUMPRODUCT(tpSurvRad,INDEX(tEIdxElec,9)*INDEX(elecRad,1,5)*convFactor)</f>
        <v>20501.869627074811</v>
      </c>
      <c r="N134" s="22">
        <f ca="1">ts2bElec*SUMPRODUCT(tpSurvRad,INDEX(tEIdxElec,10)*INDEX(elecRad,1,5)*convFactor)</f>
        <v>20447.708891239025</v>
      </c>
      <c r="O134" s="22">
        <f ca="1">ts2bElec*SUMPRODUCT(tpSurvRad,INDEX(tEIdxElec,11)*INDEX(elecRad,1,5)*convFactor)</f>
        <v>20410.393510073918</v>
      </c>
      <c r="P134" s="22">
        <f ca="1">ts2bElec*SUMPRODUCT(tpSurvRad,INDEX(tEIdxElec,12)*INDEX(elecRad,1,5)*convFactor)</f>
        <v>20383.068608179718</v>
      </c>
      <c r="Q134" s="22">
        <f ca="1">ts2bElec*SUMPRODUCT(tpSurvRad,INDEX(tEIdxElec,13)*INDEX(elecRad,1,5)*convFactor)</f>
        <v>20360.063871099832</v>
      </c>
      <c r="R134" s="22">
        <f ca="1">ts2bElec*SUMPRODUCT(tpSurvRad,INDEX(tEIdxElec,14)*INDEX(elecRad,1,5)*convFactor)</f>
        <v>20343.092249218302</v>
      </c>
      <c r="S134" s="22">
        <f ca="1">ts2bElec*SUMPRODUCT(tpSurvRad,INDEX(tEIdxElec,15)*INDEX(elecRad,1,5)*convFactor)</f>
        <v>20330.154929281052</v>
      </c>
      <c r="T134" s="22">
        <f ca="1">ts2bElec*SUMPRODUCT(tpSurvRad,INDEX(tEIdxElec,16)*INDEX(elecRad,1,5)*convFactor)</f>
        <v>20328.528252021577</v>
      </c>
      <c r="U134" s="22">
        <f ca="1">ts2bElec*SUMPRODUCT(tpSurvRad,INDEX(tEIdxElec,17)*INDEX(elecRad,1,5)*convFactor)</f>
        <v>20331.841318642182</v>
      </c>
      <c r="V134" s="22">
        <f ca="1">ts2bElec*SUMPRODUCT(tpSurvRad,INDEX(tEIdxElec,18)*INDEX(elecRad,1,5)*convFactor)</f>
        <v>20336.715468970244</v>
      </c>
      <c r="W134" s="22">
        <f ca="1">ts2bElec*SUMPRODUCT(tpSurvRad,INDEX(tEIdxElec,19)*INDEX(elecRad,1,5)*convFactor)</f>
        <v>20343.686179244811</v>
      </c>
      <c r="X134" s="22">
        <f ca="1">ts2bElec*SUMPRODUCT(tpSurvRad,INDEX(tEIdxElec,20)*INDEX(elecRad,1,5)*convFactor)</f>
        <v>20350.273425574742</v>
      </c>
      <c r="Y134" s="22">
        <f ca="1">ts2bElec*SUMPRODUCT(tpSurvRad,INDEX(tEIdxElec,21)*INDEX(elecRad,1,5)*convFactor)</f>
        <v>20355.731311355565</v>
      </c>
      <c r="Z134" s="22">
        <f ca="1">ts2bElec*SUMPRODUCT(tpSurvRad,INDEX(tEIdxElec,22)*INDEX(elecRad,1,5)*convFactor)</f>
        <v>20359.388866505207</v>
      </c>
      <c r="AA134" s="22">
        <f ca="1">ts2bElec*SUMPRODUCT(tpSurvRad,INDEX(tEIdxElec,23)*INDEX(elecRad,1,5)*convFactor)</f>
        <v>20361.799438819864</v>
      </c>
      <c r="AB134" s="22">
        <f ca="1">ts2bElec*SUMPRODUCT(tpSurvRad,INDEX(tEIdxElec,24)*INDEX(elecRad,1,5)*convFactor)</f>
        <v>20361.799438819864</v>
      </c>
      <c r="AC134" s="22">
        <f ca="1">ts2bElec*SUMPRODUCT(tpSurvRad,INDEX(tEIdxElec,25)*INDEX(elecRad,1,5)*convFactor)</f>
        <v>20361.799438819864</v>
      </c>
      <c r="AD134" s="22">
        <f ca="1">ts2bElec*SUMPRODUCT(tpSurvRad,INDEX(tEIdxElec,26)*INDEX(elecRad,1,5)*convFactor)</f>
        <v>20361.799438819864</v>
      </c>
      <c r="AE134" s="22">
        <f ca="1">ts2bElec*SUMPRODUCT(tpSurvRad,INDEX(tEIdxElec,27)*INDEX(elecRad,1,5)*convFactor)</f>
        <v>20361.799438819864</v>
      </c>
      <c r="AF134" s="22">
        <f ca="1">ts2bElec*SUMPRODUCT(tpSurvRad,INDEX(tEIdxElec,28)*INDEX(elecRad,1,5)*convFactor)</f>
        <v>20361.799438819864</v>
      </c>
      <c r="AG134" s="22">
        <f ca="1">ts2bElec*SUMPRODUCT(tpSurvRad,INDEX(tEIdxElec,29)*INDEX(elecRad,1,5)*convFactor)</f>
        <v>20361.799438819864</v>
      </c>
      <c r="AH134" s="22">
        <f ca="1">ts2bElec*SUMPRODUCT(tpSurvRad,INDEX(tEIdxElec,30)*INDEX(elecRad,1,5)*convFactor)</f>
        <v>20361.799438819864</v>
      </c>
      <c r="AI134" s="22">
        <f ca="1">ts2bElec*SUMPRODUCT(tpSurvRad,INDEX(tEIdxElec,31)*INDEX(elecRad,1,5)*convFactor)</f>
        <v>20361.799438819864</v>
      </c>
      <c r="AJ134" s="22">
        <f ca="1">ts2bElec*SUMPRODUCT(tpSurvRad,INDEX(tEIdxElec,32)*INDEX(elecRad,1,5)*convFactor)</f>
        <v>20361.799438819864</v>
      </c>
      <c r="AK134" s="25">
        <f ca="1">ts2bElec*SUMPRODUCT(tpSurvRad,INDEX(tEIdxElec,33)*INDEX(elecRad,1,5)*convFactor)</f>
        <v>20361.799438819864</v>
      </c>
      <c r="AL134" s="3"/>
    </row>
    <row r="135" spans="2:38">
      <c r="B135" s="3"/>
      <c r="C135" s="30" t="str">
        <f>"EL 5: " &amp; INDEX(_doName,6,6)</f>
        <v>EL 5: EL 5</v>
      </c>
      <c r="D135" s="31"/>
      <c r="E135" s="140"/>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2"/>
      <c r="AL135" s="3"/>
    </row>
    <row r="136" spans="2:38">
      <c r="B136" s="3"/>
      <c r="C136" s="23" t="s">
        <v>39</v>
      </c>
      <c r="D136" s="16" t="str">
        <f>_yearDol &amp; "$"</f>
        <v>2013$</v>
      </c>
      <c r="E136" s="141">
        <f t="array" aca="1" ref="E136:AK136" ca="1">(1+INDEX(vadRad,1,6))*INDEX(mspRad,1,6)*tPIdxAll + INDEX(instRad,1,6) + SUMPRODUCT(dFactor,tpSurvRad,INDEX(mrRad,1,6)*allOnes)</f>
        <v>1400.103376</v>
      </c>
      <c r="F136" s="28">
        <f ca="1"/>
        <v>1400.103376</v>
      </c>
      <c r="G136" s="28">
        <f ca="1"/>
        <v>1400.103376</v>
      </c>
      <c r="H136" s="28">
        <f ca="1"/>
        <v>1400.103376</v>
      </c>
      <c r="I136" s="28">
        <f ca="1"/>
        <v>1400.103376</v>
      </c>
      <c r="J136" s="28">
        <f ca="1"/>
        <v>1400.103376</v>
      </c>
      <c r="K136" s="28">
        <f ca="1"/>
        <v>1400.103376</v>
      </c>
      <c r="L136" s="28">
        <f ca="1"/>
        <v>1400.103376</v>
      </c>
      <c r="M136" s="28">
        <f ca="1"/>
        <v>1400.103376</v>
      </c>
      <c r="N136" s="28">
        <f ca="1"/>
        <v>1400.103376</v>
      </c>
      <c r="O136" s="28">
        <f ca="1"/>
        <v>1400.103376</v>
      </c>
      <c r="P136" s="28">
        <f ca="1"/>
        <v>1400.103376</v>
      </c>
      <c r="Q136" s="28">
        <f ca="1"/>
        <v>1400.103376</v>
      </c>
      <c r="R136" s="28">
        <f ca="1"/>
        <v>1400.103376</v>
      </c>
      <c r="S136" s="28">
        <f ca="1"/>
        <v>1400.103376</v>
      </c>
      <c r="T136" s="28">
        <f ca="1"/>
        <v>1400.103376</v>
      </c>
      <c r="U136" s="28">
        <f ca="1"/>
        <v>1400.103376</v>
      </c>
      <c r="V136" s="28">
        <f ca="1"/>
        <v>1400.103376</v>
      </c>
      <c r="W136" s="28">
        <f ca="1"/>
        <v>1400.103376</v>
      </c>
      <c r="X136" s="28">
        <f ca="1"/>
        <v>1400.103376</v>
      </c>
      <c r="Y136" s="28">
        <f ca="1"/>
        <v>1400.103376</v>
      </c>
      <c r="Z136" s="28">
        <f ca="1"/>
        <v>1400.103376</v>
      </c>
      <c r="AA136" s="28">
        <f ca="1"/>
        <v>1400.103376</v>
      </c>
      <c r="AB136" s="28">
        <f ca="1"/>
        <v>1400.103376</v>
      </c>
      <c r="AC136" s="28">
        <f ca="1"/>
        <v>1400.103376</v>
      </c>
      <c r="AD136" s="28">
        <f ca="1"/>
        <v>1400.103376</v>
      </c>
      <c r="AE136" s="28">
        <f ca="1"/>
        <v>1400.103376</v>
      </c>
      <c r="AF136" s="28">
        <f ca="1"/>
        <v>1400.103376</v>
      </c>
      <c r="AG136" s="28">
        <f ca="1"/>
        <v>1400.103376</v>
      </c>
      <c r="AH136" s="28">
        <f ca="1"/>
        <v>1400.103376</v>
      </c>
      <c r="AI136" s="28">
        <f ca="1"/>
        <v>1400.103376</v>
      </c>
      <c r="AJ136" s="28">
        <f ca="1"/>
        <v>1400.103376</v>
      </c>
      <c r="AK136" s="29">
        <f ca="1"/>
        <v>1400.103376</v>
      </c>
      <c r="AL136" s="3"/>
    </row>
    <row r="137" spans="2:38">
      <c r="B137" s="3"/>
      <c r="C137" s="23" t="s">
        <v>47</v>
      </c>
      <c r="D137" s="16" t="str">
        <f>_yearDol &amp; "$"</f>
        <v>2013$</v>
      </c>
      <c r="E137" s="141">
        <f t="array" aca="1" ref="E137:AK137" ca="1">(tlccEFubcElec5)</f>
        <v>48449.865965509736</v>
      </c>
      <c r="F137" s="28">
        <f ca="1"/>
        <v>48662.671384274028</v>
      </c>
      <c r="G137" s="28">
        <f ca="1"/>
        <v>48851.501904719677</v>
      </c>
      <c r="H137" s="28">
        <f ca="1"/>
        <v>49056.939386676699</v>
      </c>
      <c r="I137" s="28">
        <f ca="1"/>
        <v>49238.095153063725</v>
      </c>
      <c r="J137" s="28">
        <f ca="1"/>
        <v>49435.301795299238</v>
      </c>
      <c r="K137" s="28">
        <f ca="1"/>
        <v>49607.717282671787</v>
      </c>
      <c r="L137" s="28">
        <f ca="1"/>
        <v>49795.599465479449</v>
      </c>
      <c r="M137" s="28">
        <f ca="1"/>
        <v>50000.085960151009</v>
      </c>
      <c r="N137" s="28">
        <f ca="1"/>
        <v>50180.241550425555</v>
      </c>
      <c r="O137" s="28">
        <f ca="1"/>
        <v>50376.43132017777</v>
      </c>
      <c r="P137" s="28">
        <f ca="1"/>
        <v>50590.015999851705</v>
      </c>
      <c r="Q137" s="28">
        <f ca="1"/>
        <v>50779.834887923709</v>
      </c>
      <c r="R137" s="28">
        <f ca="1"/>
        <v>50986.523508986975</v>
      </c>
      <c r="S137" s="28">
        <f ca="1"/>
        <v>51169.080413558811</v>
      </c>
      <c r="T137" s="28">
        <f ca="1"/>
        <v>51367.951129101741</v>
      </c>
      <c r="U137" s="28">
        <f ca="1"/>
        <v>51584.474102491462</v>
      </c>
      <c r="V137" s="28">
        <f ca="1"/>
        <v>51777.514287035563</v>
      </c>
      <c r="W137" s="28">
        <f ca="1"/>
        <v>51987.742354236085</v>
      </c>
      <c r="X137" s="28">
        <f ca="1"/>
        <v>52174.117549016701</v>
      </c>
      <c r="Y137" s="28">
        <f ca="1"/>
        <v>52377.208316829347</v>
      </c>
      <c r="Z137" s="28">
        <f ca="1"/>
        <v>52598.387639196619</v>
      </c>
      <c r="AA137" s="28">
        <f ca="1"/>
        <v>52796.448669262812</v>
      </c>
      <c r="AB137" s="28">
        <f ca="1"/>
        <v>53012.169391972879</v>
      </c>
      <c r="AC137" s="28">
        <f ca="1"/>
        <v>53204.443153576256</v>
      </c>
      <c r="AD137" s="28">
        <f ca="1"/>
        <v>53413.912891101703</v>
      </c>
      <c r="AE137" s="28">
        <f ca="1"/>
        <v>53641.759794395184</v>
      </c>
      <c r="AF137" s="28">
        <f ca="1"/>
        <v>53847.098634148686</v>
      </c>
      <c r="AG137" s="28">
        <f ca="1"/>
        <v>54070.807157768999</v>
      </c>
      <c r="AH137" s="28">
        <f ca="1"/>
        <v>54271.703317982545</v>
      </c>
      <c r="AI137" s="28">
        <f ca="1"/>
        <v>54490.578590755445</v>
      </c>
      <c r="AJ137" s="28">
        <f ca="1"/>
        <v>54686.331735739965</v>
      </c>
      <c r="AK137" s="29">
        <f ca="1"/>
        <v>54899.722406776498</v>
      </c>
      <c r="AL137" s="3"/>
    </row>
    <row r="138" spans="2:38">
      <c r="B138" s="3"/>
      <c r="C138" s="27" t="str">
        <f>INDEX(_fuel,1)</f>
        <v>Electricity</v>
      </c>
      <c r="D138" s="16" t="str">
        <f>_yearDol &amp; "$"</f>
        <v>2013$</v>
      </c>
      <c r="E138" s="141">
        <f ca="1">SUMPRODUCT(dFactor,tpSurvRad,INDEX(tEIdxElec,1)*INDEX(elecRad,1,6)*allOnes,OFFSET(tPrcElec,0,0,1,_maxLT))</f>
        <v>48449.865965509736</v>
      </c>
      <c r="F138" s="28">
        <f ca="1">SUMPRODUCT(dFactor,tpSurvRad,INDEX(tEIdxElec,2)*INDEX(elecRad,1,6)*allOnes,OFFSET(tPrcElec,0,1,1,_maxLT))</f>
        <v>48662.671384274028</v>
      </c>
      <c r="G138" s="28">
        <f ca="1">SUMPRODUCT(dFactor,tpSurvRad,INDEX(tEIdxElec,3)*INDEX(elecRad,1,6)*allOnes,OFFSET(tPrcElec,0,2,1,_maxLT))</f>
        <v>48851.501904719677</v>
      </c>
      <c r="H138" s="28">
        <f ca="1">SUMPRODUCT(dFactor,tpSurvRad,INDEX(tEIdxElec,4)*INDEX(elecRad,1,6)*allOnes,OFFSET(tPrcElec,0,3,1,_maxLT))</f>
        <v>49056.939386676699</v>
      </c>
      <c r="I138" s="28">
        <f ca="1">SUMPRODUCT(dFactor,tpSurvRad,INDEX(tEIdxElec,5)*INDEX(elecRad,1,6)*allOnes,OFFSET(tPrcElec,0,4,1,_maxLT))</f>
        <v>49238.095153063725</v>
      </c>
      <c r="J138" s="28">
        <f ca="1">SUMPRODUCT(dFactor,tpSurvRad,INDEX(tEIdxElec,6)*INDEX(elecRad,1,6)*allOnes,OFFSET(tPrcElec,0,5,1,_maxLT))</f>
        <v>49435.301795299238</v>
      </c>
      <c r="K138" s="28">
        <f ca="1">SUMPRODUCT(dFactor,tpSurvRad,INDEX(tEIdxElec,7)*INDEX(elecRad,1,6)*allOnes,OFFSET(tPrcElec,0,6,1,_maxLT))</f>
        <v>49607.717282671787</v>
      </c>
      <c r="L138" s="28">
        <f ca="1">SUMPRODUCT(dFactor,tpSurvRad,INDEX(tEIdxElec,8)*INDEX(elecRad,1,6)*allOnes,OFFSET(tPrcElec,0,7,1,_maxLT))</f>
        <v>49795.599465479449</v>
      </c>
      <c r="M138" s="28">
        <f ca="1">SUMPRODUCT(dFactor,tpSurvRad,INDEX(tEIdxElec,9)*INDEX(elecRad,1,6)*allOnes,OFFSET(tPrcElec,0,8,1,_maxLT))</f>
        <v>50000.085960151009</v>
      </c>
      <c r="N138" s="28">
        <f ca="1">SUMPRODUCT(dFactor,tpSurvRad,INDEX(tEIdxElec,10)*INDEX(elecRad,1,6)*allOnes,OFFSET(tPrcElec,0,9,1,_maxLT))</f>
        <v>50180.241550425555</v>
      </c>
      <c r="O138" s="28">
        <f ca="1">SUMPRODUCT(dFactor,tpSurvRad,INDEX(tEIdxElec,11)*INDEX(elecRad,1,6)*allOnes,OFFSET(tPrcElec,0,10,1,_maxLT))</f>
        <v>50376.43132017777</v>
      </c>
      <c r="P138" s="28">
        <f ca="1">SUMPRODUCT(dFactor,tpSurvRad,INDEX(tEIdxElec,12)*INDEX(elecRad,1,6)*allOnes,OFFSET(tPrcElec,0,11,1,_maxLT))</f>
        <v>50590.015999851705</v>
      </c>
      <c r="Q138" s="28">
        <f ca="1">SUMPRODUCT(dFactor,tpSurvRad,INDEX(tEIdxElec,13)*INDEX(elecRad,1,6)*allOnes,OFFSET(tPrcElec,0,12,1,_maxLT))</f>
        <v>50779.834887923709</v>
      </c>
      <c r="R138" s="28">
        <f ca="1">SUMPRODUCT(dFactor,tpSurvRad,INDEX(tEIdxElec,14)*INDEX(elecRad,1,6)*allOnes,OFFSET(tPrcElec,0,13,1,_maxLT))</f>
        <v>50986.523508986975</v>
      </c>
      <c r="S138" s="28">
        <f ca="1">SUMPRODUCT(dFactor,tpSurvRad,INDEX(tEIdxElec,15)*INDEX(elecRad,1,6)*allOnes,OFFSET(tPrcElec,0,14,1,_maxLT))</f>
        <v>51169.080413558811</v>
      </c>
      <c r="T138" s="28">
        <f ca="1">SUMPRODUCT(dFactor,tpSurvRad,INDEX(tEIdxElec,16)*INDEX(elecRad,1,6)*allOnes,OFFSET(tPrcElec,0,15,1,_maxLT))</f>
        <v>51367.951129101741</v>
      </c>
      <c r="U138" s="28">
        <f ca="1">SUMPRODUCT(dFactor,tpSurvRad,INDEX(tEIdxElec,17)*INDEX(elecRad,1,6)*allOnes,OFFSET(tPrcElec,0,16,1,_maxLT))</f>
        <v>51584.474102491462</v>
      </c>
      <c r="V138" s="28">
        <f ca="1">SUMPRODUCT(dFactor,tpSurvRad,INDEX(tEIdxElec,18)*INDEX(elecRad,1,6)*allOnes,OFFSET(tPrcElec,0,17,1,_maxLT))</f>
        <v>51777.514287035563</v>
      </c>
      <c r="W138" s="28">
        <f ca="1">SUMPRODUCT(dFactor,tpSurvRad,INDEX(tEIdxElec,19)*INDEX(elecRad,1,6)*allOnes,OFFSET(tPrcElec,0,18,1,_maxLT))</f>
        <v>51987.742354236085</v>
      </c>
      <c r="X138" s="28">
        <f ca="1">SUMPRODUCT(dFactor,tpSurvRad,INDEX(tEIdxElec,20)*INDEX(elecRad,1,6)*allOnes,OFFSET(tPrcElec,0,19,1,_maxLT))</f>
        <v>52174.117549016701</v>
      </c>
      <c r="Y138" s="28">
        <f ca="1">SUMPRODUCT(dFactor,tpSurvRad,INDEX(tEIdxElec,21)*INDEX(elecRad,1,6)*allOnes,OFFSET(tPrcElec,0,20,1,_maxLT))</f>
        <v>52377.208316829347</v>
      </c>
      <c r="Z138" s="28">
        <f ca="1">SUMPRODUCT(dFactor,tpSurvRad,INDEX(tEIdxElec,22)*INDEX(elecRad,1,6)*allOnes,OFFSET(tPrcElec,0,21,1,_maxLT))</f>
        <v>52598.387639196619</v>
      </c>
      <c r="AA138" s="28">
        <f ca="1">SUMPRODUCT(dFactor,tpSurvRad,INDEX(tEIdxElec,23)*INDEX(elecRad,1,6)*allOnes,OFFSET(tPrcElec,0,22,1,_maxLT))</f>
        <v>52796.448669262812</v>
      </c>
      <c r="AB138" s="28">
        <f ca="1">SUMPRODUCT(dFactor,tpSurvRad,INDEX(tEIdxElec,24)*INDEX(elecRad,1,6)*allOnes,OFFSET(tPrcElec,0,23,1,_maxLT))</f>
        <v>53012.169391972879</v>
      </c>
      <c r="AC138" s="28">
        <f ca="1">SUMPRODUCT(dFactor,tpSurvRad,INDEX(tEIdxElec,25)*INDEX(elecRad,1,6)*allOnes,OFFSET(tPrcElec,0,24,1,_maxLT))</f>
        <v>53204.443153576256</v>
      </c>
      <c r="AD138" s="28">
        <f ca="1">SUMPRODUCT(dFactor,tpSurvRad,INDEX(tEIdxElec,26)*INDEX(elecRad,1,6)*allOnes,OFFSET(tPrcElec,0,25,1,_maxLT))</f>
        <v>53413.912891101703</v>
      </c>
      <c r="AE138" s="28">
        <f ca="1">SUMPRODUCT(dFactor,tpSurvRad,INDEX(tEIdxElec,27)*INDEX(elecRad,1,6)*allOnes,OFFSET(tPrcElec,0,26,1,_maxLT))</f>
        <v>53641.759794395184</v>
      </c>
      <c r="AF138" s="28">
        <f ca="1">SUMPRODUCT(dFactor,tpSurvRad,INDEX(tEIdxElec,28)*INDEX(elecRad,1,6)*allOnes,OFFSET(tPrcElec,0,27,1,_maxLT))</f>
        <v>53847.098634148686</v>
      </c>
      <c r="AG138" s="28">
        <f ca="1">SUMPRODUCT(dFactor,tpSurvRad,INDEX(tEIdxElec,29)*INDEX(elecRad,1,6)*allOnes,OFFSET(tPrcElec,0,28,1,_maxLT))</f>
        <v>54070.807157768999</v>
      </c>
      <c r="AH138" s="28">
        <f ca="1">SUMPRODUCT(dFactor,tpSurvRad,INDEX(tEIdxElec,30)*INDEX(elecRad,1,6)*allOnes,OFFSET(tPrcElec,0,29,1,_maxLT))</f>
        <v>54271.703317982545</v>
      </c>
      <c r="AI138" s="28">
        <f ca="1">SUMPRODUCT(dFactor,tpSurvRad,INDEX(tEIdxElec,31)*INDEX(elecRad,1,6)*allOnes,OFFSET(tPrcElec,0,30,1,_maxLT))</f>
        <v>54490.578590755445</v>
      </c>
      <c r="AJ138" s="28">
        <f ca="1">SUMPRODUCT(dFactor,tpSurvRad,INDEX(tEIdxElec,32)*INDEX(elecRad,1,6)*allOnes,OFFSET(tPrcElec,0,31,1,_maxLT))</f>
        <v>54686.331735739965</v>
      </c>
      <c r="AK138" s="29">
        <f ca="1">SUMPRODUCT(dFactor,tpSurvRad,INDEX(tEIdxElec,33)*INDEX(elecRad,1,6)*allOnes,OFFSET(tPrcElec,0,32,1,_maxLT))</f>
        <v>54899.722406776498</v>
      </c>
      <c r="AL138" s="3"/>
    </row>
    <row r="139" spans="2:38">
      <c r="B139" s="3"/>
      <c r="C139" s="23" t="s">
        <v>44</v>
      </c>
      <c r="D139" s="13"/>
      <c r="E139" s="142"/>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4"/>
      <c r="AL139" s="3"/>
    </row>
    <row r="140" spans="2:38">
      <c r="B140" s="3"/>
      <c r="C140" s="27" t="str">
        <f>INDEX(_fuel,1)</f>
        <v>Electricity</v>
      </c>
      <c r="D140" s="16" t="s">
        <v>48</v>
      </c>
      <c r="E140" s="144">
        <f ca="1">ts2bElec*SUMPRODUCT(tpSurvRad,INDEX(tEIdxElec,1)*INDEX(elecRad,1,6)*convFactor)</f>
        <v>11128.809241546547</v>
      </c>
      <c r="F140" s="22">
        <f ca="1">ts2bElec*SUMPRODUCT(tpSurvRad,INDEX(tEIdxElec,2)*INDEX(elecRad,1,6)*convFactor)</f>
        <v>11054.048505979306</v>
      </c>
      <c r="G140" s="22">
        <f ca="1">ts2bElec*SUMPRODUCT(tpSurvRad,INDEX(tEIdxElec,3)*INDEX(elecRad,1,6)*convFactor)</f>
        <v>10978.72885206317</v>
      </c>
      <c r="H140" s="22">
        <f ca="1">ts2bElec*SUMPRODUCT(tpSurvRad,INDEX(tEIdxElec,4)*INDEX(elecRad,1,6)*convFactor)</f>
        <v>10912.604265222521</v>
      </c>
      <c r="I140" s="22">
        <f ca="1">ts2bElec*SUMPRODUCT(tpSurvRad,INDEX(tEIdxElec,5)*INDEX(elecRad,1,6)*convFactor)</f>
        <v>10849.910892250851</v>
      </c>
      <c r="J140" s="22">
        <f ca="1">ts2bElec*SUMPRODUCT(tpSurvRad,INDEX(tEIdxElec,6)*INDEX(elecRad,1,6)*convFactor)</f>
        <v>10795.316582743146</v>
      </c>
      <c r="K140" s="22">
        <f ca="1">ts2bElec*SUMPRODUCT(tpSurvRad,INDEX(tEIdxElec,7)*INDEX(elecRad,1,6)*convFactor)</f>
        <v>10752.990202388906</v>
      </c>
      <c r="L140" s="22">
        <f ca="1">ts2bElec*SUMPRODUCT(tpSurvRad,INDEX(tEIdxElec,8)*INDEX(elecRad,1,6)*convFactor)</f>
        <v>10717.898730837604</v>
      </c>
      <c r="M140" s="22">
        <f ca="1">ts2bElec*SUMPRODUCT(tpSurvRad,INDEX(tEIdxElec,9)*INDEX(elecRad,1,6)*convFactor)</f>
        <v>10682.631024802888</v>
      </c>
      <c r="N140" s="22">
        <f ca="1">ts2bElec*SUMPRODUCT(tpSurvRad,INDEX(tEIdxElec,10)*INDEX(elecRad,1,6)*convFactor)</f>
        <v>10654.410225066584</v>
      </c>
      <c r="O140" s="22">
        <f ca="1">ts2bElec*SUMPRODUCT(tpSurvRad,INDEX(tEIdxElec,11)*INDEX(elecRad,1,6)*convFactor)</f>
        <v>10634.96680572056</v>
      </c>
      <c r="P140" s="22">
        <f ca="1">ts2bElec*SUMPRODUCT(tpSurvRad,INDEX(tEIdxElec,12)*INDEX(elecRad,1,6)*convFactor)</f>
        <v>10620.728989851357</v>
      </c>
      <c r="Q140" s="22">
        <f ca="1">ts2bElec*SUMPRODUCT(tpSurvRad,INDEX(tEIdxElec,13)*INDEX(elecRad,1,6)*convFactor)</f>
        <v>10608.742223643339</v>
      </c>
      <c r="R140" s="22">
        <f ca="1">ts2bElec*SUMPRODUCT(tpSurvRad,INDEX(tEIdxElec,14)*INDEX(elecRad,1,6)*convFactor)</f>
        <v>10599.899050910772</v>
      </c>
      <c r="S140" s="22">
        <f ca="1">ts2bElec*SUMPRODUCT(tpSurvRad,INDEX(tEIdxElec,15)*INDEX(elecRad,1,6)*convFactor)</f>
        <v>10593.157977152458</v>
      </c>
      <c r="T140" s="22">
        <f ca="1">ts2bElec*SUMPRODUCT(tpSurvRad,INDEX(tEIdxElec,16)*INDEX(elecRad,1,6)*convFactor)</f>
        <v>10592.310386504603</v>
      </c>
      <c r="U140" s="22">
        <f ca="1">ts2bElec*SUMPRODUCT(tpSurvRad,INDEX(tEIdxElec,17)*INDEX(elecRad,1,6)*convFactor)</f>
        <v>10594.03668117491</v>
      </c>
      <c r="V140" s="22">
        <f ca="1">ts2bElec*SUMPRODUCT(tpSurvRad,INDEX(tEIdxElec,18)*INDEX(elecRad,1,6)*convFactor)</f>
        <v>10596.576388550931</v>
      </c>
      <c r="W140" s="22">
        <f ca="1">ts2bElec*SUMPRODUCT(tpSurvRad,INDEX(tEIdxElec,19)*INDEX(elecRad,1,6)*convFactor)</f>
        <v>10600.208521970882</v>
      </c>
      <c r="X140" s="22">
        <f ca="1">ts2bElec*SUMPRODUCT(tpSurvRad,INDEX(tEIdxElec,20)*INDEX(elecRad,1,6)*convFactor)</f>
        <v>10603.640849036274</v>
      </c>
      <c r="Y140" s="22">
        <f ca="1">ts2bElec*SUMPRODUCT(tpSurvRad,INDEX(tEIdxElec,21)*INDEX(elecRad,1,6)*convFactor)</f>
        <v>10606.484715524191</v>
      </c>
      <c r="Z140" s="22">
        <f ca="1">ts2bElec*SUMPRODUCT(tpSurvRad,INDEX(tEIdxElec,22)*INDEX(elecRad,1,6)*convFactor)</f>
        <v>10608.390508158094</v>
      </c>
      <c r="AA140" s="22">
        <f ca="1">ts2bElec*SUMPRODUCT(tpSurvRad,INDEX(tEIdxElec,23)*INDEX(elecRad,1,6)*convFactor)</f>
        <v>10609.646552365984</v>
      </c>
      <c r="AB140" s="22">
        <f ca="1">ts2bElec*SUMPRODUCT(tpSurvRad,INDEX(tEIdxElec,24)*INDEX(elecRad,1,6)*convFactor)</f>
        <v>10609.646552365984</v>
      </c>
      <c r="AC140" s="22">
        <f ca="1">ts2bElec*SUMPRODUCT(tpSurvRad,INDEX(tEIdxElec,25)*INDEX(elecRad,1,6)*convFactor)</f>
        <v>10609.646552365984</v>
      </c>
      <c r="AD140" s="22">
        <f ca="1">ts2bElec*SUMPRODUCT(tpSurvRad,INDEX(tEIdxElec,26)*INDEX(elecRad,1,6)*convFactor)</f>
        <v>10609.646552365984</v>
      </c>
      <c r="AE140" s="22">
        <f ca="1">ts2bElec*SUMPRODUCT(tpSurvRad,INDEX(tEIdxElec,27)*INDEX(elecRad,1,6)*convFactor)</f>
        <v>10609.646552365984</v>
      </c>
      <c r="AF140" s="22">
        <f ca="1">ts2bElec*SUMPRODUCT(tpSurvRad,INDEX(tEIdxElec,28)*INDEX(elecRad,1,6)*convFactor)</f>
        <v>10609.646552365984</v>
      </c>
      <c r="AG140" s="22">
        <f ca="1">ts2bElec*SUMPRODUCT(tpSurvRad,INDEX(tEIdxElec,29)*INDEX(elecRad,1,6)*convFactor)</f>
        <v>10609.646552365984</v>
      </c>
      <c r="AH140" s="22">
        <f ca="1">ts2bElec*SUMPRODUCT(tpSurvRad,INDEX(tEIdxElec,30)*INDEX(elecRad,1,6)*convFactor)</f>
        <v>10609.646552365984</v>
      </c>
      <c r="AI140" s="22">
        <f ca="1">ts2bElec*SUMPRODUCT(tpSurvRad,INDEX(tEIdxElec,31)*INDEX(elecRad,1,6)*convFactor)</f>
        <v>10609.646552365984</v>
      </c>
      <c r="AJ140" s="22">
        <f ca="1">ts2bElec*SUMPRODUCT(tpSurvRad,INDEX(tEIdxElec,32)*INDEX(elecRad,1,6)*convFactor)</f>
        <v>10609.646552365984</v>
      </c>
      <c r="AK140" s="25">
        <f ca="1">ts2bElec*SUMPRODUCT(tpSurvRad,INDEX(tEIdxElec,33)*INDEX(elecRad,1,6)*convFactor)</f>
        <v>10609.646552365984</v>
      </c>
      <c r="AL140" s="3"/>
    </row>
    <row r="141" spans="2:38">
      <c r="B141" s="3"/>
      <c r="C141" s="30" t="str">
        <f>"EL 6: " &amp; INDEX(_doName,6,7)</f>
        <v>EL 6: EL 6</v>
      </c>
      <c r="D141" s="31"/>
      <c r="E141" s="140"/>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2"/>
      <c r="AL141" s="3"/>
    </row>
    <row r="142" spans="2:38">
      <c r="B142" s="3"/>
      <c r="C142" s="23" t="s">
        <v>39</v>
      </c>
      <c r="D142" s="16" t="str">
        <f>_yearDol &amp; "$"</f>
        <v>2013$</v>
      </c>
      <c r="E142" s="141">
        <f t="array" aca="1" ref="E142:AK142" ca="1">(1+INDEX(vadRad,1,7))*INDEX(mspRad,1,7)*tPIdxAll + INDEX(instRad,1,7) + SUMPRODUCT(dFactor,tpSurvRad,INDEX(mrRad,1,7)*allOnes)</f>
        <v>1148.1543220000001</v>
      </c>
      <c r="F142" s="28">
        <f ca="1"/>
        <v>1148.1543220000001</v>
      </c>
      <c r="G142" s="28">
        <f ca="1"/>
        <v>1148.1543220000001</v>
      </c>
      <c r="H142" s="28">
        <f ca="1"/>
        <v>1148.1543220000001</v>
      </c>
      <c r="I142" s="28">
        <f ca="1"/>
        <v>1148.1543220000001</v>
      </c>
      <c r="J142" s="28">
        <f ca="1"/>
        <v>1148.1543220000001</v>
      </c>
      <c r="K142" s="28">
        <f ca="1"/>
        <v>1148.1543220000001</v>
      </c>
      <c r="L142" s="28">
        <f ca="1"/>
        <v>1148.1543220000001</v>
      </c>
      <c r="M142" s="28">
        <f ca="1"/>
        <v>1148.1543220000001</v>
      </c>
      <c r="N142" s="28">
        <f ca="1"/>
        <v>1148.1543220000001</v>
      </c>
      <c r="O142" s="28">
        <f ca="1"/>
        <v>1148.1543220000001</v>
      </c>
      <c r="P142" s="28">
        <f ca="1"/>
        <v>1148.1543220000001</v>
      </c>
      <c r="Q142" s="28">
        <f ca="1"/>
        <v>1148.1543220000001</v>
      </c>
      <c r="R142" s="28">
        <f ca="1"/>
        <v>1148.1543220000001</v>
      </c>
      <c r="S142" s="28">
        <f ca="1"/>
        <v>1148.1543220000001</v>
      </c>
      <c r="T142" s="28">
        <f ca="1"/>
        <v>1148.1543220000001</v>
      </c>
      <c r="U142" s="28">
        <f ca="1"/>
        <v>1148.1543220000001</v>
      </c>
      <c r="V142" s="28">
        <f ca="1"/>
        <v>1148.1543220000001</v>
      </c>
      <c r="W142" s="28">
        <f ca="1"/>
        <v>1148.1543220000001</v>
      </c>
      <c r="X142" s="28">
        <f ca="1"/>
        <v>1148.1543220000001</v>
      </c>
      <c r="Y142" s="28">
        <f ca="1"/>
        <v>1148.1543220000001</v>
      </c>
      <c r="Z142" s="28">
        <f ca="1"/>
        <v>1148.1543220000001</v>
      </c>
      <c r="AA142" s="28">
        <f ca="1"/>
        <v>1148.1543220000001</v>
      </c>
      <c r="AB142" s="28">
        <f ca="1"/>
        <v>1148.1543220000001</v>
      </c>
      <c r="AC142" s="28">
        <f ca="1"/>
        <v>1148.1543220000001</v>
      </c>
      <c r="AD142" s="28">
        <f ca="1"/>
        <v>1148.1543220000001</v>
      </c>
      <c r="AE142" s="28">
        <f ca="1"/>
        <v>1148.1543220000001</v>
      </c>
      <c r="AF142" s="28">
        <f ca="1"/>
        <v>1148.1543220000001</v>
      </c>
      <c r="AG142" s="28">
        <f ca="1"/>
        <v>1148.1543220000001</v>
      </c>
      <c r="AH142" s="28">
        <f ca="1"/>
        <v>1148.1543220000001</v>
      </c>
      <c r="AI142" s="28">
        <f ca="1"/>
        <v>1148.1543220000001</v>
      </c>
      <c r="AJ142" s="28">
        <f ca="1"/>
        <v>1148.1543220000001</v>
      </c>
      <c r="AK142" s="29">
        <f ca="1"/>
        <v>1148.1543220000001</v>
      </c>
      <c r="AL142" s="3"/>
    </row>
    <row r="143" spans="2:38">
      <c r="B143" s="3"/>
      <c r="C143" s="23" t="s">
        <v>47</v>
      </c>
      <c r="D143" s="16" t="str">
        <f>_yearDol &amp; "$"</f>
        <v>2013$</v>
      </c>
      <c r="E143" s="141">
        <f t="array" aca="1" ref="E143:AK143" ca="1">(tlccEFubcElec6)</f>
        <v>24447.906869118353</v>
      </c>
      <c r="F143" s="28">
        <f ca="1"/>
        <v>24555.288942432995</v>
      </c>
      <c r="G143" s="28">
        <f ca="1"/>
        <v>24650.573230343904</v>
      </c>
      <c r="H143" s="28">
        <f ca="1"/>
        <v>24754.237426853488</v>
      </c>
      <c r="I143" s="28">
        <f ca="1"/>
        <v>24845.649017312517</v>
      </c>
      <c r="J143" s="28">
        <f ca="1"/>
        <v>24945.159914345284</v>
      </c>
      <c r="K143" s="28">
        <f ca="1"/>
        <v>25032.161141161454</v>
      </c>
      <c r="L143" s="28">
        <f ca="1"/>
        <v>25126.96689585473</v>
      </c>
      <c r="M143" s="28">
        <f ca="1"/>
        <v>25230.151222128847</v>
      </c>
      <c r="N143" s="28">
        <f ca="1"/>
        <v>25321.058121564205</v>
      </c>
      <c r="O143" s="28">
        <f ca="1"/>
        <v>25420.055902548589</v>
      </c>
      <c r="P143" s="28">
        <f ca="1"/>
        <v>25527.831192599053</v>
      </c>
      <c r="Q143" s="28">
        <f ca="1"/>
        <v>25623.61421294606</v>
      </c>
      <c r="R143" s="28">
        <f ca="1"/>
        <v>25727.909736947258</v>
      </c>
      <c r="S143" s="28">
        <f ca="1"/>
        <v>25820.028344756487</v>
      </c>
      <c r="T143" s="28">
        <f ca="1"/>
        <v>25920.378936769466</v>
      </c>
      <c r="U143" s="28">
        <f ca="1"/>
        <v>26029.636896166612</v>
      </c>
      <c r="V143" s="28">
        <f ca="1"/>
        <v>26127.045389661551</v>
      </c>
      <c r="W143" s="28">
        <f ca="1"/>
        <v>26233.126925817935</v>
      </c>
      <c r="X143" s="28">
        <f ca="1"/>
        <v>26327.172251102307</v>
      </c>
      <c r="Y143" s="28">
        <f ca="1"/>
        <v>26429.652290592934</v>
      </c>
      <c r="Z143" s="28">
        <f ca="1"/>
        <v>26541.259853727555</v>
      </c>
      <c r="AA143" s="28">
        <f ca="1"/>
        <v>26641.201876702551</v>
      </c>
      <c r="AB143" s="28">
        <f ca="1"/>
        <v>26750.055018676336</v>
      </c>
      <c r="AC143" s="28">
        <f ca="1"/>
        <v>26847.076773502264</v>
      </c>
      <c r="AD143" s="28">
        <f ca="1"/>
        <v>26952.775654868979</v>
      </c>
      <c r="AE143" s="28">
        <f ca="1"/>
        <v>27067.747693720452</v>
      </c>
      <c r="AF143" s="28">
        <f ca="1"/>
        <v>27171.362115161366</v>
      </c>
      <c r="AG143" s="28">
        <f ca="1"/>
        <v>27284.245918703593</v>
      </c>
      <c r="AH143" s="28">
        <f ca="1"/>
        <v>27385.618554466109</v>
      </c>
      <c r="AI143" s="28">
        <f ca="1"/>
        <v>27496.06348920575</v>
      </c>
      <c r="AJ143" s="28">
        <f ca="1"/>
        <v>27594.84094839056</v>
      </c>
      <c r="AK143" s="29">
        <f ca="1"/>
        <v>27702.518341264135</v>
      </c>
      <c r="AL143" s="3"/>
    </row>
    <row r="144" spans="2:38">
      <c r="B144" s="3"/>
      <c r="C144" s="27" t="str">
        <f>INDEX(_fuel,1)</f>
        <v>Electricity</v>
      </c>
      <c r="D144" s="16" t="str">
        <f>_yearDol &amp; "$"</f>
        <v>2013$</v>
      </c>
      <c r="E144" s="141">
        <f ca="1">SUMPRODUCT(dFactor,tpSurvRad,INDEX(tEIdxElec,1)*INDEX(elecRad,1,7)*allOnes,OFFSET(tPrcElec,0,0,1,_maxLT))</f>
        <v>24447.906869118353</v>
      </c>
      <c r="F144" s="28">
        <f ca="1">SUMPRODUCT(dFactor,tpSurvRad,INDEX(tEIdxElec,2)*INDEX(elecRad,1,7)*allOnes,OFFSET(tPrcElec,0,1,1,_maxLT))</f>
        <v>24555.288942432995</v>
      </c>
      <c r="G144" s="28">
        <f ca="1">SUMPRODUCT(dFactor,tpSurvRad,INDEX(tEIdxElec,3)*INDEX(elecRad,1,7)*allOnes,OFFSET(tPrcElec,0,2,1,_maxLT))</f>
        <v>24650.573230343904</v>
      </c>
      <c r="H144" s="28">
        <f ca="1">SUMPRODUCT(dFactor,tpSurvRad,INDEX(tEIdxElec,4)*INDEX(elecRad,1,7)*allOnes,OFFSET(tPrcElec,0,3,1,_maxLT))</f>
        <v>24754.237426853488</v>
      </c>
      <c r="I144" s="28">
        <f ca="1">SUMPRODUCT(dFactor,tpSurvRad,INDEX(tEIdxElec,5)*INDEX(elecRad,1,7)*allOnes,OFFSET(tPrcElec,0,4,1,_maxLT))</f>
        <v>24845.649017312517</v>
      </c>
      <c r="J144" s="28">
        <f ca="1">SUMPRODUCT(dFactor,tpSurvRad,INDEX(tEIdxElec,6)*INDEX(elecRad,1,7)*allOnes,OFFSET(tPrcElec,0,5,1,_maxLT))</f>
        <v>24945.159914345284</v>
      </c>
      <c r="K144" s="28">
        <f ca="1">SUMPRODUCT(dFactor,tpSurvRad,INDEX(tEIdxElec,7)*INDEX(elecRad,1,7)*allOnes,OFFSET(tPrcElec,0,6,1,_maxLT))</f>
        <v>25032.161141161454</v>
      </c>
      <c r="L144" s="28">
        <f ca="1">SUMPRODUCT(dFactor,tpSurvRad,INDEX(tEIdxElec,8)*INDEX(elecRad,1,7)*allOnes,OFFSET(tPrcElec,0,7,1,_maxLT))</f>
        <v>25126.96689585473</v>
      </c>
      <c r="M144" s="28">
        <f ca="1">SUMPRODUCT(dFactor,tpSurvRad,INDEX(tEIdxElec,9)*INDEX(elecRad,1,7)*allOnes,OFFSET(tPrcElec,0,8,1,_maxLT))</f>
        <v>25230.151222128847</v>
      </c>
      <c r="N144" s="28">
        <f ca="1">SUMPRODUCT(dFactor,tpSurvRad,INDEX(tEIdxElec,10)*INDEX(elecRad,1,7)*allOnes,OFFSET(tPrcElec,0,9,1,_maxLT))</f>
        <v>25321.058121564205</v>
      </c>
      <c r="O144" s="28">
        <f ca="1">SUMPRODUCT(dFactor,tpSurvRad,INDEX(tEIdxElec,11)*INDEX(elecRad,1,7)*allOnes,OFFSET(tPrcElec,0,10,1,_maxLT))</f>
        <v>25420.055902548589</v>
      </c>
      <c r="P144" s="28">
        <f ca="1">SUMPRODUCT(dFactor,tpSurvRad,INDEX(tEIdxElec,12)*INDEX(elecRad,1,7)*allOnes,OFFSET(tPrcElec,0,11,1,_maxLT))</f>
        <v>25527.831192599053</v>
      </c>
      <c r="Q144" s="28">
        <f ca="1">SUMPRODUCT(dFactor,tpSurvRad,INDEX(tEIdxElec,13)*INDEX(elecRad,1,7)*allOnes,OFFSET(tPrcElec,0,12,1,_maxLT))</f>
        <v>25623.61421294606</v>
      </c>
      <c r="R144" s="28">
        <f ca="1">SUMPRODUCT(dFactor,tpSurvRad,INDEX(tEIdxElec,14)*INDEX(elecRad,1,7)*allOnes,OFFSET(tPrcElec,0,13,1,_maxLT))</f>
        <v>25727.909736947258</v>
      </c>
      <c r="S144" s="28">
        <f ca="1">SUMPRODUCT(dFactor,tpSurvRad,INDEX(tEIdxElec,15)*INDEX(elecRad,1,7)*allOnes,OFFSET(tPrcElec,0,14,1,_maxLT))</f>
        <v>25820.028344756487</v>
      </c>
      <c r="T144" s="28">
        <f ca="1">SUMPRODUCT(dFactor,tpSurvRad,INDEX(tEIdxElec,16)*INDEX(elecRad,1,7)*allOnes,OFFSET(tPrcElec,0,15,1,_maxLT))</f>
        <v>25920.378936769466</v>
      </c>
      <c r="U144" s="28">
        <f ca="1">SUMPRODUCT(dFactor,tpSurvRad,INDEX(tEIdxElec,17)*INDEX(elecRad,1,7)*allOnes,OFFSET(tPrcElec,0,16,1,_maxLT))</f>
        <v>26029.636896166612</v>
      </c>
      <c r="V144" s="28">
        <f ca="1">SUMPRODUCT(dFactor,tpSurvRad,INDEX(tEIdxElec,18)*INDEX(elecRad,1,7)*allOnes,OFFSET(tPrcElec,0,17,1,_maxLT))</f>
        <v>26127.045389661551</v>
      </c>
      <c r="W144" s="28">
        <f ca="1">SUMPRODUCT(dFactor,tpSurvRad,INDEX(tEIdxElec,19)*INDEX(elecRad,1,7)*allOnes,OFFSET(tPrcElec,0,18,1,_maxLT))</f>
        <v>26233.126925817935</v>
      </c>
      <c r="X144" s="28">
        <f ca="1">SUMPRODUCT(dFactor,tpSurvRad,INDEX(tEIdxElec,20)*INDEX(elecRad,1,7)*allOnes,OFFSET(tPrcElec,0,19,1,_maxLT))</f>
        <v>26327.172251102307</v>
      </c>
      <c r="Y144" s="28">
        <f ca="1">SUMPRODUCT(dFactor,tpSurvRad,INDEX(tEIdxElec,21)*INDEX(elecRad,1,7)*allOnes,OFFSET(tPrcElec,0,20,1,_maxLT))</f>
        <v>26429.652290592934</v>
      </c>
      <c r="Z144" s="28">
        <f ca="1">SUMPRODUCT(dFactor,tpSurvRad,INDEX(tEIdxElec,22)*INDEX(elecRad,1,7)*allOnes,OFFSET(tPrcElec,0,21,1,_maxLT))</f>
        <v>26541.259853727555</v>
      </c>
      <c r="AA144" s="28">
        <f ca="1">SUMPRODUCT(dFactor,tpSurvRad,INDEX(tEIdxElec,23)*INDEX(elecRad,1,7)*allOnes,OFFSET(tPrcElec,0,22,1,_maxLT))</f>
        <v>26641.201876702551</v>
      </c>
      <c r="AB144" s="28">
        <f ca="1">SUMPRODUCT(dFactor,tpSurvRad,INDEX(tEIdxElec,24)*INDEX(elecRad,1,7)*allOnes,OFFSET(tPrcElec,0,23,1,_maxLT))</f>
        <v>26750.055018676336</v>
      </c>
      <c r="AC144" s="28">
        <f ca="1">SUMPRODUCT(dFactor,tpSurvRad,INDEX(tEIdxElec,25)*INDEX(elecRad,1,7)*allOnes,OFFSET(tPrcElec,0,24,1,_maxLT))</f>
        <v>26847.076773502264</v>
      </c>
      <c r="AD144" s="28">
        <f ca="1">SUMPRODUCT(dFactor,tpSurvRad,INDEX(tEIdxElec,26)*INDEX(elecRad,1,7)*allOnes,OFFSET(tPrcElec,0,25,1,_maxLT))</f>
        <v>26952.775654868979</v>
      </c>
      <c r="AE144" s="28">
        <f ca="1">SUMPRODUCT(dFactor,tpSurvRad,INDEX(tEIdxElec,27)*INDEX(elecRad,1,7)*allOnes,OFFSET(tPrcElec,0,26,1,_maxLT))</f>
        <v>27067.747693720452</v>
      </c>
      <c r="AF144" s="28">
        <f ca="1">SUMPRODUCT(dFactor,tpSurvRad,INDEX(tEIdxElec,28)*INDEX(elecRad,1,7)*allOnes,OFFSET(tPrcElec,0,27,1,_maxLT))</f>
        <v>27171.362115161366</v>
      </c>
      <c r="AG144" s="28">
        <f ca="1">SUMPRODUCT(dFactor,tpSurvRad,INDEX(tEIdxElec,29)*INDEX(elecRad,1,7)*allOnes,OFFSET(tPrcElec,0,28,1,_maxLT))</f>
        <v>27284.245918703593</v>
      </c>
      <c r="AH144" s="28">
        <f ca="1">SUMPRODUCT(dFactor,tpSurvRad,INDEX(tEIdxElec,30)*INDEX(elecRad,1,7)*allOnes,OFFSET(tPrcElec,0,29,1,_maxLT))</f>
        <v>27385.618554466109</v>
      </c>
      <c r="AI144" s="28">
        <f ca="1">SUMPRODUCT(dFactor,tpSurvRad,INDEX(tEIdxElec,31)*INDEX(elecRad,1,7)*allOnes,OFFSET(tPrcElec,0,30,1,_maxLT))</f>
        <v>27496.06348920575</v>
      </c>
      <c r="AJ144" s="28">
        <f ca="1">SUMPRODUCT(dFactor,tpSurvRad,INDEX(tEIdxElec,32)*INDEX(elecRad,1,7)*allOnes,OFFSET(tPrcElec,0,31,1,_maxLT))</f>
        <v>27594.84094839056</v>
      </c>
      <c r="AK144" s="29">
        <f ca="1">SUMPRODUCT(dFactor,tpSurvRad,INDEX(tEIdxElec,33)*INDEX(elecRad,1,7)*allOnes,OFFSET(tPrcElec,0,32,1,_maxLT))</f>
        <v>27702.518341264135</v>
      </c>
      <c r="AL144" s="3"/>
    </row>
    <row r="145" spans="2:38">
      <c r="B145" s="3"/>
      <c r="C145" s="23" t="s">
        <v>44</v>
      </c>
      <c r="D145" s="13"/>
      <c r="E145" s="142"/>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4"/>
      <c r="AL145" s="3"/>
    </row>
    <row r="146" spans="2:38">
      <c r="B146" s="3"/>
      <c r="C146" s="27" t="str">
        <f>INDEX(_fuel,1)</f>
        <v>Electricity</v>
      </c>
      <c r="D146" s="16" t="s">
        <v>48</v>
      </c>
      <c r="E146" s="144">
        <f ca="1">ts2bElec*SUMPRODUCT(tpSurvRad,INDEX(tEIdxElec,1)*INDEX(elecRad,1,7)*convFactor)</f>
        <v>5615.6211473360554</v>
      </c>
      <c r="F146" s="22">
        <f ca="1">ts2bElec*SUMPRODUCT(tpSurvRad,INDEX(tEIdxElec,2)*INDEX(elecRad,1,7)*convFactor)</f>
        <v>5577.8967189152254</v>
      </c>
      <c r="G146" s="22">
        <f ca="1">ts2bElec*SUMPRODUCT(tpSurvRad,INDEX(tEIdxElec,3)*INDEX(elecRad,1,7)*convFactor)</f>
        <v>5539.8902590899952</v>
      </c>
      <c r="H146" s="22">
        <f ca="1">ts2bElec*SUMPRODUCT(tpSurvRad,INDEX(tEIdxElec,4)*INDEX(elecRad,1,7)*convFactor)</f>
        <v>5506.5236499441626</v>
      </c>
      <c r="I146" s="22">
        <f ca="1">ts2bElec*SUMPRODUCT(tpSurvRad,INDEX(tEIdxElec,5)*INDEX(elecRad,1,7)*convFactor)</f>
        <v>5474.888438717503</v>
      </c>
      <c r="J146" s="22">
        <f ca="1">ts2bElec*SUMPRODUCT(tpSurvRad,INDEX(tEIdxElec,6)*INDEX(elecRad,1,7)*convFactor)</f>
        <v>5447.3400323838623</v>
      </c>
      <c r="K146" s="22">
        <f ca="1">ts2bElec*SUMPRODUCT(tpSurvRad,INDEX(tEIdxElec,7)*INDEX(elecRad,1,7)*convFactor)</f>
        <v>5425.9820495621161</v>
      </c>
      <c r="L146" s="22">
        <f ca="1">ts2bElec*SUMPRODUCT(tpSurvRad,INDEX(tEIdxElec,8)*INDEX(elecRad,1,7)*convFactor)</f>
        <v>5408.2748173275149</v>
      </c>
      <c r="M146" s="22">
        <f ca="1">ts2bElec*SUMPRODUCT(tpSurvRad,INDEX(tEIdxElec,9)*INDEX(elecRad,1,7)*convFactor)</f>
        <v>5390.4786567924593</v>
      </c>
      <c r="N146" s="22">
        <f ca="1">ts2bElec*SUMPRODUCT(tpSurvRad,INDEX(tEIdxElec,10)*INDEX(elecRad,1,7)*convFactor)</f>
        <v>5376.2383803752573</v>
      </c>
      <c r="O146" s="22">
        <f ca="1">ts2bElec*SUMPRODUCT(tpSurvRad,INDEX(tEIdxElec,11)*INDEX(elecRad,1,7)*convFactor)</f>
        <v>5366.4271890351783</v>
      </c>
      <c r="P146" s="22">
        <f ca="1">ts2bElec*SUMPRODUCT(tpSurvRad,INDEX(tEIdxElec,12)*INDEX(elecRad,1,7)*convFactor)</f>
        <v>5359.2427564376203</v>
      </c>
      <c r="Q146" s="22">
        <f ca="1">ts2bElec*SUMPRODUCT(tpSurvRad,INDEX(tEIdxElec,13)*INDEX(elecRad,1,7)*convFactor)</f>
        <v>5353.19420835445</v>
      </c>
      <c r="R146" s="22">
        <f ca="1">ts2bElec*SUMPRODUCT(tpSurvRad,INDEX(tEIdxElec,14)*INDEX(elecRad,1,7)*convFactor)</f>
        <v>5348.7319243195006</v>
      </c>
      <c r="S146" s="22">
        <f ca="1">ts2bElec*SUMPRODUCT(tpSurvRad,INDEX(tEIdxElec,15)*INDEX(elecRad,1,7)*convFactor)</f>
        <v>5345.3303639610376</v>
      </c>
      <c r="T146" s="22">
        <f ca="1">ts2bElec*SUMPRODUCT(tpSurvRad,INDEX(tEIdxElec,16)*INDEX(elecRad,1,7)*convFactor)</f>
        <v>5344.9026678919372</v>
      </c>
      <c r="U146" s="22">
        <f ca="1">ts2bElec*SUMPRODUCT(tpSurvRad,INDEX(tEIdxElec,17)*INDEX(elecRad,1,7)*convFactor)</f>
        <v>5345.7737599060683</v>
      </c>
      <c r="V146" s="22">
        <f ca="1">ts2bElec*SUMPRODUCT(tpSurvRad,INDEX(tEIdxElec,18)*INDEX(elecRad,1,7)*convFactor)</f>
        <v>5347.0553017259781</v>
      </c>
      <c r="W146" s="22">
        <f ca="1">ts2bElec*SUMPRODUCT(tpSurvRad,INDEX(tEIdxElec,19)*INDEX(elecRad,1,7)*convFactor)</f>
        <v>5348.8880840839383</v>
      </c>
      <c r="X146" s="22">
        <f ca="1">ts2bElec*SUMPRODUCT(tpSurvRad,INDEX(tEIdxElec,20)*INDEX(elecRad,1,7)*convFactor)</f>
        <v>5350.6200437244215</v>
      </c>
      <c r="Y146" s="22">
        <f ca="1">ts2bElec*SUMPRODUCT(tpSurvRad,INDEX(tEIdxElec,21)*INDEX(elecRad,1,7)*convFactor)</f>
        <v>5352.0550648882427</v>
      </c>
      <c r="Z146" s="22">
        <f ca="1">ts2bElec*SUMPRODUCT(tpSurvRad,INDEX(tEIdxElec,22)*INDEX(elecRad,1,7)*convFactor)</f>
        <v>5353.0167319619695</v>
      </c>
      <c r="AA146" s="22">
        <f ca="1">ts2bElec*SUMPRODUCT(tpSurvRad,INDEX(tEIdxElec,23)*INDEX(elecRad,1,7)*convFactor)</f>
        <v>5353.6505345784708</v>
      </c>
      <c r="AB146" s="22">
        <f ca="1">ts2bElec*SUMPRODUCT(tpSurvRad,INDEX(tEIdxElec,24)*INDEX(elecRad,1,7)*convFactor)</f>
        <v>5353.6505345784708</v>
      </c>
      <c r="AC146" s="22">
        <f ca="1">ts2bElec*SUMPRODUCT(tpSurvRad,INDEX(tEIdxElec,25)*INDEX(elecRad,1,7)*convFactor)</f>
        <v>5353.6505345784708</v>
      </c>
      <c r="AD146" s="22">
        <f ca="1">ts2bElec*SUMPRODUCT(tpSurvRad,INDEX(tEIdxElec,26)*INDEX(elecRad,1,7)*convFactor)</f>
        <v>5353.6505345784708</v>
      </c>
      <c r="AE146" s="22">
        <f ca="1">ts2bElec*SUMPRODUCT(tpSurvRad,INDEX(tEIdxElec,27)*INDEX(elecRad,1,7)*convFactor)</f>
        <v>5353.6505345784708</v>
      </c>
      <c r="AF146" s="22">
        <f ca="1">ts2bElec*SUMPRODUCT(tpSurvRad,INDEX(tEIdxElec,28)*INDEX(elecRad,1,7)*convFactor)</f>
        <v>5353.6505345784708</v>
      </c>
      <c r="AG146" s="22">
        <f ca="1">ts2bElec*SUMPRODUCT(tpSurvRad,INDEX(tEIdxElec,29)*INDEX(elecRad,1,7)*convFactor)</f>
        <v>5353.6505345784708</v>
      </c>
      <c r="AH146" s="22">
        <f ca="1">ts2bElec*SUMPRODUCT(tpSurvRad,INDEX(tEIdxElec,30)*INDEX(elecRad,1,7)*convFactor)</f>
        <v>5353.6505345784708</v>
      </c>
      <c r="AI146" s="22">
        <f ca="1">ts2bElec*SUMPRODUCT(tpSurvRad,INDEX(tEIdxElec,31)*INDEX(elecRad,1,7)*convFactor)</f>
        <v>5353.6505345784708</v>
      </c>
      <c r="AJ146" s="22">
        <f ca="1">ts2bElec*SUMPRODUCT(tpSurvRad,INDEX(tEIdxElec,32)*INDEX(elecRad,1,7)*convFactor)</f>
        <v>5353.6505345784708</v>
      </c>
      <c r="AK146" s="25">
        <f ca="1">ts2bElec*SUMPRODUCT(tpSurvRad,INDEX(tEIdxElec,33)*INDEX(elecRad,1,7)*convFactor)</f>
        <v>5353.6505345784708</v>
      </c>
      <c r="AL146" s="3"/>
    </row>
    <row r="147" spans="2:38">
      <c r="B147" s="3"/>
      <c r="C147" s="33" t="str">
        <f>"Std (CSL " &amp; stdCSL &amp; "): " &amp; INDEX(_doName,6,stdCSL+1)</f>
        <v>Std (CSL 1): EL 1</v>
      </c>
      <c r="D147" s="31"/>
      <c r="E147" s="140"/>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2"/>
      <c r="AL147" s="3"/>
    </row>
    <row r="148" spans="2:38">
      <c r="B148" s="3"/>
      <c r="C148" s="30" t="str">
        <f>"EL 0: " &amp; INDEX(_doName,6,1)</f>
        <v>EL 0: EL 0</v>
      </c>
      <c r="D148" s="31"/>
      <c r="E148" s="140"/>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2"/>
      <c r="AL148" s="3"/>
    </row>
    <row r="149" spans="2:38">
      <c r="B149" s="3"/>
      <c r="C149" s="23" t="s">
        <v>39</v>
      </c>
      <c r="D149" s="16" t="str">
        <f>_yearDol &amp; "$"</f>
        <v>2013$</v>
      </c>
      <c r="E149" s="141">
        <f t="array" aca="1" ref="E149:AK149" ca="1">(1+INDEX(vadRad,stdCSL+1,1))*INDEX(mspRad,stdCSL+1,1)*tPIdxAll + INDEX(instRad,stdCSL+1,1) + SUMPRODUCT(dFactor,tpSurvRad,INDEX(mrRad,stdCSL+1,1)*allOnes)</f>
        <v>0</v>
      </c>
      <c r="F149" s="28">
        <f ca="1"/>
        <v>0</v>
      </c>
      <c r="G149" s="28">
        <f ca="1"/>
        <v>0</v>
      </c>
      <c r="H149" s="28">
        <f ca="1"/>
        <v>0</v>
      </c>
      <c r="I149" s="28">
        <f ca="1"/>
        <v>0</v>
      </c>
      <c r="J149" s="28">
        <f ca="1"/>
        <v>0</v>
      </c>
      <c r="K149" s="28">
        <f ca="1"/>
        <v>0</v>
      </c>
      <c r="L149" s="28">
        <f ca="1"/>
        <v>0</v>
      </c>
      <c r="M149" s="28">
        <f ca="1"/>
        <v>0</v>
      </c>
      <c r="N149" s="28">
        <f ca="1"/>
        <v>0</v>
      </c>
      <c r="O149" s="28">
        <f ca="1"/>
        <v>0</v>
      </c>
      <c r="P149" s="28">
        <f ca="1"/>
        <v>0</v>
      </c>
      <c r="Q149" s="28">
        <f ca="1"/>
        <v>0</v>
      </c>
      <c r="R149" s="28">
        <f ca="1"/>
        <v>0</v>
      </c>
      <c r="S149" s="28">
        <f ca="1"/>
        <v>0</v>
      </c>
      <c r="T149" s="28">
        <f ca="1"/>
        <v>0</v>
      </c>
      <c r="U149" s="28">
        <f ca="1"/>
        <v>0</v>
      </c>
      <c r="V149" s="28">
        <f ca="1"/>
        <v>0</v>
      </c>
      <c r="W149" s="28">
        <f ca="1"/>
        <v>0</v>
      </c>
      <c r="X149" s="28">
        <f ca="1"/>
        <v>0</v>
      </c>
      <c r="Y149" s="28">
        <f ca="1"/>
        <v>0</v>
      </c>
      <c r="Z149" s="28">
        <f ca="1"/>
        <v>0</v>
      </c>
      <c r="AA149" s="28">
        <f ca="1"/>
        <v>0</v>
      </c>
      <c r="AB149" s="28">
        <f ca="1"/>
        <v>0</v>
      </c>
      <c r="AC149" s="28">
        <f ca="1"/>
        <v>0</v>
      </c>
      <c r="AD149" s="28">
        <f ca="1"/>
        <v>0</v>
      </c>
      <c r="AE149" s="28">
        <f ca="1"/>
        <v>0</v>
      </c>
      <c r="AF149" s="28">
        <f ca="1"/>
        <v>0</v>
      </c>
      <c r="AG149" s="28">
        <f ca="1"/>
        <v>0</v>
      </c>
      <c r="AH149" s="28">
        <f ca="1"/>
        <v>0</v>
      </c>
      <c r="AI149" s="28">
        <f ca="1"/>
        <v>0</v>
      </c>
      <c r="AJ149" s="28">
        <f ca="1"/>
        <v>0</v>
      </c>
      <c r="AK149" s="29">
        <f ca="1"/>
        <v>0</v>
      </c>
      <c r="AL149" s="3"/>
    </row>
    <row r="150" spans="2:38">
      <c r="B150" s="3"/>
      <c r="C150" s="23" t="s">
        <v>47</v>
      </c>
      <c r="D150" s="16" t="str">
        <f>_yearDol &amp; "$"</f>
        <v>2013$</v>
      </c>
      <c r="E150" s="141">
        <f t="array" aca="1" ref="E150:AK150" ca="1">(tlccEFupolElec0)</f>
        <v>0</v>
      </c>
      <c r="F150" s="28">
        <f ca="1"/>
        <v>0</v>
      </c>
      <c r="G150" s="28">
        <f ca="1"/>
        <v>0</v>
      </c>
      <c r="H150" s="28">
        <f ca="1"/>
        <v>0</v>
      </c>
      <c r="I150" s="28">
        <f ca="1"/>
        <v>0</v>
      </c>
      <c r="J150" s="28">
        <f ca="1"/>
        <v>0</v>
      </c>
      <c r="K150" s="28">
        <f ca="1"/>
        <v>0</v>
      </c>
      <c r="L150" s="28">
        <f ca="1"/>
        <v>0</v>
      </c>
      <c r="M150" s="28">
        <f ca="1"/>
        <v>0</v>
      </c>
      <c r="N150" s="28">
        <f ca="1"/>
        <v>0</v>
      </c>
      <c r="O150" s="28">
        <f ca="1"/>
        <v>0</v>
      </c>
      <c r="P150" s="28">
        <f ca="1"/>
        <v>0</v>
      </c>
      <c r="Q150" s="28">
        <f ca="1"/>
        <v>0</v>
      </c>
      <c r="R150" s="28">
        <f ca="1"/>
        <v>0</v>
      </c>
      <c r="S150" s="28">
        <f ca="1"/>
        <v>0</v>
      </c>
      <c r="T150" s="28">
        <f ca="1"/>
        <v>0</v>
      </c>
      <c r="U150" s="28">
        <f ca="1"/>
        <v>0</v>
      </c>
      <c r="V150" s="28">
        <f ca="1"/>
        <v>0</v>
      </c>
      <c r="W150" s="28">
        <f ca="1"/>
        <v>0</v>
      </c>
      <c r="X150" s="28">
        <f ca="1"/>
        <v>0</v>
      </c>
      <c r="Y150" s="28">
        <f ca="1"/>
        <v>0</v>
      </c>
      <c r="Z150" s="28">
        <f ca="1"/>
        <v>0</v>
      </c>
      <c r="AA150" s="28">
        <f ca="1"/>
        <v>0</v>
      </c>
      <c r="AB150" s="28">
        <f ca="1"/>
        <v>0</v>
      </c>
      <c r="AC150" s="28">
        <f ca="1"/>
        <v>0</v>
      </c>
      <c r="AD150" s="28">
        <f ca="1"/>
        <v>0</v>
      </c>
      <c r="AE150" s="28">
        <f ca="1"/>
        <v>0</v>
      </c>
      <c r="AF150" s="28">
        <f ca="1"/>
        <v>0</v>
      </c>
      <c r="AG150" s="28">
        <f ca="1"/>
        <v>0</v>
      </c>
      <c r="AH150" s="28">
        <f ca="1"/>
        <v>0</v>
      </c>
      <c r="AI150" s="28">
        <f ca="1"/>
        <v>0</v>
      </c>
      <c r="AJ150" s="28">
        <f ca="1"/>
        <v>0</v>
      </c>
      <c r="AK150" s="29">
        <f ca="1"/>
        <v>0</v>
      </c>
      <c r="AL150" s="3"/>
    </row>
    <row r="151" spans="2:38">
      <c r="B151" s="3"/>
      <c r="C151" s="27" t="str">
        <f>INDEX(_fuel,1)</f>
        <v>Electricity</v>
      </c>
      <c r="D151" s="16" t="str">
        <f>_yearDol &amp; "$"</f>
        <v>2013$</v>
      </c>
      <c r="E151" s="141">
        <f ca="1">SUMPRODUCT(dFactor,tpSurvRad,INDEX(tEIdxElec,1)*INDEX(elecRad,stdCSL+1,1)*allOnes,OFFSET(tPrcElec,0,0,1,_maxLT))</f>
        <v>0</v>
      </c>
      <c r="F151" s="28">
        <f ca="1">SUMPRODUCT(dFactor,tpSurvRad,INDEX(tEIdxElec,2)*INDEX(elecRad,stdCSL+1,1)*allOnes,OFFSET(tPrcElec,0,1,1,_maxLT))</f>
        <v>0</v>
      </c>
      <c r="G151" s="28">
        <f ca="1">SUMPRODUCT(dFactor,tpSurvRad,INDEX(tEIdxElec,3)*INDEX(elecRad,stdCSL+1,1)*allOnes,OFFSET(tPrcElec,0,2,1,_maxLT))</f>
        <v>0</v>
      </c>
      <c r="H151" s="28">
        <f ca="1">SUMPRODUCT(dFactor,tpSurvRad,INDEX(tEIdxElec,4)*INDEX(elecRad,stdCSL+1,1)*allOnes,OFFSET(tPrcElec,0,3,1,_maxLT))</f>
        <v>0</v>
      </c>
      <c r="I151" s="28">
        <f ca="1">SUMPRODUCT(dFactor,tpSurvRad,INDEX(tEIdxElec,5)*INDEX(elecRad,stdCSL+1,1)*allOnes,OFFSET(tPrcElec,0,4,1,_maxLT))</f>
        <v>0</v>
      </c>
      <c r="J151" s="28">
        <f ca="1">SUMPRODUCT(dFactor,tpSurvRad,INDEX(tEIdxElec,6)*INDEX(elecRad,stdCSL+1,1)*allOnes,OFFSET(tPrcElec,0,5,1,_maxLT))</f>
        <v>0</v>
      </c>
      <c r="K151" s="28">
        <f ca="1">SUMPRODUCT(dFactor,tpSurvRad,INDEX(tEIdxElec,7)*INDEX(elecRad,stdCSL+1,1)*allOnes,OFFSET(tPrcElec,0,6,1,_maxLT))</f>
        <v>0</v>
      </c>
      <c r="L151" s="28">
        <f ca="1">SUMPRODUCT(dFactor,tpSurvRad,INDEX(tEIdxElec,8)*INDEX(elecRad,stdCSL+1,1)*allOnes,OFFSET(tPrcElec,0,7,1,_maxLT))</f>
        <v>0</v>
      </c>
      <c r="M151" s="28">
        <f ca="1">SUMPRODUCT(dFactor,tpSurvRad,INDEX(tEIdxElec,9)*INDEX(elecRad,stdCSL+1,1)*allOnes,OFFSET(tPrcElec,0,8,1,_maxLT))</f>
        <v>0</v>
      </c>
      <c r="N151" s="28">
        <f ca="1">SUMPRODUCT(dFactor,tpSurvRad,INDEX(tEIdxElec,10)*INDEX(elecRad,stdCSL+1,1)*allOnes,OFFSET(tPrcElec,0,9,1,_maxLT))</f>
        <v>0</v>
      </c>
      <c r="O151" s="28">
        <f ca="1">SUMPRODUCT(dFactor,tpSurvRad,INDEX(tEIdxElec,11)*INDEX(elecRad,stdCSL+1,1)*allOnes,OFFSET(tPrcElec,0,10,1,_maxLT))</f>
        <v>0</v>
      </c>
      <c r="P151" s="28">
        <f ca="1">SUMPRODUCT(dFactor,tpSurvRad,INDEX(tEIdxElec,12)*INDEX(elecRad,stdCSL+1,1)*allOnes,OFFSET(tPrcElec,0,11,1,_maxLT))</f>
        <v>0</v>
      </c>
      <c r="Q151" s="28">
        <f ca="1">SUMPRODUCT(dFactor,tpSurvRad,INDEX(tEIdxElec,13)*INDEX(elecRad,stdCSL+1,1)*allOnes,OFFSET(tPrcElec,0,12,1,_maxLT))</f>
        <v>0</v>
      </c>
      <c r="R151" s="28">
        <f ca="1">SUMPRODUCT(dFactor,tpSurvRad,INDEX(tEIdxElec,14)*INDEX(elecRad,stdCSL+1,1)*allOnes,OFFSET(tPrcElec,0,13,1,_maxLT))</f>
        <v>0</v>
      </c>
      <c r="S151" s="28">
        <f ca="1">SUMPRODUCT(dFactor,tpSurvRad,INDEX(tEIdxElec,15)*INDEX(elecRad,stdCSL+1,1)*allOnes,OFFSET(tPrcElec,0,14,1,_maxLT))</f>
        <v>0</v>
      </c>
      <c r="T151" s="28">
        <f ca="1">SUMPRODUCT(dFactor,tpSurvRad,INDEX(tEIdxElec,16)*INDEX(elecRad,stdCSL+1,1)*allOnes,OFFSET(tPrcElec,0,15,1,_maxLT))</f>
        <v>0</v>
      </c>
      <c r="U151" s="28">
        <f ca="1">SUMPRODUCT(dFactor,tpSurvRad,INDEX(tEIdxElec,17)*INDEX(elecRad,stdCSL+1,1)*allOnes,OFFSET(tPrcElec,0,16,1,_maxLT))</f>
        <v>0</v>
      </c>
      <c r="V151" s="28">
        <f ca="1">SUMPRODUCT(dFactor,tpSurvRad,INDEX(tEIdxElec,18)*INDEX(elecRad,stdCSL+1,1)*allOnes,OFFSET(tPrcElec,0,17,1,_maxLT))</f>
        <v>0</v>
      </c>
      <c r="W151" s="28">
        <f ca="1">SUMPRODUCT(dFactor,tpSurvRad,INDEX(tEIdxElec,19)*INDEX(elecRad,stdCSL+1,1)*allOnes,OFFSET(tPrcElec,0,18,1,_maxLT))</f>
        <v>0</v>
      </c>
      <c r="X151" s="28">
        <f ca="1">SUMPRODUCT(dFactor,tpSurvRad,INDEX(tEIdxElec,20)*INDEX(elecRad,stdCSL+1,1)*allOnes,OFFSET(tPrcElec,0,19,1,_maxLT))</f>
        <v>0</v>
      </c>
      <c r="Y151" s="28">
        <f ca="1">SUMPRODUCT(dFactor,tpSurvRad,INDEX(tEIdxElec,21)*INDEX(elecRad,stdCSL+1,1)*allOnes,OFFSET(tPrcElec,0,20,1,_maxLT))</f>
        <v>0</v>
      </c>
      <c r="Z151" s="28">
        <f ca="1">SUMPRODUCT(dFactor,tpSurvRad,INDEX(tEIdxElec,22)*INDEX(elecRad,stdCSL+1,1)*allOnes,OFFSET(tPrcElec,0,21,1,_maxLT))</f>
        <v>0</v>
      </c>
      <c r="AA151" s="28">
        <f ca="1">SUMPRODUCT(dFactor,tpSurvRad,INDEX(tEIdxElec,23)*INDEX(elecRad,stdCSL+1,1)*allOnes,OFFSET(tPrcElec,0,22,1,_maxLT))</f>
        <v>0</v>
      </c>
      <c r="AB151" s="28">
        <f ca="1">SUMPRODUCT(dFactor,tpSurvRad,INDEX(tEIdxElec,24)*INDEX(elecRad,stdCSL+1,1)*allOnes,OFFSET(tPrcElec,0,23,1,_maxLT))</f>
        <v>0</v>
      </c>
      <c r="AC151" s="28">
        <f ca="1">SUMPRODUCT(dFactor,tpSurvRad,INDEX(tEIdxElec,25)*INDEX(elecRad,stdCSL+1,1)*allOnes,OFFSET(tPrcElec,0,24,1,_maxLT))</f>
        <v>0</v>
      </c>
      <c r="AD151" s="28">
        <f ca="1">SUMPRODUCT(dFactor,tpSurvRad,INDEX(tEIdxElec,26)*INDEX(elecRad,stdCSL+1,1)*allOnes,OFFSET(tPrcElec,0,25,1,_maxLT))</f>
        <v>0</v>
      </c>
      <c r="AE151" s="28">
        <f ca="1">SUMPRODUCT(dFactor,tpSurvRad,INDEX(tEIdxElec,27)*INDEX(elecRad,stdCSL+1,1)*allOnes,OFFSET(tPrcElec,0,26,1,_maxLT))</f>
        <v>0</v>
      </c>
      <c r="AF151" s="28">
        <f ca="1">SUMPRODUCT(dFactor,tpSurvRad,INDEX(tEIdxElec,28)*INDEX(elecRad,stdCSL+1,1)*allOnes,OFFSET(tPrcElec,0,27,1,_maxLT))</f>
        <v>0</v>
      </c>
      <c r="AG151" s="28">
        <f ca="1">SUMPRODUCT(dFactor,tpSurvRad,INDEX(tEIdxElec,29)*INDEX(elecRad,stdCSL+1,1)*allOnes,OFFSET(tPrcElec,0,28,1,_maxLT))</f>
        <v>0</v>
      </c>
      <c r="AH151" s="28">
        <f ca="1">SUMPRODUCT(dFactor,tpSurvRad,INDEX(tEIdxElec,30)*INDEX(elecRad,stdCSL+1,1)*allOnes,OFFSET(tPrcElec,0,29,1,_maxLT))</f>
        <v>0</v>
      </c>
      <c r="AI151" s="28">
        <f ca="1">SUMPRODUCT(dFactor,tpSurvRad,INDEX(tEIdxElec,31)*INDEX(elecRad,stdCSL+1,1)*allOnes,OFFSET(tPrcElec,0,30,1,_maxLT))</f>
        <v>0</v>
      </c>
      <c r="AJ151" s="28">
        <f ca="1">SUMPRODUCT(dFactor,tpSurvRad,INDEX(tEIdxElec,32)*INDEX(elecRad,stdCSL+1,1)*allOnes,OFFSET(tPrcElec,0,31,1,_maxLT))</f>
        <v>0</v>
      </c>
      <c r="AK151" s="29">
        <f ca="1">SUMPRODUCT(dFactor,tpSurvRad,INDEX(tEIdxElec,33)*INDEX(elecRad,stdCSL+1,1)*allOnes,OFFSET(tPrcElec,0,32,1,_maxLT))</f>
        <v>0</v>
      </c>
      <c r="AL151" s="3"/>
    </row>
    <row r="152" spans="2:38">
      <c r="B152" s="3"/>
      <c r="C152" s="23" t="s">
        <v>44</v>
      </c>
      <c r="D152" s="13"/>
      <c r="E152" s="142"/>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4"/>
      <c r="AL152" s="3"/>
    </row>
    <row r="153" spans="2:38">
      <c r="B153" s="3"/>
      <c r="C153" s="27" t="str">
        <f>INDEX(_fuel,1)</f>
        <v>Electricity</v>
      </c>
      <c r="D153" s="16" t="s">
        <v>48</v>
      </c>
      <c r="E153" s="144">
        <f ca="1">ts2bElec*SUMPRODUCT(tpSurvRad,INDEX(tEIdxElec,1)*INDEX(elecRad,stdCSL+1,1)*convFactor)</f>
        <v>0</v>
      </c>
      <c r="F153" s="22">
        <f ca="1">ts2bElec*SUMPRODUCT(tpSurvRad,INDEX(tEIdxElec,2)*INDEX(elecRad,stdCSL+1,1)*convFactor)</f>
        <v>0</v>
      </c>
      <c r="G153" s="22">
        <f ca="1">ts2bElec*SUMPRODUCT(tpSurvRad,INDEX(tEIdxElec,3)*INDEX(elecRad,stdCSL+1,1)*convFactor)</f>
        <v>0</v>
      </c>
      <c r="H153" s="22">
        <f ca="1">ts2bElec*SUMPRODUCT(tpSurvRad,INDEX(tEIdxElec,4)*INDEX(elecRad,stdCSL+1,1)*convFactor)</f>
        <v>0</v>
      </c>
      <c r="I153" s="22">
        <f ca="1">ts2bElec*SUMPRODUCT(tpSurvRad,INDEX(tEIdxElec,5)*INDEX(elecRad,stdCSL+1,1)*convFactor)</f>
        <v>0</v>
      </c>
      <c r="J153" s="22">
        <f ca="1">ts2bElec*SUMPRODUCT(tpSurvRad,INDEX(tEIdxElec,6)*INDEX(elecRad,stdCSL+1,1)*convFactor)</f>
        <v>0</v>
      </c>
      <c r="K153" s="22">
        <f ca="1">ts2bElec*SUMPRODUCT(tpSurvRad,INDEX(tEIdxElec,7)*INDEX(elecRad,stdCSL+1,1)*convFactor)</f>
        <v>0</v>
      </c>
      <c r="L153" s="22">
        <f ca="1">ts2bElec*SUMPRODUCT(tpSurvRad,INDEX(tEIdxElec,8)*INDEX(elecRad,stdCSL+1,1)*convFactor)</f>
        <v>0</v>
      </c>
      <c r="M153" s="22">
        <f ca="1">ts2bElec*SUMPRODUCT(tpSurvRad,INDEX(tEIdxElec,9)*INDEX(elecRad,stdCSL+1,1)*convFactor)</f>
        <v>0</v>
      </c>
      <c r="N153" s="22">
        <f ca="1">ts2bElec*SUMPRODUCT(tpSurvRad,INDEX(tEIdxElec,10)*INDEX(elecRad,stdCSL+1,1)*convFactor)</f>
        <v>0</v>
      </c>
      <c r="O153" s="22">
        <f ca="1">ts2bElec*SUMPRODUCT(tpSurvRad,INDEX(tEIdxElec,11)*INDEX(elecRad,stdCSL+1,1)*convFactor)</f>
        <v>0</v>
      </c>
      <c r="P153" s="22">
        <f ca="1">ts2bElec*SUMPRODUCT(tpSurvRad,INDEX(tEIdxElec,12)*INDEX(elecRad,stdCSL+1,1)*convFactor)</f>
        <v>0</v>
      </c>
      <c r="Q153" s="22">
        <f ca="1">ts2bElec*SUMPRODUCT(tpSurvRad,INDEX(tEIdxElec,13)*INDEX(elecRad,stdCSL+1,1)*convFactor)</f>
        <v>0</v>
      </c>
      <c r="R153" s="22">
        <f ca="1">ts2bElec*SUMPRODUCT(tpSurvRad,INDEX(tEIdxElec,14)*INDEX(elecRad,stdCSL+1,1)*convFactor)</f>
        <v>0</v>
      </c>
      <c r="S153" s="22">
        <f ca="1">ts2bElec*SUMPRODUCT(tpSurvRad,INDEX(tEIdxElec,15)*INDEX(elecRad,stdCSL+1,1)*convFactor)</f>
        <v>0</v>
      </c>
      <c r="T153" s="22">
        <f ca="1">ts2bElec*SUMPRODUCT(tpSurvRad,INDEX(tEIdxElec,16)*INDEX(elecRad,stdCSL+1,1)*convFactor)</f>
        <v>0</v>
      </c>
      <c r="U153" s="22">
        <f ca="1">ts2bElec*SUMPRODUCT(tpSurvRad,INDEX(tEIdxElec,17)*INDEX(elecRad,stdCSL+1,1)*convFactor)</f>
        <v>0</v>
      </c>
      <c r="V153" s="22">
        <f ca="1">ts2bElec*SUMPRODUCT(tpSurvRad,INDEX(tEIdxElec,18)*INDEX(elecRad,stdCSL+1,1)*convFactor)</f>
        <v>0</v>
      </c>
      <c r="W153" s="22">
        <f ca="1">ts2bElec*SUMPRODUCT(tpSurvRad,INDEX(tEIdxElec,19)*INDEX(elecRad,stdCSL+1,1)*convFactor)</f>
        <v>0</v>
      </c>
      <c r="X153" s="22">
        <f ca="1">ts2bElec*SUMPRODUCT(tpSurvRad,INDEX(tEIdxElec,20)*INDEX(elecRad,stdCSL+1,1)*convFactor)</f>
        <v>0</v>
      </c>
      <c r="Y153" s="22">
        <f ca="1">ts2bElec*SUMPRODUCT(tpSurvRad,INDEX(tEIdxElec,21)*INDEX(elecRad,stdCSL+1,1)*convFactor)</f>
        <v>0</v>
      </c>
      <c r="Z153" s="22">
        <f ca="1">ts2bElec*SUMPRODUCT(tpSurvRad,INDEX(tEIdxElec,22)*INDEX(elecRad,stdCSL+1,1)*convFactor)</f>
        <v>0</v>
      </c>
      <c r="AA153" s="22">
        <f ca="1">ts2bElec*SUMPRODUCT(tpSurvRad,INDEX(tEIdxElec,23)*INDEX(elecRad,stdCSL+1,1)*convFactor)</f>
        <v>0</v>
      </c>
      <c r="AB153" s="22">
        <f ca="1">ts2bElec*SUMPRODUCT(tpSurvRad,INDEX(tEIdxElec,24)*INDEX(elecRad,stdCSL+1,1)*convFactor)</f>
        <v>0</v>
      </c>
      <c r="AC153" s="22">
        <f ca="1">ts2bElec*SUMPRODUCT(tpSurvRad,INDEX(tEIdxElec,25)*INDEX(elecRad,stdCSL+1,1)*convFactor)</f>
        <v>0</v>
      </c>
      <c r="AD153" s="22">
        <f ca="1">ts2bElec*SUMPRODUCT(tpSurvRad,INDEX(tEIdxElec,26)*INDEX(elecRad,stdCSL+1,1)*convFactor)</f>
        <v>0</v>
      </c>
      <c r="AE153" s="22">
        <f ca="1">ts2bElec*SUMPRODUCT(tpSurvRad,INDEX(tEIdxElec,27)*INDEX(elecRad,stdCSL+1,1)*convFactor)</f>
        <v>0</v>
      </c>
      <c r="AF153" s="22">
        <f ca="1">ts2bElec*SUMPRODUCT(tpSurvRad,INDEX(tEIdxElec,28)*INDEX(elecRad,stdCSL+1,1)*convFactor)</f>
        <v>0</v>
      </c>
      <c r="AG153" s="22">
        <f ca="1">ts2bElec*SUMPRODUCT(tpSurvRad,INDEX(tEIdxElec,29)*INDEX(elecRad,stdCSL+1,1)*convFactor)</f>
        <v>0</v>
      </c>
      <c r="AH153" s="22">
        <f ca="1">ts2bElec*SUMPRODUCT(tpSurvRad,INDEX(tEIdxElec,30)*INDEX(elecRad,stdCSL+1,1)*convFactor)</f>
        <v>0</v>
      </c>
      <c r="AI153" s="22">
        <f ca="1">ts2bElec*SUMPRODUCT(tpSurvRad,INDEX(tEIdxElec,31)*INDEX(elecRad,stdCSL+1,1)*convFactor)</f>
        <v>0</v>
      </c>
      <c r="AJ153" s="22">
        <f ca="1">ts2bElec*SUMPRODUCT(tpSurvRad,INDEX(tEIdxElec,32)*INDEX(elecRad,stdCSL+1,1)*convFactor)</f>
        <v>0</v>
      </c>
      <c r="AK153" s="25">
        <f ca="1">ts2bElec*SUMPRODUCT(tpSurvRad,INDEX(tEIdxElec,33)*INDEX(elecRad,stdCSL+1,1)*convFactor)</f>
        <v>0</v>
      </c>
      <c r="AL153" s="3"/>
    </row>
    <row r="154" spans="2:38">
      <c r="B154" s="3"/>
      <c r="C154" s="30" t="str">
        <f>"EL 1: " &amp; INDEX(_doName,6,2)</f>
        <v>EL 1: EL 1</v>
      </c>
      <c r="D154" s="31"/>
      <c r="E154" s="140"/>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2"/>
      <c r="AL154" s="3"/>
    </row>
    <row r="155" spans="2:38">
      <c r="B155" s="3"/>
      <c r="C155" s="23" t="s">
        <v>39</v>
      </c>
      <c r="D155" s="16" t="str">
        <f>_yearDol &amp; "$"</f>
        <v>2013$</v>
      </c>
      <c r="E155" s="141">
        <f t="array" aca="1" ref="E155:AK155" ca="1">(1+INDEX(vadRad,stdCSL+1,2))*INDEX(mspRad,stdCSL+1,2)*tPIdxAll + INDEX(instRad,stdCSL+1,2) + SUMPRODUCT(dFactor,tpSurvRad,INDEX(mrRad,stdCSL+1,2)*allOnes)</f>
        <v>1430.6080039999997</v>
      </c>
      <c r="F155" s="28">
        <f ca="1"/>
        <v>1430.6080039999997</v>
      </c>
      <c r="G155" s="28">
        <f ca="1"/>
        <v>1430.6080039999997</v>
      </c>
      <c r="H155" s="28">
        <f ca="1"/>
        <v>1430.6080039999997</v>
      </c>
      <c r="I155" s="28">
        <f ca="1"/>
        <v>1430.6080039999997</v>
      </c>
      <c r="J155" s="28">
        <f ca="1"/>
        <v>1430.6080039999997</v>
      </c>
      <c r="K155" s="28">
        <f ca="1"/>
        <v>1430.6080039999997</v>
      </c>
      <c r="L155" s="28">
        <f ca="1"/>
        <v>1430.6080039999997</v>
      </c>
      <c r="M155" s="28">
        <f ca="1"/>
        <v>1430.6080039999997</v>
      </c>
      <c r="N155" s="28">
        <f ca="1"/>
        <v>1430.6080039999997</v>
      </c>
      <c r="O155" s="28">
        <f ca="1"/>
        <v>1430.6080039999997</v>
      </c>
      <c r="P155" s="28">
        <f ca="1"/>
        <v>1430.6080039999997</v>
      </c>
      <c r="Q155" s="28">
        <f ca="1"/>
        <v>1430.6080039999997</v>
      </c>
      <c r="R155" s="28">
        <f ca="1"/>
        <v>1430.6080039999997</v>
      </c>
      <c r="S155" s="28">
        <f ca="1"/>
        <v>1430.6080039999997</v>
      </c>
      <c r="T155" s="28">
        <f ca="1"/>
        <v>1430.6080039999997</v>
      </c>
      <c r="U155" s="28">
        <f ca="1"/>
        <v>1430.6080039999997</v>
      </c>
      <c r="V155" s="28">
        <f ca="1"/>
        <v>1430.6080039999997</v>
      </c>
      <c r="W155" s="28">
        <f ca="1"/>
        <v>1430.6080039999997</v>
      </c>
      <c r="X155" s="28">
        <f ca="1"/>
        <v>1430.6080039999997</v>
      </c>
      <c r="Y155" s="28">
        <f ca="1"/>
        <v>1430.6080039999997</v>
      </c>
      <c r="Z155" s="28">
        <f ca="1"/>
        <v>1430.6080039999997</v>
      </c>
      <c r="AA155" s="28">
        <f ca="1"/>
        <v>1430.6080039999997</v>
      </c>
      <c r="AB155" s="28">
        <f ca="1"/>
        <v>1430.6080039999997</v>
      </c>
      <c r="AC155" s="28">
        <f ca="1"/>
        <v>1430.6080039999997</v>
      </c>
      <c r="AD155" s="28">
        <f ca="1"/>
        <v>1430.6080039999997</v>
      </c>
      <c r="AE155" s="28">
        <f ca="1"/>
        <v>1430.6080039999997</v>
      </c>
      <c r="AF155" s="28">
        <f ca="1"/>
        <v>1430.6080039999997</v>
      </c>
      <c r="AG155" s="28">
        <f ca="1"/>
        <v>1430.6080039999997</v>
      </c>
      <c r="AH155" s="28">
        <f ca="1"/>
        <v>1430.6080039999997</v>
      </c>
      <c r="AI155" s="28">
        <f ca="1"/>
        <v>1430.6080039999997</v>
      </c>
      <c r="AJ155" s="28">
        <f ca="1"/>
        <v>1430.6080039999997</v>
      </c>
      <c r="AK155" s="29">
        <f ca="1"/>
        <v>1430.6080039999997</v>
      </c>
      <c r="AL155" s="3"/>
    </row>
    <row r="156" spans="2:38">
      <c r="B156" s="3"/>
      <c r="C156" s="23" t="s">
        <v>47</v>
      </c>
      <c r="D156" s="16" t="str">
        <f>_yearDol &amp; "$"</f>
        <v>2013$</v>
      </c>
      <c r="E156" s="141">
        <f t="array" aca="1" ref="E156:AK156" ca="1">(tlccEFupolElec1)</f>
        <v>57516.856373725779</v>
      </c>
      <c r="F156" s="28">
        <f ca="1"/>
        <v>57769.486560883139</v>
      </c>
      <c r="G156" s="28">
        <f ca="1"/>
        <v>57993.655146430523</v>
      </c>
      <c r="H156" s="28">
        <f ca="1"/>
        <v>58237.538548541757</v>
      </c>
      <c r="I156" s="28">
        <f ca="1"/>
        <v>58452.596113488857</v>
      </c>
      <c r="J156" s="28">
        <f ca="1"/>
        <v>58686.708342519152</v>
      </c>
      <c r="K156" s="28">
        <f ca="1"/>
        <v>58891.389957755644</v>
      </c>
      <c r="L156" s="28">
        <f ca="1"/>
        <v>59114.432732144829</v>
      </c>
      <c r="M156" s="28">
        <f ca="1"/>
        <v>59357.187177590815</v>
      </c>
      <c r="N156" s="28">
        <f ca="1"/>
        <v>59571.057391764822</v>
      </c>
      <c r="O156" s="28">
        <f ca="1"/>
        <v>59803.96244906394</v>
      </c>
      <c r="P156" s="28">
        <f ca="1"/>
        <v>60057.517729344341</v>
      </c>
      <c r="Q156" s="28">
        <f ca="1"/>
        <v>60282.859647318481</v>
      </c>
      <c r="R156" s="28">
        <f ca="1"/>
        <v>60528.228328838508</v>
      </c>
      <c r="S156" s="28">
        <f ca="1"/>
        <v>60744.949243355913</v>
      </c>
      <c r="T156" s="28">
        <f ca="1"/>
        <v>60981.036963205683</v>
      </c>
      <c r="U156" s="28">
        <f ca="1"/>
        <v>61238.080414490658</v>
      </c>
      <c r="V156" s="28">
        <f ca="1"/>
        <v>61467.246467843317</v>
      </c>
      <c r="W156" s="28">
        <f ca="1"/>
        <v>61716.816973476991</v>
      </c>
      <c r="X156" s="28">
        <f ca="1"/>
        <v>61938.070739533883</v>
      </c>
      <c r="Y156" s="28">
        <f ca="1"/>
        <v>62179.168259420228</v>
      </c>
      <c r="Z156" s="28">
        <f ca="1"/>
        <v>62441.739456758361</v>
      </c>
      <c r="AA156" s="28">
        <f ca="1"/>
        <v>62676.865965212717</v>
      </c>
      <c r="AB156" s="28">
        <f ca="1"/>
        <v>62932.957031259903</v>
      </c>
      <c r="AC156" s="28">
        <f ca="1"/>
        <v>63161.213231977759</v>
      </c>
      <c r="AD156" s="28">
        <f ca="1"/>
        <v>63409.883492829882</v>
      </c>
      <c r="AE156" s="28">
        <f ca="1"/>
        <v>63680.370053541053</v>
      </c>
      <c r="AF156" s="28">
        <f ca="1"/>
        <v>63924.136353378875</v>
      </c>
      <c r="AG156" s="28">
        <f ca="1"/>
        <v>64189.710070998844</v>
      </c>
      <c r="AH156" s="28">
        <f ca="1"/>
        <v>64428.202280683428</v>
      </c>
      <c r="AI156" s="28">
        <f ca="1"/>
        <v>64688.038244663199</v>
      </c>
      <c r="AJ156" s="28">
        <f ca="1"/>
        <v>64920.424966492181</v>
      </c>
      <c r="AK156" s="29">
        <f ca="1"/>
        <v>65173.749931028491</v>
      </c>
      <c r="AL156" s="3"/>
    </row>
    <row r="157" spans="2:38">
      <c r="B157" s="3"/>
      <c r="C157" s="27" t="str">
        <f>INDEX(_fuel,1)</f>
        <v>Electricity</v>
      </c>
      <c r="D157" s="16" t="str">
        <f>_yearDol &amp; "$"</f>
        <v>2013$</v>
      </c>
      <c r="E157" s="141">
        <f ca="1">SUMPRODUCT(dFactor,tpSurvRad,INDEX(tEIdxElec,1)*INDEX(elecRad,stdCSL+1,2)*allOnes,OFFSET(tPrcElec,0,0,1,_maxLT))</f>
        <v>57516.856373725779</v>
      </c>
      <c r="F157" s="28">
        <f ca="1">SUMPRODUCT(dFactor,tpSurvRad,INDEX(tEIdxElec,2)*INDEX(elecRad,stdCSL+1,2)*allOnes,OFFSET(tPrcElec,0,1,1,_maxLT))</f>
        <v>57769.486560883139</v>
      </c>
      <c r="G157" s="28">
        <f ca="1">SUMPRODUCT(dFactor,tpSurvRad,INDEX(tEIdxElec,3)*INDEX(elecRad,stdCSL+1,2)*allOnes,OFFSET(tPrcElec,0,2,1,_maxLT))</f>
        <v>57993.655146430523</v>
      </c>
      <c r="H157" s="28">
        <f ca="1">SUMPRODUCT(dFactor,tpSurvRad,INDEX(tEIdxElec,4)*INDEX(elecRad,stdCSL+1,2)*allOnes,OFFSET(tPrcElec,0,3,1,_maxLT))</f>
        <v>58237.538548541757</v>
      </c>
      <c r="I157" s="28">
        <f ca="1">SUMPRODUCT(dFactor,tpSurvRad,INDEX(tEIdxElec,5)*INDEX(elecRad,stdCSL+1,2)*allOnes,OFFSET(tPrcElec,0,4,1,_maxLT))</f>
        <v>58452.596113488857</v>
      </c>
      <c r="J157" s="28">
        <f ca="1">SUMPRODUCT(dFactor,tpSurvRad,INDEX(tEIdxElec,6)*INDEX(elecRad,stdCSL+1,2)*allOnes,OFFSET(tPrcElec,0,5,1,_maxLT))</f>
        <v>58686.708342519152</v>
      </c>
      <c r="K157" s="28">
        <f ca="1">SUMPRODUCT(dFactor,tpSurvRad,INDEX(tEIdxElec,7)*INDEX(elecRad,stdCSL+1,2)*allOnes,OFFSET(tPrcElec,0,6,1,_maxLT))</f>
        <v>58891.389957755644</v>
      </c>
      <c r="L157" s="28">
        <f ca="1">SUMPRODUCT(dFactor,tpSurvRad,INDEX(tEIdxElec,8)*INDEX(elecRad,stdCSL+1,2)*allOnes,OFFSET(tPrcElec,0,7,1,_maxLT))</f>
        <v>59114.432732144829</v>
      </c>
      <c r="M157" s="28">
        <f ca="1">SUMPRODUCT(dFactor,tpSurvRad,INDEX(tEIdxElec,9)*INDEX(elecRad,stdCSL+1,2)*allOnes,OFFSET(tPrcElec,0,8,1,_maxLT))</f>
        <v>59357.187177590815</v>
      </c>
      <c r="N157" s="28">
        <f ca="1">SUMPRODUCT(dFactor,tpSurvRad,INDEX(tEIdxElec,10)*INDEX(elecRad,stdCSL+1,2)*allOnes,OFFSET(tPrcElec,0,9,1,_maxLT))</f>
        <v>59571.057391764822</v>
      </c>
      <c r="O157" s="28">
        <f ca="1">SUMPRODUCT(dFactor,tpSurvRad,INDEX(tEIdxElec,11)*INDEX(elecRad,stdCSL+1,2)*allOnes,OFFSET(tPrcElec,0,10,1,_maxLT))</f>
        <v>59803.96244906394</v>
      </c>
      <c r="P157" s="28">
        <f ca="1">SUMPRODUCT(dFactor,tpSurvRad,INDEX(tEIdxElec,12)*INDEX(elecRad,stdCSL+1,2)*allOnes,OFFSET(tPrcElec,0,11,1,_maxLT))</f>
        <v>60057.517729344341</v>
      </c>
      <c r="Q157" s="28">
        <f ca="1">SUMPRODUCT(dFactor,tpSurvRad,INDEX(tEIdxElec,13)*INDEX(elecRad,stdCSL+1,2)*allOnes,OFFSET(tPrcElec,0,12,1,_maxLT))</f>
        <v>60282.859647318481</v>
      </c>
      <c r="R157" s="28">
        <f ca="1">SUMPRODUCT(dFactor,tpSurvRad,INDEX(tEIdxElec,14)*INDEX(elecRad,stdCSL+1,2)*allOnes,OFFSET(tPrcElec,0,13,1,_maxLT))</f>
        <v>60528.228328838508</v>
      </c>
      <c r="S157" s="28">
        <f ca="1">SUMPRODUCT(dFactor,tpSurvRad,INDEX(tEIdxElec,15)*INDEX(elecRad,stdCSL+1,2)*allOnes,OFFSET(tPrcElec,0,14,1,_maxLT))</f>
        <v>60744.949243355913</v>
      </c>
      <c r="T157" s="28">
        <f ca="1">SUMPRODUCT(dFactor,tpSurvRad,INDEX(tEIdxElec,16)*INDEX(elecRad,stdCSL+1,2)*allOnes,OFFSET(tPrcElec,0,15,1,_maxLT))</f>
        <v>60981.036963205683</v>
      </c>
      <c r="U157" s="28">
        <f ca="1">SUMPRODUCT(dFactor,tpSurvRad,INDEX(tEIdxElec,17)*INDEX(elecRad,stdCSL+1,2)*allOnes,OFFSET(tPrcElec,0,16,1,_maxLT))</f>
        <v>61238.080414490658</v>
      </c>
      <c r="V157" s="28">
        <f ca="1">SUMPRODUCT(dFactor,tpSurvRad,INDEX(tEIdxElec,18)*INDEX(elecRad,stdCSL+1,2)*allOnes,OFFSET(tPrcElec,0,17,1,_maxLT))</f>
        <v>61467.246467843317</v>
      </c>
      <c r="W157" s="28">
        <f ca="1">SUMPRODUCT(dFactor,tpSurvRad,INDEX(tEIdxElec,19)*INDEX(elecRad,stdCSL+1,2)*allOnes,OFFSET(tPrcElec,0,18,1,_maxLT))</f>
        <v>61716.816973476991</v>
      </c>
      <c r="X157" s="28">
        <f ca="1">SUMPRODUCT(dFactor,tpSurvRad,INDEX(tEIdxElec,20)*INDEX(elecRad,stdCSL+1,2)*allOnes,OFFSET(tPrcElec,0,19,1,_maxLT))</f>
        <v>61938.070739533883</v>
      </c>
      <c r="Y157" s="28">
        <f ca="1">SUMPRODUCT(dFactor,tpSurvRad,INDEX(tEIdxElec,21)*INDEX(elecRad,stdCSL+1,2)*allOnes,OFFSET(tPrcElec,0,20,1,_maxLT))</f>
        <v>62179.168259420228</v>
      </c>
      <c r="Z157" s="28">
        <f ca="1">SUMPRODUCT(dFactor,tpSurvRad,INDEX(tEIdxElec,22)*INDEX(elecRad,stdCSL+1,2)*allOnes,OFFSET(tPrcElec,0,21,1,_maxLT))</f>
        <v>62441.739456758361</v>
      </c>
      <c r="AA157" s="28">
        <f ca="1">SUMPRODUCT(dFactor,tpSurvRad,INDEX(tEIdxElec,23)*INDEX(elecRad,stdCSL+1,2)*allOnes,OFFSET(tPrcElec,0,22,1,_maxLT))</f>
        <v>62676.865965212717</v>
      </c>
      <c r="AB157" s="28">
        <f ca="1">SUMPRODUCT(dFactor,tpSurvRad,INDEX(tEIdxElec,24)*INDEX(elecRad,stdCSL+1,2)*allOnes,OFFSET(tPrcElec,0,23,1,_maxLT))</f>
        <v>62932.957031259903</v>
      </c>
      <c r="AC157" s="28">
        <f ca="1">SUMPRODUCT(dFactor,tpSurvRad,INDEX(tEIdxElec,25)*INDEX(elecRad,stdCSL+1,2)*allOnes,OFFSET(tPrcElec,0,24,1,_maxLT))</f>
        <v>63161.213231977759</v>
      </c>
      <c r="AD157" s="28">
        <f ca="1">SUMPRODUCT(dFactor,tpSurvRad,INDEX(tEIdxElec,26)*INDEX(elecRad,stdCSL+1,2)*allOnes,OFFSET(tPrcElec,0,25,1,_maxLT))</f>
        <v>63409.883492829882</v>
      </c>
      <c r="AE157" s="28">
        <f ca="1">SUMPRODUCT(dFactor,tpSurvRad,INDEX(tEIdxElec,27)*INDEX(elecRad,stdCSL+1,2)*allOnes,OFFSET(tPrcElec,0,26,1,_maxLT))</f>
        <v>63680.370053541053</v>
      </c>
      <c r="AF157" s="28">
        <f ca="1">SUMPRODUCT(dFactor,tpSurvRad,INDEX(tEIdxElec,28)*INDEX(elecRad,stdCSL+1,2)*allOnes,OFFSET(tPrcElec,0,27,1,_maxLT))</f>
        <v>63924.136353378875</v>
      </c>
      <c r="AG157" s="28">
        <f ca="1">SUMPRODUCT(dFactor,tpSurvRad,INDEX(tEIdxElec,29)*INDEX(elecRad,stdCSL+1,2)*allOnes,OFFSET(tPrcElec,0,28,1,_maxLT))</f>
        <v>64189.710070998844</v>
      </c>
      <c r="AH157" s="28">
        <f ca="1">SUMPRODUCT(dFactor,tpSurvRad,INDEX(tEIdxElec,30)*INDEX(elecRad,stdCSL+1,2)*allOnes,OFFSET(tPrcElec,0,29,1,_maxLT))</f>
        <v>64428.202280683428</v>
      </c>
      <c r="AI157" s="28">
        <f ca="1">SUMPRODUCT(dFactor,tpSurvRad,INDEX(tEIdxElec,31)*INDEX(elecRad,stdCSL+1,2)*allOnes,OFFSET(tPrcElec,0,30,1,_maxLT))</f>
        <v>64688.038244663199</v>
      </c>
      <c r="AJ157" s="28">
        <f ca="1">SUMPRODUCT(dFactor,tpSurvRad,INDEX(tEIdxElec,32)*INDEX(elecRad,stdCSL+1,2)*allOnes,OFFSET(tPrcElec,0,31,1,_maxLT))</f>
        <v>64920.424966492181</v>
      </c>
      <c r="AK157" s="29">
        <f ca="1">SUMPRODUCT(dFactor,tpSurvRad,INDEX(tEIdxElec,33)*INDEX(elecRad,stdCSL+1,2)*allOnes,OFFSET(tPrcElec,0,32,1,_maxLT))</f>
        <v>65173.749931028491</v>
      </c>
      <c r="AL157" s="3"/>
    </row>
    <row r="158" spans="2:38">
      <c r="B158" s="3"/>
      <c r="C158" s="23" t="s">
        <v>44</v>
      </c>
      <c r="D158" s="13"/>
      <c r="E158" s="142"/>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4"/>
      <c r="AL158" s="3"/>
    </row>
    <row r="159" spans="2:38">
      <c r="B159" s="3"/>
      <c r="C159" s="27" t="str">
        <f>INDEX(_fuel,1)</f>
        <v>Electricity</v>
      </c>
      <c r="D159" s="16" t="s">
        <v>48</v>
      </c>
      <c r="E159" s="144">
        <f ca="1">ts2bElec*SUMPRODUCT(tpSurvRad,INDEX(tEIdxElec,1)*INDEX(elecRad,stdCSL+1,2)*convFactor)</f>
        <v>13211.473551078392</v>
      </c>
      <c r="F159" s="22">
        <f ca="1">ts2bElec*SUMPRODUCT(tpSurvRad,INDEX(tEIdxElec,2)*INDEX(elecRad,stdCSL+1,2)*convFactor)</f>
        <v>13122.72196416841</v>
      </c>
      <c r="G159" s="22">
        <f ca="1">ts2bElec*SUMPRODUCT(tpSurvRad,INDEX(tEIdxElec,3)*INDEX(elecRad,stdCSL+1,2)*convFactor)</f>
        <v>13033.306861978093</v>
      </c>
      <c r="H159" s="22">
        <f ca="1">ts2bElec*SUMPRODUCT(tpSurvRad,INDEX(tEIdxElec,4)*INDEX(elecRad,stdCSL+1,2)*convFactor)</f>
        <v>12954.80760737142</v>
      </c>
      <c r="I159" s="22">
        <f ca="1">ts2bElec*SUMPRODUCT(tpSurvRad,INDEX(tEIdxElec,5)*INDEX(elecRad,stdCSL+1,2)*convFactor)</f>
        <v>12880.381689839203</v>
      </c>
      <c r="J159" s="22">
        <f ca="1">ts2bElec*SUMPRODUCT(tpSurvRad,INDEX(tEIdxElec,6)*INDEX(elecRad,stdCSL+1,2)*convFactor)</f>
        <v>12815.570508297174</v>
      </c>
      <c r="K159" s="22">
        <f ca="1">ts2bElec*SUMPRODUCT(tpSurvRad,INDEX(tEIdxElec,7)*INDEX(elecRad,stdCSL+1,2)*convFactor)</f>
        <v>12765.323097057948</v>
      </c>
      <c r="L159" s="22">
        <f ca="1">ts2bElec*SUMPRODUCT(tpSurvRad,INDEX(tEIdxElec,8)*INDEX(elecRad,stdCSL+1,2)*convFactor)</f>
        <v>12723.664547773296</v>
      </c>
      <c r="M159" s="22">
        <f ca="1">ts2bElec*SUMPRODUCT(tpSurvRad,INDEX(tEIdxElec,9)*INDEX(elecRad,stdCSL+1,2)*convFactor)</f>
        <v>12681.796783183949</v>
      </c>
      <c r="N159" s="22">
        <f ca="1">ts2bElec*SUMPRODUCT(tpSurvRad,INDEX(tEIdxElec,10)*INDEX(elecRad,stdCSL+1,2)*convFactor)</f>
        <v>12648.294694935857</v>
      </c>
      <c r="O159" s="22">
        <f ca="1">ts2bElec*SUMPRODUCT(tpSurvRad,INDEX(tEIdxElec,11)*INDEX(elecRad,stdCSL+1,2)*convFactor)</f>
        <v>12625.212600988776</v>
      </c>
      <c r="P159" s="22">
        <f ca="1">ts2bElec*SUMPRODUCT(tpSurvRad,INDEX(tEIdxElec,12)*INDEX(elecRad,stdCSL+1,2)*convFactor)</f>
        <v>12608.310296016303</v>
      </c>
      <c r="Q159" s="22">
        <f ca="1">ts2bElec*SUMPRODUCT(tpSurvRad,INDEX(tEIdxElec,13)*INDEX(elecRad,stdCSL+1,2)*convFactor)</f>
        <v>12594.080305971278</v>
      </c>
      <c r="R159" s="22">
        <f ca="1">ts2bElec*SUMPRODUCT(tpSurvRad,INDEX(tEIdxElec,14)*INDEX(elecRad,stdCSL+1,2)*convFactor)</f>
        <v>12583.582206837023</v>
      </c>
      <c r="S159" s="22">
        <f ca="1">ts2bElec*SUMPRODUCT(tpSurvRad,INDEX(tEIdxElec,15)*INDEX(elecRad,stdCSL+1,2)*convFactor)</f>
        <v>12575.579597058131</v>
      </c>
      <c r="T159" s="22">
        <f ca="1">ts2bElec*SUMPRODUCT(tpSurvRad,INDEX(tEIdxElec,16)*INDEX(elecRad,stdCSL+1,2)*convFactor)</f>
        <v>12574.573386853319</v>
      </c>
      <c r="U159" s="22">
        <f ca="1">ts2bElec*SUMPRODUCT(tpSurvRad,INDEX(tEIdxElec,17)*INDEX(elecRad,stdCSL+1,2)*convFactor)</f>
        <v>12576.622743247439</v>
      </c>
      <c r="V159" s="22">
        <f ca="1">ts2bElec*SUMPRODUCT(tpSurvRad,INDEX(tEIdxElec,18)*INDEX(elecRad,stdCSL+1,2)*convFactor)</f>
        <v>12579.637735785951</v>
      </c>
      <c r="W159" s="22">
        <f ca="1">ts2bElec*SUMPRODUCT(tpSurvRad,INDEX(tEIdxElec,19)*INDEX(elecRad,stdCSL+1,2)*convFactor)</f>
        <v>12583.949592838233</v>
      </c>
      <c r="X159" s="22">
        <f ca="1">ts2bElec*SUMPRODUCT(tpSurvRad,INDEX(tEIdxElec,20)*INDEX(elecRad,stdCSL+1,2)*convFactor)</f>
        <v>12588.02425143457</v>
      </c>
      <c r="Y159" s="22">
        <f ca="1">ts2bElec*SUMPRODUCT(tpSurvRad,INDEX(tEIdxElec,21)*INDEX(elecRad,stdCSL+1,2)*convFactor)</f>
        <v>12591.400323939044</v>
      </c>
      <c r="Z159" s="22">
        <f ca="1">ts2bElec*SUMPRODUCT(tpSurvRad,INDEX(tEIdxElec,22)*INDEX(elecRad,stdCSL+1,2)*convFactor)</f>
        <v>12593.662769851286</v>
      </c>
      <c r="AA159" s="22">
        <f ca="1">ts2bElec*SUMPRODUCT(tpSurvRad,INDEX(tEIdxElec,23)*INDEX(elecRad,stdCSL+1,2)*convFactor)</f>
        <v>12595.153872310801</v>
      </c>
      <c r="AB159" s="22">
        <f ca="1">ts2bElec*SUMPRODUCT(tpSurvRad,INDEX(tEIdxElec,24)*INDEX(elecRad,stdCSL+1,2)*convFactor)</f>
        <v>12595.153872310801</v>
      </c>
      <c r="AC159" s="22">
        <f ca="1">ts2bElec*SUMPRODUCT(tpSurvRad,INDEX(tEIdxElec,25)*INDEX(elecRad,stdCSL+1,2)*convFactor)</f>
        <v>12595.153872310801</v>
      </c>
      <c r="AD159" s="22">
        <f ca="1">ts2bElec*SUMPRODUCT(tpSurvRad,INDEX(tEIdxElec,26)*INDEX(elecRad,stdCSL+1,2)*convFactor)</f>
        <v>12595.153872310801</v>
      </c>
      <c r="AE159" s="22">
        <f ca="1">ts2bElec*SUMPRODUCT(tpSurvRad,INDEX(tEIdxElec,27)*INDEX(elecRad,stdCSL+1,2)*convFactor)</f>
        <v>12595.153872310801</v>
      </c>
      <c r="AF159" s="22">
        <f ca="1">ts2bElec*SUMPRODUCT(tpSurvRad,INDEX(tEIdxElec,28)*INDEX(elecRad,stdCSL+1,2)*convFactor)</f>
        <v>12595.153872310801</v>
      </c>
      <c r="AG159" s="22">
        <f ca="1">ts2bElec*SUMPRODUCT(tpSurvRad,INDEX(tEIdxElec,29)*INDEX(elecRad,stdCSL+1,2)*convFactor)</f>
        <v>12595.153872310801</v>
      </c>
      <c r="AH159" s="22">
        <f ca="1">ts2bElec*SUMPRODUCT(tpSurvRad,INDEX(tEIdxElec,30)*INDEX(elecRad,stdCSL+1,2)*convFactor)</f>
        <v>12595.153872310801</v>
      </c>
      <c r="AI159" s="22">
        <f ca="1">ts2bElec*SUMPRODUCT(tpSurvRad,INDEX(tEIdxElec,31)*INDEX(elecRad,stdCSL+1,2)*convFactor)</f>
        <v>12595.153872310801</v>
      </c>
      <c r="AJ159" s="22">
        <f ca="1">ts2bElec*SUMPRODUCT(tpSurvRad,INDEX(tEIdxElec,32)*INDEX(elecRad,stdCSL+1,2)*convFactor)</f>
        <v>12595.153872310801</v>
      </c>
      <c r="AK159" s="25">
        <f ca="1">ts2bElec*SUMPRODUCT(tpSurvRad,INDEX(tEIdxElec,33)*INDEX(elecRad,stdCSL+1,2)*convFactor)</f>
        <v>12595.153872310801</v>
      </c>
      <c r="AL159" s="3"/>
    </row>
    <row r="160" spans="2:38">
      <c r="B160" s="3"/>
      <c r="C160" s="30" t="str">
        <f>"EL 2: " &amp; INDEX(_doName,6,3)</f>
        <v>EL 2: EL 2</v>
      </c>
      <c r="D160" s="31"/>
      <c r="E160" s="140"/>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2"/>
      <c r="AL160" s="3"/>
    </row>
    <row r="161" spans="2:38">
      <c r="B161" s="3"/>
      <c r="C161" s="23" t="s">
        <v>39</v>
      </c>
      <c r="D161" s="16" t="str">
        <f>_yearDol &amp; "$"</f>
        <v>2013$</v>
      </c>
      <c r="E161" s="141">
        <f t="array" aca="1" ref="E161:AK161" ca="1">(1+INDEX(vadRad,stdCSL+1,3))*INDEX(mspRad,stdCSL+1,3)*tPIdxAll + INDEX(instRad,stdCSL+1,3) + SUMPRODUCT(dFactor,tpSurvRad,INDEX(mrRad,stdCSL+1,3)*allOnes)</f>
        <v>2365.8775770000002</v>
      </c>
      <c r="F161" s="28">
        <f ca="1"/>
        <v>2365.8775770000002</v>
      </c>
      <c r="G161" s="28">
        <f ca="1"/>
        <v>2365.8775770000002</v>
      </c>
      <c r="H161" s="28">
        <f ca="1"/>
        <v>2365.8775770000002</v>
      </c>
      <c r="I161" s="28">
        <f ca="1"/>
        <v>2365.8775770000002</v>
      </c>
      <c r="J161" s="28">
        <f ca="1"/>
        <v>2365.8775770000002</v>
      </c>
      <c r="K161" s="28">
        <f ca="1"/>
        <v>2365.8775770000002</v>
      </c>
      <c r="L161" s="28">
        <f ca="1"/>
        <v>2365.8775770000002</v>
      </c>
      <c r="M161" s="28">
        <f ca="1"/>
        <v>2365.8775770000002</v>
      </c>
      <c r="N161" s="28">
        <f ca="1"/>
        <v>2365.8775770000002</v>
      </c>
      <c r="O161" s="28">
        <f ca="1"/>
        <v>2365.8775770000002</v>
      </c>
      <c r="P161" s="28">
        <f ca="1"/>
        <v>2365.8775770000002</v>
      </c>
      <c r="Q161" s="28">
        <f ca="1"/>
        <v>2365.8775770000002</v>
      </c>
      <c r="R161" s="28">
        <f ca="1"/>
        <v>2365.8775770000002</v>
      </c>
      <c r="S161" s="28">
        <f ca="1"/>
        <v>2365.8775770000002</v>
      </c>
      <c r="T161" s="28">
        <f ca="1"/>
        <v>2365.8775770000002</v>
      </c>
      <c r="U161" s="28">
        <f ca="1"/>
        <v>2365.8775770000002</v>
      </c>
      <c r="V161" s="28">
        <f ca="1"/>
        <v>2365.8775770000002</v>
      </c>
      <c r="W161" s="28">
        <f ca="1"/>
        <v>2365.8775770000002</v>
      </c>
      <c r="X161" s="28">
        <f ca="1"/>
        <v>2365.8775770000002</v>
      </c>
      <c r="Y161" s="28">
        <f ca="1"/>
        <v>2365.8775770000002</v>
      </c>
      <c r="Z161" s="28">
        <f ca="1"/>
        <v>2365.8775770000002</v>
      </c>
      <c r="AA161" s="28">
        <f ca="1"/>
        <v>2365.8775770000002</v>
      </c>
      <c r="AB161" s="28">
        <f ca="1"/>
        <v>2365.8775770000002</v>
      </c>
      <c r="AC161" s="28">
        <f ca="1"/>
        <v>2365.8775770000002</v>
      </c>
      <c r="AD161" s="28">
        <f ca="1"/>
        <v>2365.8775770000002</v>
      </c>
      <c r="AE161" s="28">
        <f ca="1"/>
        <v>2365.8775770000002</v>
      </c>
      <c r="AF161" s="28">
        <f ca="1"/>
        <v>2365.8775770000002</v>
      </c>
      <c r="AG161" s="28">
        <f ca="1"/>
        <v>2365.8775770000002</v>
      </c>
      <c r="AH161" s="28">
        <f ca="1"/>
        <v>2365.8775770000002</v>
      </c>
      <c r="AI161" s="28">
        <f ca="1"/>
        <v>2365.8775770000002</v>
      </c>
      <c r="AJ161" s="28">
        <f ca="1"/>
        <v>2365.8775770000002</v>
      </c>
      <c r="AK161" s="29">
        <f ca="1"/>
        <v>2365.8775770000002</v>
      </c>
      <c r="AL161" s="3"/>
    </row>
    <row r="162" spans="2:38">
      <c r="B162" s="3"/>
      <c r="C162" s="23" t="s">
        <v>47</v>
      </c>
      <c r="D162" s="16" t="str">
        <f>_yearDol &amp; "$"</f>
        <v>2013$</v>
      </c>
      <c r="E162" s="141">
        <f t="array" aca="1" ref="E162:AK162" ca="1">(tlccEFupolElec2)</f>
        <v>106248.66325690194</v>
      </c>
      <c r="F162" s="28">
        <f ca="1"/>
        <v>106715.33722651884</v>
      </c>
      <c r="G162" s="28">
        <f ca="1"/>
        <v>107129.43518075754</v>
      </c>
      <c r="H162" s="28">
        <f ca="1"/>
        <v>107579.9515528015</v>
      </c>
      <c r="I162" s="28">
        <f ca="1"/>
        <v>107977.21907122158</v>
      </c>
      <c r="J162" s="28">
        <f ca="1"/>
        <v>108409.68553331292</v>
      </c>
      <c r="K162" s="28">
        <f ca="1"/>
        <v>108787.78596131326</v>
      </c>
      <c r="L162" s="28">
        <f ca="1"/>
        <v>109199.80424816087</v>
      </c>
      <c r="M162" s="28">
        <f ca="1"/>
        <v>109648.23514224029</v>
      </c>
      <c r="N162" s="28">
        <f ca="1"/>
        <v>110043.30931351984</v>
      </c>
      <c r="O162" s="28">
        <f ca="1"/>
        <v>110473.54581398182</v>
      </c>
      <c r="P162" s="28">
        <f ca="1"/>
        <v>110941.92867232992</v>
      </c>
      <c r="Q162" s="28">
        <f ca="1"/>
        <v>111358.1940781603</v>
      </c>
      <c r="R162" s="28">
        <f ca="1"/>
        <v>111811.45414938559</v>
      </c>
      <c r="S162" s="28">
        <f ca="1"/>
        <v>112211.79430910625</v>
      </c>
      <c r="T162" s="28">
        <f ca="1"/>
        <v>112647.91001894994</v>
      </c>
      <c r="U162" s="28">
        <f ca="1"/>
        <v>113122.73644062558</v>
      </c>
      <c r="V162" s="28">
        <f ca="1"/>
        <v>113546.066023772</v>
      </c>
      <c r="W162" s="28">
        <f ca="1"/>
        <v>114007.08796209964</v>
      </c>
      <c r="X162" s="28">
        <f ca="1"/>
        <v>114415.80148307781</v>
      </c>
      <c r="Y162" s="28">
        <f ca="1"/>
        <v>114861.17160268297</v>
      </c>
      <c r="Z162" s="28">
        <f ca="1"/>
        <v>115346.2092157554</v>
      </c>
      <c r="AA162" s="28">
        <f ca="1"/>
        <v>115780.54931698089</v>
      </c>
      <c r="AB162" s="28">
        <f ca="1"/>
        <v>116253.61643425781</v>
      </c>
      <c r="AC162" s="28">
        <f ca="1"/>
        <v>116675.26528183724</v>
      </c>
      <c r="AD162" s="28">
        <f ca="1"/>
        <v>117134.62423281347</v>
      </c>
      <c r="AE162" s="28">
        <f ca="1"/>
        <v>117634.28359037262</v>
      </c>
      <c r="AF162" s="28">
        <f ca="1"/>
        <v>118084.58364391794</v>
      </c>
      <c r="AG162" s="28">
        <f ca="1"/>
        <v>118575.1676965293</v>
      </c>
      <c r="AH162" s="28">
        <f ca="1"/>
        <v>119015.72512740701</v>
      </c>
      <c r="AI162" s="28">
        <f ca="1"/>
        <v>119495.71004973196</v>
      </c>
      <c r="AJ162" s="28">
        <f ca="1"/>
        <v>119924.9890491361</v>
      </c>
      <c r="AK162" s="29">
        <f ca="1"/>
        <v>120392.9464541218</v>
      </c>
      <c r="AL162" s="3"/>
    </row>
    <row r="163" spans="2:38">
      <c r="B163" s="3"/>
      <c r="C163" s="27" t="str">
        <f>INDEX(_fuel,1)</f>
        <v>Electricity</v>
      </c>
      <c r="D163" s="16" t="str">
        <f>_yearDol &amp; "$"</f>
        <v>2013$</v>
      </c>
      <c r="E163" s="141">
        <f ca="1">SUMPRODUCT(dFactor,tpSurvRad,INDEX(tEIdxElec,1)*INDEX(elecRad,stdCSL+1,3)*allOnes,OFFSET(tPrcElec,0,0,1,_maxLT))</f>
        <v>106248.66325690194</v>
      </c>
      <c r="F163" s="28">
        <f ca="1">SUMPRODUCT(dFactor,tpSurvRad,INDEX(tEIdxElec,2)*INDEX(elecRad,stdCSL+1,3)*allOnes,OFFSET(tPrcElec,0,1,1,_maxLT))</f>
        <v>106715.33722651884</v>
      </c>
      <c r="G163" s="28">
        <f ca="1">SUMPRODUCT(dFactor,tpSurvRad,INDEX(tEIdxElec,3)*INDEX(elecRad,stdCSL+1,3)*allOnes,OFFSET(tPrcElec,0,2,1,_maxLT))</f>
        <v>107129.43518075754</v>
      </c>
      <c r="H163" s="28">
        <f ca="1">SUMPRODUCT(dFactor,tpSurvRad,INDEX(tEIdxElec,4)*INDEX(elecRad,stdCSL+1,3)*allOnes,OFFSET(tPrcElec,0,3,1,_maxLT))</f>
        <v>107579.9515528015</v>
      </c>
      <c r="I163" s="28">
        <f ca="1">SUMPRODUCT(dFactor,tpSurvRad,INDEX(tEIdxElec,5)*INDEX(elecRad,stdCSL+1,3)*allOnes,OFFSET(tPrcElec,0,4,1,_maxLT))</f>
        <v>107977.21907122158</v>
      </c>
      <c r="J163" s="28">
        <f ca="1">SUMPRODUCT(dFactor,tpSurvRad,INDEX(tEIdxElec,6)*INDEX(elecRad,stdCSL+1,3)*allOnes,OFFSET(tPrcElec,0,5,1,_maxLT))</f>
        <v>108409.68553331292</v>
      </c>
      <c r="K163" s="28">
        <f ca="1">SUMPRODUCT(dFactor,tpSurvRad,INDEX(tEIdxElec,7)*INDEX(elecRad,stdCSL+1,3)*allOnes,OFFSET(tPrcElec,0,6,1,_maxLT))</f>
        <v>108787.78596131326</v>
      </c>
      <c r="L163" s="28">
        <f ca="1">SUMPRODUCT(dFactor,tpSurvRad,INDEX(tEIdxElec,8)*INDEX(elecRad,stdCSL+1,3)*allOnes,OFFSET(tPrcElec,0,7,1,_maxLT))</f>
        <v>109199.80424816087</v>
      </c>
      <c r="M163" s="28">
        <f ca="1">SUMPRODUCT(dFactor,tpSurvRad,INDEX(tEIdxElec,9)*INDEX(elecRad,stdCSL+1,3)*allOnes,OFFSET(tPrcElec,0,8,1,_maxLT))</f>
        <v>109648.23514224029</v>
      </c>
      <c r="N163" s="28">
        <f ca="1">SUMPRODUCT(dFactor,tpSurvRad,INDEX(tEIdxElec,10)*INDEX(elecRad,stdCSL+1,3)*allOnes,OFFSET(tPrcElec,0,9,1,_maxLT))</f>
        <v>110043.30931351984</v>
      </c>
      <c r="O163" s="28">
        <f ca="1">SUMPRODUCT(dFactor,tpSurvRad,INDEX(tEIdxElec,11)*INDEX(elecRad,stdCSL+1,3)*allOnes,OFFSET(tPrcElec,0,10,1,_maxLT))</f>
        <v>110473.54581398182</v>
      </c>
      <c r="P163" s="28">
        <f ca="1">SUMPRODUCT(dFactor,tpSurvRad,INDEX(tEIdxElec,12)*INDEX(elecRad,stdCSL+1,3)*allOnes,OFFSET(tPrcElec,0,11,1,_maxLT))</f>
        <v>110941.92867232992</v>
      </c>
      <c r="Q163" s="28">
        <f ca="1">SUMPRODUCT(dFactor,tpSurvRad,INDEX(tEIdxElec,13)*INDEX(elecRad,stdCSL+1,3)*allOnes,OFFSET(tPrcElec,0,12,1,_maxLT))</f>
        <v>111358.1940781603</v>
      </c>
      <c r="R163" s="28">
        <f ca="1">SUMPRODUCT(dFactor,tpSurvRad,INDEX(tEIdxElec,14)*INDEX(elecRad,stdCSL+1,3)*allOnes,OFFSET(tPrcElec,0,13,1,_maxLT))</f>
        <v>111811.45414938559</v>
      </c>
      <c r="S163" s="28">
        <f ca="1">SUMPRODUCT(dFactor,tpSurvRad,INDEX(tEIdxElec,15)*INDEX(elecRad,stdCSL+1,3)*allOnes,OFFSET(tPrcElec,0,14,1,_maxLT))</f>
        <v>112211.79430910625</v>
      </c>
      <c r="T163" s="28">
        <f ca="1">SUMPRODUCT(dFactor,tpSurvRad,INDEX(tEIdxElec,16)*INDEX(elecRad,stdCSL+1,3)*allOnes,OFFSET(tPrcElec,0,15,1,_maxLT))</f>
        <v>112647.91001894994</v>
      </c>
      <c r="U163" s="28">
        <f ca="1">SUMPRODUCT(dFactor,tpSurvRad,INDEX(tEIdxElec,17)*INDEX(elecRad,stdCSL+1,3)*allOnes,OFFSET(tPrcElec,0,16,1,_maxLT))</f>
        <v>113122.73644062558</v>
      </c>
      <c r="V163" s="28">
        <f ca="1">SUMPRODUCT(dFactor,tpSurvRad,INDEX(tEIdxElec,18)*INDEX(elecRad,stdCSL+1,3)*allOnes,OFFSET(tPrcElec,0,17,1,_maxLT))</f>
        <v>113546.066023772</v>
      </c>
      <c r="W163" s="28">
        <f ca="1">SUMPRODUCT(dFactor,tpSurvRad,INDEX(tEIdxElec,19)*INDEX(elecRad,stdCSL+1,3)*allOnes,OFFSET(tPrcElec,0,18,1,_maxLT))</f>
        <v>114007.08796209964</v>
      </c>
      <c r="X163" s="28">
        <f ca="1">SUMPRODUCT(dFactor,tpSurvRad,INDEX(tEIdxElec,20)*INDEX(elecRad,stdCSL+1,3)*allOnes,OFFSET(tPrcElec,0,19,1,_maxLT))</f>
        <v>114415.80148307781</v>
      </c>
      <c r="Y163" s="28">
        <f ca="1">SUMPRODUCT(dFactor,tpSurvRad,INDEX(tEIdxElec,21)*INDEX(elecRad,stdCSL+1,3)*allOnes,OFFSET(tPrcElec,0,20,1,_maxLT))</f>
        <v>114861.17160268297</v>
      </c>
      <c r="Z163" s="28">
        <f ca="1">SUMPRODUCT(dFactor,tpSurvRad,INDEX(tEIdxElec,22)*INDEX(elecRad,stdCSL+1,3)*allOnes,OFFSET(tPrcElec,0,21,1,_maxLT))</f>
        <v>115346.2092157554</v>
      </c>
      <c r="AA163" s="28">
        <f ca="1">SUMPRODUCT(dFactor,tpSurvRad,INDEX(tEIdxElec,23)*INDEX(elecRad,stdCSL+1,3)*allOnes,OFFSET(tPrcElec,0,22,1,_maxLT))</f>
        <v>115780.54931698089</v>
      </c>
      <c r="AB163" s="28">
        <f ca="1">SUMPRODUCT(dFactor,tpSurvRad,INDEX(tEIdxElec,24)*INDEX(elecRad,stdCSL+1,3)*allOnes,OFFSET(tPrcElec,0,23,1,_maxLT))</f>
        <v>116253.61643425781</v>
      </c>
      <c r="AC163" s="28">
        <f ca="1">SUMPRODUCT(dFactor,tpSurvRad,INDEX(tEIdxElec,25)*INDEX(elecRad,stdCSL+1,3)*allOnes,OFFSET(tPrcElec,0,24,1,_maxLT))</f>
        <v>116675.26528183724</v>
      </c>
      <c r="AD163" s="28">
        <f ca="1">SUMPRODUCT(dFactor,tpSurvRad,INDEX(tEIdxElec,26)*INDEX(elecRad,stdCSL+1,3)*allOnes,OFFSET(tPrcElec,0,25,1,_maxLT))</f>
        <v>117134.62423281347</v>
      </c>
      <c r="AE163" s="28">
        <f ca="1">SUMPRODUCT(dFactor,tpSurvRad,INDEX(tEIdxElec,27)*INDEX(elecRad,stdCSL+1,3)*allOnes,OFFSET(tPrcElec,0,26,1,_maxLT))</f>
        <v>117634.28359037262</v>
      </c>
      <c r="AF163" s="28">
        <f ca="1">SUMPRODUCT(dFactor,tpSurvRad,INDEX(tEIdxElec,28)*INDEX(elecRad,stdCSL+1,3)*allOnes,OFFSET(tPrcElec,0,27,1,_maxLT))</f>
        <v>118084.58364391794</v>
      </c>
      <c r="AG163" s="28">
        <f ca="1">SUMPRODUCT(dFactor,tpSurvRad,INDEX(tEIdxElec,29)*INDEX(elecRad,stdCSL+1,3)*allOnes,OFFSET(tPrcElec,0,28,1,_maxLT))</f>
        <v>118575.1676965293</v>
      </c>
      <c r="AH163" s="28">
        <f ca="1">SUMPRODUCT(dFactor,tpSurvRad,INDEX(tEIdxElec,30)*INDEX(elecRad,stdCSL+1,3)*allOnes,OFFSET(tPrcElec,0,29,1,_maxLT))</f>
        <v>119015.72512740701</v>
      </c>
      <c r="AI163" s="28">
        <f ca="1">SUMPRODUCT(dFactor,tpSurvRad,INDEX(tEIdxElec,31)*INDEX(elecRad,stdCSL+1,3)*allOnes,OFFSET(tPrcElec,0,30,1,_maxLT))</f>
        <v>119495.71004973196</v>
      </c>
      <c r="AJ163" s="28">
        <f ca="1">SUMPRODUCT(dFactor,tpSurvRad,INDEX(tEIdxElec,32)*INDEX(elecRad,stdCSL+1,3)*allOnes,OFFSET(tPrcElec,0,31,1,_maxLT))</f>
        <v>119924.9890491361</v>
      </c>
      <c r="AK163" s="29">
        <f ca="1">SUMPRODUCT(dFactor,tpSurvRad,INDEX(tEIdxElec,33)*INDEX(elecRad,stdCSL+1,3)*allOnes,OFFSET(tPrcElec,0,32,1,_maxLT))</f>
        <v>120392.9464541218</v>
      </c>
      <c r="AL163" s="3"/>
    </row>
    <row r="164" spans="2:38">
      <c r="B164" s="3"/>
      <c r="C164" s="23" t="s">
        <v>44</v>
      </c>
      <c r="D164" s="13"/>
      <c r="E164" s="142"/>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4"/>
      <c r="AL164" s="3"/>
    </row>
    <row r="165" spans="2:38">
      <c r="B165" s="3"/>
      <c r="C165" s="27" t="str">
        <f>INDEX(_fuel,1)</f>
        <v>Electricity</v>
      </c>
      <c r="D165" s="16" t="s">
        <v>48</v>
      </c>
      <c r="E165" s="144">
        <f ca="1">ts2bElec*SUMPRODUCT(tpSurvRad,INDEX(tEIdxElec,1)*INDEX(elecRad,stdCSL+1,3)*convFactor)</f>
        <v>24405.043894179471</v>
      </c>
      <c r="F165" s="22">
        <f ca="1">ts2bElec*SUMPRODUCT(tpSurvRad,INDEX(tEIdxElec,2)*INDEX(elecRad,stdCSL+1,3)*convFactor)</f>
        <v>24241.096521780615</v>
      </c>
      <c r="G165" s="22">
        <f ca="1">ts2bElec*SUMPRODUCT(tpSurvRad,INDEX(tEIdxElec,3)*INDEX(elecRad,stdCSL+1,3)*convFactor)</f>
        <v>24075.923463278068</v>
      </c>
      <c r="H165" s="22">
        <f ca="1">ts2bElec*SUMPRODUCT(tpSurvRad,INDEX(tEIdxElec,4)*INDEX(elecRad,stdCSL+1,3)*convFactor)</f>
        <v>23930.914827645611</v>
      </c>
      <c r="I165" s="22">
        <f ca="1">ts2bElec*SUMPRODUCT(tpSurvRad,INDEX(tEIdxElec,5)*INDEX(elecRad,stdCSL+1,3)*convFactor)</f>
        <v>23793.430709979566</v>
      </c>
      <c r="J165" s="22">
        <f ca="1">ts2bElec*SUMPRODUCT(tpSurvRad,INDEX(tEIdxElec,6)*INDEX(elecRad,stdCSL+1,3)*convFactor)</f>
        <v>23673.707522081444</v>
      </c>
      <c r="K165" s="22">
        <f ca="1">ts2bElec*SUMPRODUCT(tpSurvRad,INDEX(tEIdxElec,7)*INDEX(elecRad,stdCSL+1,3)*convFactor)</f>
        <v>23580.887423542012</v>
      </c>
      <c r="L165" s="22">
        <f ca="1">ts2bElec*SUMPRODUCT(tpSurvRad,INDEX(tEIdxElec,8)*INDEX(elecRad,stdCSL+1,3)*convFactor)</f>
        <v>23503.933197359056</v>
      </c>
      <c r="M165" s="22">
        <f ca="1">ts2bElec*SUMPRODUCT(tpSurvRad,INDEX(tEIdxElec,9)*INDEX(elecRad,stdCSL+1,3)*convFactor)</f>
        <v>23426.592495838995</v>
      </c>
      <c r="N165" s="22">
        <f ca="1">ts2bElec*SUMPRODUCT(tpSurvRad,INDEX(tEIdxElec,10)*INDEX(elecRad,stdCSL+1,3)*convFactor)</f>
        <v>23364.705384527733</v>
      </c>
      <c r="O165" s="22">
        <f ca="1">ts2bElec*SUMPRODUCT(tpSurvRad,INDEX(tEIdxElec,11)*INDEX(elecRad,stdCSL+1,3)*convFactor)</f>
        <v>23322.066725503802</v>
      </c>
      <c r="P165" s="22">
        <f ca="1">ts2bElec*SUMPRODUCT(tpSurvRad,INDEX(tEIdxElec,12)*INDEX(elecRad,stdCSL+1,3)*convFactor)</f>
        <v>23290.843751535667</v>
      </c>
      <c r="Q165" s="22">
        <f ca="1">ts2bElec*SUMPRODUCT(tpSurvRad,INDEX(tEIdxElec,13)*INDEX(elecRad,stdCSL+1,3)*convFactor)</f>
        <v>23264.557241532082</v>
      </c>
      <c r="R165" s="22">
        <f ca="1">ts2bElec*SUMPRODUCT(tpSurvRad,INDEX(tEIdxElec,14)*INDEX(elecRad,stdCSL+1,3)*convFactor)</f>
        <v>23245.16450920844</v>
      </c>
      <c r="S165" s="22">
        <f ca="1">ts2bElec*SUMPRODUCT(tpSurvRad,INDEX(tEIdxElec,15)*INDEX(elecRad,stdCSL+1,3)*convFactor)</f>
        <v>23230.381597812011</v>
      </c>
      <c r="T165" s="22">
        <f ca="1">ts2bElec*SUMPRODUCT(tpSurvRad,INDEX(tEIdxElec,16)*INDEX(elecRad,stdCSL+1,3)*convFactor)</f>
        <v>23228.522864634346</v>
      </c>
      <c r="U165" s="22">
        <f ca="1">ts2bElec*SUMPRODUCT(tpSurvRad,INDEX(tEIdxElec,17)*INDEX(elecRad,stdCSL+1,3)*convFactor)</f>
        <v>23232.308561404654</v>
      </c>
      <c r="V165" s="22">
        <f ca="1">ts2bElec*SUMPRODUCT(tpSurvRad,INDEX(tEIdxElec,18)*INDEX(elecRad,stdCSL+1,3)*convFactor)</f>
        <v>23237.878040460761</v>
      </c>
      <c r="W165" s="22">
        <f ca="1">ts2bElec*SUMPRODUCT(tpSurvRad,INDEX(tEIdxElec,19)*INDEX(elecRad,stdCSL+1,3)*convFactor)</f>
        <v>23245.843167153063</v>
      </c>
      <c r="X165" s="22">
        <f ca="1">ts2bElec*SUMPRODUCT(tpSurvRad,INDEX(tEIdxElec,20)*INDEX(elecRad,stdCSL+1,3)*convFactor)</f>
        <v>23253.370126315716</v>
      </c>
      <c r="Y165" s="22">
        <f ca="1">ts2bElec*SUMPRODUCT(tpSurvRad,INDEX(tEIdxElec,21)*INDEX(elecRad,stdCSL+1,3)*convFactor)</f>
        <v>23259.606614421533</v>
      </c>
      <c r="Z165" s="22">
        <f ca="1">ts2bElec*SUMPRODUCT(tpSurvRad,INDEX(tEIdxElec,22)*INDEX(elecRad,stdCSL+1,3)*convFactor)</f>
        <v>23263.785943213508</v>
      </c>
      <c r="AA165" s="22">
        <f ca="1">ts2bElec*SUMPRODUCT(tpSurvRad,INDEX(tEIdxElec,23)*INDEX(elecRad,stdCSL+1,3)*convFactor)</f>
        <v>23266.540399091158</v>
      </c>
      <c r="AB165" s="22">
        <f ca="1">ts2bElec*SUMPRODUCT(tpSurvRad,INDEX(tEIdxElec,24)*INDEX(elecRad,stdCSL+1,3)*convFactor)</f>
        <v>23266.540399091158</v>
      </c>
      <c r="AC165" s="22">
        <f ca="1">ts2bElec*SUMPRODUCT(tpSurvRad,INDEX(tEIdxElec,25)*INDEX(elecRad,stdCSL+1,3)*convFactor)</f>
        <v>23266.540399091158</v>
      </c>
      <c r="AD165" s="22">
        <f ca="1">ts2bElec*SUMPRODUCT(tpSurvRad,INDEX(tEIdxElec,26)*INDEX(elecRad,stdCSL+1,3)*convFactor)</f>
        <v>23266.540399091158</v>
      </c>
      <c r="AE165" s="22">
        <f ca="1">ts2bElec*SUMPRODUCT(tpSurvRad,INDEX(tEIdxElec,27)*INDEX(elecRad,stdCSL+1,3)*convFactor)</f>
        <v>23266.540399091158</v>
      </c>
      <c r="AF165" s="22">
        <f ca="1">ts2bElec*SUMPRODUCT(tpSurvRad,INDEX(tEIdxElec,28)*INDEX(elecRad,stdCSL+1,3)*convFactor)</f>
        <v>23266.540399091158</v>
      </c>
      <c r="AG165" s="22">
        <f ca="1">ts2bElec*SUMPRODUCT(tpSurvRad,INDEX(tEIdxElec,29)*INDEX(elecRad,stdCSL+1,3)*convFactor)</f>
        <v>23266.540399091158</v>
      </c>
      <c r="AH165" s="22">
        <f ca="1">ts2bElec*SUMPRODUCT(tpSurvRad,INDEX(tEIdxElec,30)*INDEX(elecRad,stdCSL+1,3)*convFactor)</f>
        <v>23266.540399091158</v>
      </c>
      <c r="AI165" s="22">
        <f ca="1">ts2bElec*SUMPRODUCT(tpSurvRad,INDEX(tEIdxElec,31)*INDEX(elecRad,stdCSL+1,3)*convFactor)</f>
        <v>23266.540399091158</v>
      </c>
      <c r="AJ165" s="22">
        <f ca="1">ts2bElec*SUMPRODUCT(tpSurvRad,INDEX(tEIdxElec,32)*INDEX(elecRad,stdCSL+1,3)*convFactor)</f>
        <v>23266.540399091158</v>
      </c>
      <c r="AK165" s="25">
        <f ca="1">ts2bElec*SUMPRODUCT(tpSurvRad,INDEX(tEIdxElec,33)*INDEX(elecRad,stdCSL+1,3)*convFactor)</f>
        <v>23266.540399091158</v>
      </c>
      <c r="AL165" s="3"/>
    </row>
    <row r="166" spans="2:38">
      <c r="B166" s="3"/>
      <c r="C166" s="30" t="str">
        <f>"EL 3: " &amp; INDEX(_doName,6,4)</f>
        <v>EL 3: EL 3</v>
      </c>
      <c r="D166" s="31"/>
      <c r="E166" s="140"/>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2"/>
      <c r="AL166" s="3"/>
    </row>
    <row r="167" spans="2:38">
      <c r="B167" s="3"/>
      <c r="C167" s="23" t="s">
        <v>39</v>
      </c>
      <c r="D167" s="16" t="str">
        <f>_yearDol &amp; "$"</f>
        <v>2013$</v>
      </c>
      <c r="E167" s="141">
        <f t="array" aca="1" ref="E167:AK167" ca="1">(1+INDEX(vadRad,stdCSL+1,4))*INDEX(mspRad,stdCSL+1,4)*tPIdxAll + INDEX(instRad,stdCSL+1,4) + SUMPRODUCT(dFactor,tpSurvRad,INDEX(mrRad,stdCSL+1,4)*allOnes)</f>
        <v>1984.217011</v>
      </c>
      <c r="F167" s="28">
        <f ca="1"/>
        <v>1984.217011</v>
      </c>
      <c r="G167" s="28">
        <f ca="1"/>
        <v>1984.217011</v>
      </c>
      <c r="H167" s="28">
        <f ca="1"/>
        <v>1984.217011</v>
      </c>
      <c r="I167" s="28">
        <f ca="1"/>
        <v>1984.217011</v>
      </c>
      <c r="J167" s="28">
        <f ca="1"/>
        <v>1984.217011</v>
      </c>
      <c r="K167" s="28">
        <f ca="1"/>
        <v>1984.217011</v>
      </c>
      <c r="L167" s="28">
        <f ca="1"/>
        <v>1984.217011</v>
      </c>
      <c r="M167" s="28">
        <f ca="1"/>
        <v>1984.217011</v>
      </c>
      <c r="N167" s="28">
        <f ca="1"/>
        <v>1984.217011</v>
      </c>
      <c r="O167" s="28">
        <f ca="1"/>
        <v>1984.217011</v>
      </c>
      <c r="P167" s="28">
        <f ca="1"/>
        <v>1984.217011</v>
      </c>
      <c r="Q167" s="28">
        <f ca="1"/>
        <v>1984.217011</v>
      </c>
      <c r="R167" s="28">
        <f ca="1"/>
        <v>1984.217011</v>
      </c>
      <c r="S167" s="28">
        <f ca="1"/>
        <v>1984.217011</v>
      </c>
      <c r="T167" s="28">
        <f ca="1"/>
        <v>1984.217011</v>
      </c>
      <c r="U167" s="28">
        <f ca="1"/>
        <v>1984.217011</v>
      </c>
      <c r="V167" s="28">
        <f ca="1"/>
        <v>1984.217011</v>
      </c>
      <c r="W167" s="28">
        <f ca="1"/>
        <v>1984.217011</v>
      </c>
      <c r="X167" s="28">
        <f ca="1"/>
        <v>1984.217011</v>
      </c>
      <c r="Y167" s="28">
        <f ca="1"/>
        <v>1984.217011</v>
      </c>
      <c r="Z167" s="28">
        <f ca="1"/>
        <v>1984.217011</v>
      </c>
      <c r="AA167" s="28">
        <f ca="1"/>
        <v>1984.217011</v>
      </c>
      <c r="AB167" s="28">
        <f ca="1"/>
        <v>1984.217011</v>
      </c>
      <c r="AC167" s="28">
        <f ca="1"/>
        <v>1984.217011</v>
      </c>
      <c r="AD167" s="28">
        <f ca="1"/>
        <v>1984.217011</v>
      </c>
      <c r="AE167" s="28">
        <f ca="1"/>
        <v>1984.217011</v>
      </c>
      <c r="AF167" s="28">
        <f ca="1"/>
        <v>1984.217011</v>
      </c>
      <c r="AG167" s="28">
        <f ca="1"/>
        <v>1984.217011</v>
      </c>
      <c r="AH167" s="28">
        <f ca="1"/>
        <v>1984.217011</v>
      </c>
      <c r="AI167" s="28">
        <f ca="1"/>
        <v>1984.217011</v>
      </c>
      <c r="AJ167" s="28">
        <f ca="1"/>
        <v>1984.217011</v>
      </c>
      <c r="AK167" s="29">
        <f ca="1"/>
        <v>1984.217011</v>
      </c>
      <c r="AL167" s="3"/>
    </row>
    <row r="168" spans="2:38">
      <c r="B168" s="3"/>
      <c r="C168" s="23" t="s">
        <v>47</v>
      </c>
      <c r="D168" s="16" t="str">
        <f>_yearDol &amp; "$"</f>
        <v>2013$</v>
      </c>
      <c r="E168" s="141">
        <f t="array" aca="1" ref="E168:AK168" ca="1">(tlccEFupolElec3)</f>
        <v>112952.73371609411</v>
      </c>
      <c r="F168" s="28">
        <f ca="1"/>
        <v>113448.85384604734</v>
      </c>
      <c r="G168" s="28">
        <f ca="1"/>
        <v>113889.08052301186</v>
      </c>
      <c r="H168" s="28">
        <f ca="1"/>
        <v>114368.02354447066</v>
      </c>
      <c r="I168" s="28">
        <f ca="1"/>
        <v>114790.3578199961</v>
      </c>
      <c r="J168" s="28">
        <f ca="1"/>
        <v>115250.1120195914</v>
      </c>
      <c r="K168" s="28">
        <f ca="1"/>
        <v>115652.06980101409</v>
      </c>
      <c r="L168" s="28">
        <f ca="1"/>
        <v>116090.08558788498</v>
      </c>
      <c r="M168" s="28">
        <f ca="1"/>
        <v>116566.81154204172</v>
      </c>
      <c r="N168" s="28">
        <f ca="1"/>
        <v>116986.8140747677</v>
      </c>
      <c r="O168" s="28">
        <f ca="1"/>
        <v>117444.19760677622</v>
      </c>
      <c r="P168" s="28">
        <f ca="1"/>
        <v>117942.134452798</v>
      </c>
      <c r="Q168" s="28">
        <f ca="1"/>
        <v>118384.66534305777</v>
      </c>
      <c r="R168" s="28">
        <f ca="1"/>
        <v>118866.5251854302</v>
      </c>
      <c r="S168" s="28">
        <f ca="1"/>
        <v>119292.12597955453</v>
      </c>
      <c r="T168" s="28">
        <f ca="1"/>
        <v>119755.75968687254</v>
      </c>
      <c r="U168" s="28">
        <f ca="1"/>
        <v>120260.54667171404</v>
      </c>
      <c r="V168" s="28">
        <f ca="1"/>
        <v>120710.58747423839</v>
      </c>
      <c r="W168" s="28">
        <f ca="1"/>
        <v>121200.69894144143</v>
      </c>
      <c r="X168" s="28">
        <f ca="1"/>
        <v>121635.20143856553</v>
      </c>
      <c r="Y168" s="28">
        <f ca="1"/>
        <v>122108.6734897219</v>
      </c>
      <c r="Z168" s="28">
        <f ca="1"/>
        <v>122624.31597097545</v>
      </c>
      <c r="AA168" s="28">
        <f ca="1"/>
        <v>123086.06203245126</v>
      </c>
      <c r="AB168" s="28">
        <f ca="1"/>
        <v>123588.97870443246</v>
      </c>
      <c r="AC168" s="28">
        <f ca="1"/>
        <v>124037.23272045875</v>
      </c>
      <c r="AD168" s="28">
        <f ca="1"/>
        <v>124525.57626925492</v>
      </c>
      <c r="AE168" s="28">
        <f ca="1"/>
        <v>125056.76309676988</v>
      </c>
      <c r="AF168" s="28">
        <f ca="1"/>
        <v>125535.4761504811</v>
      </c>
      <c r="AG168" s="28">
        <f ca="1"/>
        <v>126057.01504011385</v>
      </c>
      <c r="AH168" s="28">
        <f ca="1"/>
        <v>126525.37073185798</v>
      </c>
      <c r="AI168" s="28">
        <f ca="1"/>
        <v>127035.64170804921</v>
      </c>
      <c r="AJ168" s="28">
        <f ca="1"/>
        <v>127492.00732266743</v>
      </c>
      <c r="AK168" s="29">
        <f ca="1"/>
        <v>127989.49187010144</v>
      </c>
      <c r="AL168" s="3"/>
    </row>
    <row r="169" spans="2:38">
      <c r="B169" s="3"/>
      <c r="C169" s="27" t="str">
        <f>INDEX(_fuel,1)</f>
        <v>Electricity</v>
      </c>
      <c r="D169" s="16" t="str">
        <f>_yearDol &amp; "$"</f>
        <v>2013$</v>
      </c>
      <c r="E169" s="141">
        <f ca="1">SUMPRODUCT(dFactor,tpSurvRad,INDEX(tEIdxElec,1)*INDEX(elecRad,stdCSL+1,4)*allOnes,OFFSET(tPrcElec,0,0,1,_maxLT))</f>
        <v>112952.73371609411</v>
      </c>
      <c r="F169" s="28">
        <f ca="1">SUMPRODUCT(dFactor,tpSurvRad,INDEX(tEIdxElec,2)*INDEX(elecRad,stdCSL+1,4)*allOnes,OFFSET(tPrcElec,0,1,1,_maxLT))</f>
        <v>113448.85384604734</v>
      </c>
      <c r="G169" s="28">
        <f ca="1">SUMPRODUCT(dFactor,tpSurvRad,INDEX(tEIdxElec,3)*INDEX(elecRad,stdCSL+1,4)*allOnes,OFFSET(tPrcElec,0,2,1,_maxLT))</f>
        <v>113889.08052301186</v>
      </c>
      <c r="H169" s="28">
        <f ca="1">SUMPRODUCT(dFactor,tpSurvRad,INDEX(tEIdxElec,4)*INDEX(elecRad,stdCSL+1,4)*allOnes,OFFSET(tPrcElec,0,3,1,_maxLT))</f>
        <v>114368.02354447066</v>
      </c>
      <c r="I169" s="28">
        <f ca="1">SUMPRODUCT(dFactor,tpSurvRad,INDEX(tEIdxElec,5)*INDEX(elecRad,stdCSL+1,4)*allOnes,OFFSET(tPrcElec,0,4,1,_maxLT))</f>
        <v>114790.3578199961</v>
      </c>
      <c r="J169" s="28">
        <f ca="1">SUMPRODUCT(dFactor,tpSurvRad,INDEX(tEIdxElec,6)*INDEX(elecRad,stdCSL+1,4)*allOnes,OFFSET(tPrcElec,0,5,1,_maxLT))</f>
        <v>115250.1120195914</v>
      </c>
      <c r="K169" s="28">
        <f ca="1">SUMPRODUCT(dFactor,tpSurvRad,INDEX(tEIdxElec,7)*INDEX(elecRad,stdCSL+1,4)*allOnes,OFFSET(tPrcElec,0,6,1,_maxLT))</f>
        <v>115652.06980101409</v>
      </c>
      <c r="L169" s="28">
        <f ca="1">SUMPRODUCT(dFactor,tpSurvRad,INDEX(tEIdxElec,8)*INDEX(elecRad,stdCSL+1,4)*allOnes,OFFSET(tPrcElec,0,7,1,_maxLT))</f>
        <v>116090.08558788498</v>
      </c>
      <c r="M169" s="28">
        <f ca="1">SUMPRODUCT(dFactor,tpSurvRad,INDEX(tEIdxElec,9)*INDEX(elecRad,stdCSL+1,4)*allOnes,OFFSET(tPrcElec,0,8,1,_maxLT))</f>
        <v>116566.81154204172</v>
      </c>
      <c r="N169" s="28">
        <f ca="1">SUMPRODUCT(dFactor,tpSurvRad,INDEX(tEIdxElec,10)*INDEX(elecRad,stdCSL+1,4)*allOnes,OFFSET(tPrcElec,0,9,1,_maxLT))</f>
        <v>116986.8140747677</v>
      </c>
      <c r="O169" s="28">
        <f ca="1">SUMPRODUCT(dFactor,tpSurvRad,INDEX(tEIdxElec,11)*INDEX(elecRad,stdCSL+1,4)*allOnes,OFFSET(tPrcElec,0,10,1,_maxLT))</f>
        <v>117444.19760677622</v>
      </c>
      <c r="P169" s="28">
        <f ca="1">SUMPRODUCT(dFactor,tpSurvRad,INDEX(tEIdxElec,12)*INDEX(elecRad,stdCSL+1,4)*allOnes,OFFSET(tPrcElec,0,11,1,_maxLT))</f>
        <v>117942.134452798</v>
      </c>
      <c r="Q169" s="28">
        <f ca="1">SUMPRODUCT(dFactor,tpSurvRad,INDEX(tEIdxElec,13)*INDEX(elecRad,stdCSL+1,4)*allOnes,OFFSET(tPrcElec,0,12,1,_maxLT))</f>
        <v>118384.66534305777</v>
      </c>
      <c r="R169" s="28">
        <f ca="1">SUMPRODUCT(dFactor,tpSurvRad,INDEX(tEIdxElec,14)*INDEX(elecRad,stdCSL+1,4)*allOnes,OFFSET(tPrcElec,0,13,1,_maxLT))</f>
        <v>118866.5251854302</v>
      </c>
      <c r="S169" s="28">
        <f ca="1">SUMPRODUCT(dFactor,tpSurvRad,INDEX(tEIdxElec,15)*INDEX(elecRad,stdCSL+1,4)*allOnes,OFFSET(tPrcElec,0,14,1,_maxLT))</f>
        <v>119292.12597955453</v>
      </c>
      <c r="T169" s="28">
        <f ca="1">SUMPRODUCT(dFactor,tpSurvRad,INDEX(tEIdxElec,16)*INDEX(elecRad,stdCSL+1,4)*allOnes,OFFSET(tPrcElec,0,15,1,_maxLT))</f>
        <v>119755.75968687254</v>
      </c>
      <c r="U169" s="28">
        <f ca="1">SUMPRODUCT(dFactor,tpSurvRad,INDEX(tEIdxElec,17)*INDEX(elecRad,stdCSL+1,4)*allOnes,OFFSET(tPrcElec,0,16,1,_maxLT))</f>
        <v>120260.54667171404</v>
      </c>
      <c r="V169" s="28">
        <f ca="1">SUMPRODUCT(dFactor,tpSurvRad,INDEX(tEIdxElec,18)*INDEX(elecRad,stdCSL+1,4)*allOnes,OFFSET(tPrcElec,0,17,1,_maxLT))</f>
        <v>120710.58747423839</v>
      </c>
      <c r="W169" s="28">
        <f ca="1">SUMPRODUCT(dFactor,tpSurvRad,INDEX(tEIdxElec,19)*INDEX(elecRad,stdCSL+1,4)*allOnes,OFFSET(tPrcElec,0,18,1,_maxLT))</f>
        <v>121200.69894144143</v>
      </c>
      <c r="X169" s="28">
        <f ca="1">SUMPRODUCT(dFactor,tpSurvRad,INDEX(tEIdxElec,20)*INDEX(elecRad,stdCSL+1,4)*allOnes,OFFSET(tPrcElec,0,19,1,_maxLT))</f>
        <v>121635.20143856553</v>
      </c>
      <c r="Y169" s="28">
        <f ca="1">SUMPRODUCT(dFactor,tpSurvRad,INDEX(tEIdxElec,21)*INDEX(elecRad,stdCSL+1,4)*allOnes,OFFSET(tPrcElec,0,20,1,_maxLT))</f>
        <v>122108.6734897219</v>
      </c>
      <c r="Z169" s="28">
        <f ca="1">SUMPRODUCT(dFactor,tpSurvRad,INDEX(tEIdxElec,22)*INDEX(elecRad,stdCSL+1,4)*allOnes,OFFSET(tPrcElec,0,21,1,_maxLT))</f>
        <v>122624.31597097545</v>
      </c>
      <c r="AA169" s="28">
        <f ca="1">SUMPRODUCT(dFactor,tpSurvRad,INDEX(tEIdxElec,23)*INDEX(elecRad,stdCSL+1,4)*allOnes,OFFSET(tPrcElec,0,22,1,_maxLT))</f>
        <v>123086.06203245126</v>
      </c>
      <c r="AB169" s="28">
        <f ca="1">SUMPRODUCT(dFactor,tpSurvRad,INDEX(tEIdxElec,24)*INDEX(elecRad,stdCSL+1,4)*allOnes,OFFSET(tPrcElec,0,23,1,_maxLT))</f>
        <v>123588.97870443246</v>
      </c>
      <c r="AC169" s="28">
        <f ca="1">SUMPRODUCT(dFactor,tpSurvRad,INDEX(tEIdxElec,25)*INDEX(elecRad,stdCSL+1,4)*allOnes,OFFSET(tPrcElec,0,24,1,_maxLT))</f>
        <v>124037.23272045875</v>
      </c>
      <c r="AD169" s="28">
        <f ca="1">SUMPRODUCT(dFactor,tpSurvRad,INDEX(tEIdxElec,26)*INDEX(elecRad,stdCSL+1,4)*allOnes,OFFSET(tPrcElec,0,25,1,_maxLT))</f>
        <v>124525.57626925492</v>
      </c>
      <c r="AE169" s="28">
        <f ca="1">SUMPRODUCT(dFactor,tpSurvRad,INDEX(tEIdxElec,27)*INDEX(elecRad,stdCSL+1,4)*allOnes,OFFSET(tPrcElec,0,26,1,_maxLT))</f>
        <v>125056.76309676988</v>
      </c>
      <c r="AF169" s="28">
        <f ca="1">SUMPRODUCT(dFactor,tpSurvRad,INDEX(tEIdxElec,28)*INDEX(elecRad,stdCSL+1,4)*allOnes,OFFSET(tPrcElec,0,27,1,_maxLT))</f>
        <v>125535.4761504811</v>
      </c>
      <c r="AG169" s="28">
        <f ca="1">SUMPRODUCT(dFactor,tpSurvRad,INDEX(tEIdxElec,29)*INDEX(elecRad,stdCSL+1,4)*allOnes,OFFSET(tPrcElec,0,28,1,_maxLT))</f>
        <v>126057.01504011385</v>
      </c>
      <c r="AH169" s="28">
        <f ca="1">SUMPRODUCT(dFactor,tpSurvRad,INDEX(tEIdxElec,30)*INDEX(elecRad,stdCSL+1,4)*allOnes,OFFSET(tPrcElec,0,29,1,_maxLT))</f>
        <v>126525.37073185798</v>
      </c>
      <c r="AI169" s="28">
        <f ca="1">SUMPRODUCT(dFactor,tpSurvRad,INDEX(tEIdxElec,31)*INDEX(elecRad,stdCSL+1,4)*allOnes,OFFSET(tPrcElec,0,30,1,_maxLT))</f>
        <v>127035.64170804921</v>
      </c>
      <c r="AJ169" s="28">
        <f ca="1">SUMPRODUCT(dFactor,tpSurvRad,INDEX(tEIdxElec,32)*INDEX(elecRad,stdCSL+1,4)*allOnes,OFFSET(tPrcElec,0,31,1,_maxLT))</f>
        <v>127492.00732266743</v>
      </c>
      <c r="AK169" s="29">
        <f ca="1">SUMPRODUCT(dFactor,tpSurvRad,INDEX(tEIdxElec,33)*INDEX(elecRad,stdCSL+1,4)*allOnes,OFFSET(tPrcElec,0,32,1,_maxLT))</f>
        <v>127989.49187010144</v>
      </c>
      <c r="AL169" s="3"/>
    </row>
    <row r="170" spans="2:38">
      <c r="B170" s="3"/>
      <c r="C170" s="23" t="s">
        <v>44</v>
      </c>
      <c r="D170" s="13"/>
      <c r="E170" s="142"/>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4"/>
      <c r="AL170" s="3"/>
    </row>
    <row r="171" spans="2:38">
      <c r="B171" s="3"/>
      <c r="C171" s="27" t="str">
        <f>INDEX(_fuel,1)</f>
        <v>Electricity</v>
      </c>
      <c r="D171" s="16" t="s">
        <v>48</v>
      </c>
      <c r="E171" s="144">
        <f ca="1">ts2bElec*SUMPRODUCT(tpSurvRad,INDEX(tEIdxElec,1)*INDEX(elecRad,stdCSL+1,4)*convFactor)</f>
        <v>25944.951586294639</v>
      </c>
      <c r="F171" s="22">
        <f ca="1">ts2bElec*SUMPRODUCT(tpSurvRad,INDEX(tEIdxElec,2)*INDEX(elecRad,stdCSL+1,4)*convFactor)</f>
        <v>25770.659474465949</v>
      </c>
      <c r="G171" s="22">
        <f ca="1">ts2bElec*SUMPRODUCT(tpSurvRad,INDEX(tEIdxElec,3)*INDEX(elecRad,stdCSL+1,4)*convFactor)</f>
        <v>25595.064338280561</v>
      </c>
      <c r="H171" s="22">
        <f ca="1">ts2bElec*SUMPRODUCT(tpSurvRad,INDEX(tEIdxElec,4)*INDEX(elecRad,stdCSL+1,4)*convFactor)</f>
        <v>25440.905958259125</v>
      </c>
      <c r="I171" s="22">
        <f ca="1">ts2bElec*SUMPRODUCT(tpSurvRad,INDEX(tEIdxElec,5)*INDEX(elecRad,stdCSL+1,4)*convFactor)</f>
        <v>25294.746877693779</v>
      </c>
      <c r="J171" s="22">
        <f ca="1">ts2bElec*SUMPRODUCT(tpSurvRad,INDEX(tEIdxElec,6)*INDEX(elecRad,stdCSL+1,4)*convFactor)</f>
        <v>25167.469404756539</v>
      </c>
      <c r="K171" s="22">
        <f ca="1">ts2bElec*SUMPRODUCT(tpSurvRad,INDEX(tEIdxElec,7)*INDEX(elecRad,stdCSL+1,4)*convFactor)</f>
        <v>25068.792550361901</v>
      </c>
      <c r="L171" s="22">
        <f ca="1">ts2bElec*SUMPRODUCT(tpSurvRad,INDEX(tEIdxElec,8)*INDEX(elecRad,stdCSL+1,4)*convFactor)</f>
        <v>24986.982671988615</v>
      </c>
      <c r="M171" s="22">
        <f ca="1">ts2bElec*SUMPRODUCT(tpSurvRad,INDEX(tEIdxElec,9)*INDEX(elecRad,stdCSL+1,4)*convFactor)</f>
        <v>24904.761932485391</v>
      </c>
      <c r="N171" s="22">
        <f ca="1">ts2bElec*SUMPRODUCT(tpSurvRad,INDEX(tEIdxElec,10)*INDEX(elecRad,stdCSL+1,4)*convFactor)</f>
        <v>24838.969872706741</v>
      </c>
      <c r="O171" s="22">
        <f ca="1">ts2bElec*SUMPRODUCT(tpSurvRad,INDEX(tEIdxElec,11)*INDEX(elecRad,stdCSL+1,4)*convFactor)</f>
        <v>24793.640802663798</v>
      </c>
      <c r="P171" s="22">
        <f ca="1">ts2bElec*SUMPRODUCT(tpSurvRad,INDEX(tEIdxElec,12)*INDEX(elecRad,stdCSL+1,4)*convFactor)</f>
        <v>24760.447723745532</v>
      </c>
      <c r="Q171" s="22">
        <f ca="1">ts2bElec*SUMPRODUCT(tpSurvRad,INDEX(tEIdxElec,13)*INDEX(elecRad,stdCSL+1,4)*convFactor)</f>
        <v>24732.502589437518</v>
      </c>
      <c r="R171" s="22">
        <f ca="1">ts2bElec*SUMPRODUCT(tpSurvRad,INDEX(tEIdxElec,14)*INDEX(elecRad,stdCSL+1,4)*convFactor)</f>
        <v>24711.886215894232</v>
      </c>
      <c r="S171" s="22">
        <f ca="1">ts2bElec*SUMPRODUCT(tpSurvRad,INDEX(tEIdxElec,15)*INDEX(elecRad,stdCSL+1,4)*convFactor)</f>
        <v>24696.170533425149</v>
      </c>
      <c r="T171" s="22">
        <f ca="1">ts2bElec*SUMPRODUCT(tpSurvRad,INDEX(tEIdxElec,16)*INDEX(elecRad,stdCSL+1,4)*convFactor)</f>
        <v>24694.19451803606</v>
      </c>
      <c r="U171" s="22">
        <f ca="1">ts2bElec*SUMPRODUCT(tpSurvRad,INDEX(tEIdxElec,17)*INDEX(elecRad,stdCSL+1,4)*convFactor)</f>
        <v>24698.219084427004</v>
      </c>
      <c r="V171" s="22">
        <f ca="1">ts2bElec*SUMPRODUCT(tpSurvRad,INDEX(tEIdxElec,18)*INDEX(elecRad,stdCSL+1,4)*convFactor)</f>
        <v>24704.139986069229</v>
      </c>
      <c r="W171" s="22">
        <f ca="1">ts2bElec*SUMPRODUCT(tpSurvRad,INDEX(tEIdxElec,19)*INDEX(elecRad,stdCSL+1,4)*convFactor)</f>
        <v>24712.607695748691</v>
      </c>
      <c r="X171" s="22">
        <f ca="1">ts2bElec*SUMPRODUCT(tpSurvRad,INDEX(tEIdxElec,20)*INDEX(elecRad,stdCSL+1,4)*convFactor)</f>
        <v>24720.609590435455</v>
      </c>
      <c r="Y171" s="22">
        <f ca="1">ts2bElec*SUMPRODUCT(tpSurvRad,INDEX(tEIdxElec,21)*INDEX(elecRad,stdCSL+1,4)*convFactor)</f>
        <v>24727.239588016095</v>
      </c>
      <c r="Z171" s="22">
        <f ca="1">ts2bElec*SUMPRODUCT(tpSurvRad,INDEX(tEIdxElec,22)*INDEX(elecRad,stdCSL+1,4)*convFactor)</f>
        <v>24731.682623793506</v>
      </c>
      <c r="AA171" s="22">
        <f ca="1">ts2bElec*SUMPRODUCT(tpSurvRad,INDEX(tEIdxElec,23)*INDEX(elecRad,stdCSL+1,4)*convFactor)</f>
        <v>24734.610880128628</v>
      </c>
      <c r="AB171" s="22">
        <f ca="1">ts2bElec*SUMPRODUCT(tpSurvRad,INDEX(tEIdxElec,24)*INDEX(elecRad,stdCSL+1,4)*convFactor)</f>
        <v>24734.610880128628</v>
      </c>
      <c r="AC171" s="22">
        <f ca="1">ts2bElec*SUMPRODUCT(tpSurvRad,INDEX(tEIdxElec,25)*INDEX(elecRad,stdCSL+1,4)*convFactor)</f>
        <v>24734.610880128628</v>
      </c>
      <c r="AD171" s="22">
        <f ca="1">ts2bElec*SUMPRODUCT(tpSurvRad,INDEX(tEIdxElec,26)*INDEX(elecRad,stdCSL+1,4)*convFactor)</f>
        <v>24734.610880128628</v>
      </c>
      <c r="AE171" s="22">
        <f ca="1">ts2bElec*SUMPRODUCT(tpSurvRad,INDEX(tEIdxElec,27)*INDEX(elecRad,stdCSL+1,4)*convFactor)</f>
        <v>24734.610880128628</v>
      </c>
      <c r="AF171" s="22">
        <f ca="1">ts2bElec*SUMPRODUCT(tpSurvRad,INDEX(tEIdxElec,28)*INDEX(elecRad,stdCSL+1,4)*convFactor)</f>
        <v>24734.610880128628</v>
      </c>
      <c r="AG171" s="22">
        <f ca="1">ts2bElec*SUMPRODUCT(tpSurvRad,INDEX(tEIdxElec,29)*INDEX(elecRad,stdCSL+1,4)*convFactor)</f>
        <v>24734.610880128628</v>
      </c>
      <c r="AH171" s="22">
        <f ca="1">ts2bElec*SUMPRODUCT(tpSurvRad,INDEX(tEIdxElec,30)*INDEX(elecRad,stdCSL+1,4)*convFactor)</f>
        <v>24734.610880128628</v>
      </c>
      <c r="AI171" s="22">
        <f ca="1">ts2bElec*SUMPRODUCT(tpSurvRad,INDEX(tEIdxElec,31)*INDEX(elecRad,stdCSL+1,4)*convFactor)</f>
        <v>24734.610880128628</v>
      </c>
      <c r="AJ171" s="22">
        <f ca="1">ts2bElec*SUMPRODUCT(tpSurvRad,INDEX(tEIdxElec,32)*INDEX(elecRad,stdCSL+1,4)*convFactor)</f>
        <v>24734.610880128628</v>
      </c>
      <c r="AK171" s="25">
        <f ca="1">ts2bElec*SUMPRODUCT(tpSurvRad,INDEX(tEIdxElec,33)*INDEX(elecRad,stdCSL+1,4)*convFactor)</f>
        <v>24734.610880128628</v>
      </c>
      <c r="AL171" s="3"/>
    </row>
    <row r="172" spans="2:38">
      <c r="B172" s="3"/>
      <c r="C172" s="30" t="str">
        <f>"EL 4: " &amp; INDEX(_doName,6,5)</f>
        <v>EL 4: EL 4</v>
      </c>
      <c r="D172" s="31"/>
      <c r="E172" s="140"/>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2"/>
      <c r="AL172" s="3"/>
    </row>
    <row r="173" spans="2:38">
      <c r="B173" s="3"/>
      <c r="C173" s="23" t="s">
        <v>39</v>
      </c>
      <c r="D173" s="16" t="str">
        <f>_yearDol &amp; "$"</f>
        <v>2013$</v>
      </c>
      <c r="E173" s="141">
        <f t="array" aca="1" ref="E173:AK173" ca="1">(1+INDEX(vadRad,stdCSL+1,5))*INDEX(mspRad,stdCSL+1,5)*tPIdxAll + INDEX(instRad,stdCSL+1,5) + SUMPRODUCT(dFactor,tpSurvRad,INDEX(mrRad,stdCSL+1,5)*allOnes)</f>
        <v>2032.5232620000002</v>
      </c>
      <c r="F173" s="28">
        <f ca="1"/>
        <v>2032.5232620000002</v>
      </c>
      <c r="G173" s="28">
        <f ca="1"/>
        <v>2032.5232620000002</v>
      </c>
      <c r="H173" s="28">
        <f ca="1"/>
        <v>2032.5232620000002</v>
      </c>
      <c r="I173" s="28">
        <f ca="1"/>
        <v>2032.5232620000002</v>
      </c>
      <c r="J173" s="28">
        <f ca="1"/>
        <v>2032.5232620000002</v>
      </c>
      <c r="K173" s="28">
        <f ca="1"/>
        <v>2032.5232620000002</v>
      </c>
      <c r="L173" s="28">
        <f ca="1"/>
        <v>2032.5232620000002</v>
      </c>
      <c r="M173" s="28">
        <f ca="1"/>
        <v>2032.5232620000002</v>
      </c>
      <c r="N173" s="28">
        <f ca="1"/>
        <v>2032.5232620000002</v>
      </c>
      <c r="O173" s="28">
        <f ca="1"/>
        <v>2032.5232620000002</v>
      </c>
      <c r="P173" s="28">
        <f ca="1"/>
        <v>2032.5232620000002</v>
      </c>
      <c r="Q173" s="28">
        <f ca="1"/>
        <v>2032.5232620000002</v>
      </c>
      <c r="R173" s="28">
        <f ca="1"/>
        <v>2032.5232620000002</v>
      </c>
      <c r="S173" s="28">
        <f ca="1"/>
        <v>2032.5232620000002</v>
      </c>
      <c r="T173" s="28">
        <f ca="1"/>
        <v>2032.5232620000002</v>
      </c>
      <c r="U173" s="28">
        <f ca="1"/>
        <v>2032.5232620000002</v>
      </c>
      <c r="V173" s="28">
        <f ca="1"/>
        <v>2032.5232620000002</v>
      </c>
      <c r="W173" s="28">
        <f ca="1"/>
        <v>2032.5232620000002</v>
      </c>
      <c r="X173" s="28">
        <f ca="1"/>
        <v>2032.5232620000002</v>
      </c>
      <c r="Y173" s="28">
        <f ca="1"/>
        <v>2032.5232620000002</v>
      </c>
      <c r="Z173" s="28">
        <f ca="1"/>
        <v>2032.5232620000002</v>
      </c>
      <c r="AA173" s="28">
        <f ca="1"/>
        <v>2032.5232620000002</v>
      </c>
      <c r="AB173" s="28">
        <f ca="1"/>
        <v>2032.5232620000002</v>
      </c>
      <c r="AC173" s="28">
        <f ca="1"/>
        <v>2032.5232620000002</v>
      </c>
      <c r="AD173" s="28">
        <f ca="1"/>
        <v>2032.5232620000002</v>
      </c>
      <c r="AE173" s="28">
        <f ca="1"/>
        <v>2032.5232620000002</v>
      </c>
      <c r="AF173" s="28">
        <f ca="1"/>
        <v>2032.5232620000002</v>
      </c>
      <c r="AG173" s="28">
        <f ca="1"/>
        <v>2032.5232620000002</v>
      </c>
      <c r="AH173" s="28">
        <f ca="1"/>
        <v>2032.5232620000002</v>
      </c>
      <c r="AI173" s="28">
        <f ca="1"/>
        <v>2032.5232620000002</v>
      </c>
      <c r="AJ173" s="28">
        <f ca="1"/>
        <v>2032.5232620000002</v>
      </c>
      <c r="AK173" s="29">
        <f ca="1"/>
        <v>2032.5232620000002</v>
      </c>
      <c r="AL173" s="3"/>
    </row>
    <row r="174" spans="2:38">
      <c r="B174" s="3"/>
      <c r="C174" s="23" t="s">
        <v>47</v>
      </c>
      <c r="D174" s="16" t="str">
        <f>_yearDol &amp; "$"</f>
        <v>2013$</v>
      </c>
      <c r="E174" s="141">
        <f t="array" aca="1" ref="E174:AK174" ca="1">(tlccEFupolElec4)</f>
        <v>92983.913154714319</v>
      </c>
      <c r="F174" s="28">
        <f ca="1"/>
        <v>93392.324616395534</v>
      </c>
      <c r="G174" s="28">
        <f ca="1"/>
        <v>93754.723982506868</v>
      </c>
      <c r="H174" s="28">
        <f ca="1"/>
        <v>94148.995062526228</v>
      </c>
      <c r="I174" s="28">
        <f ca="1"/>
        <v>94496.665210080362</v>
      </c>
      <c r="J174" s="28">
        <f ca="1"/>
        <v>94875.139844214835</v>
      </c>
      <c r="K174" s="28">
        <f ca="1"/>
        <v>95206.035841239689</v>
      </c>
      <c r="L174" s="28">
        <f ca="1"/>
        <v>95566.615178692213</v>
      </c>
      <c r="M174" s="28">
        <f ca="1"/>
        <v>95959.061144907813</v>
      </c>
      <c r="N174" s="28">
        <f ca="1"/>
        <v>96304.811776547285</v>
      </c>
      <c r="O174" s="28">
        <f ca="1"/>
        <v>96681.334851460837</v>
      </c>
      <c r="P174" s="28">
        <f ca="1"/>
        <v>97091.2418534764</v>
      </c>
      <c r="Q174" s="28">
        <f ca="1"/>
        <v>97455.538072916504</v>
      </c>
      <c r="R174" s="28">
        <f ca="1"/>
        <v>97852.21031148771</v>
      </c>
      <c r="S174" s="28">
        <f ca="1"/>
        <v>98202.569492513794</v>
      </c>
      <c r="T174" s="28">
        <f ca="1"/>
        <v>98584.237779402843</v>
      </c>
      <c r="U174" s="28">
        <f ca="1"/>
        <v>98999.783889850398</v>
      </c>
      <c r="V174" s="28">
        <f ca="1"/>
        <v>99370.26235036453</v>
      </c>
      <c r="W174" s="28">
        <f ca="1"/>
        <v>99773.727415823494</v>
      </c>
      <c r="X174" s="28">
        <f ca="1"/>
        <v>100131.41457512359</v>
      </c>
      <c r="Y174" s="28">
        <f ca="1"/>
        <v>100521.18189316445</v>
      </c>
      <c r="Z174" s="28">
        <f ca="1"/>
        <v>100945.66436577351</v>
      </c>
      <c r="AA174" s="28">
        <f ca="1"/>
        <v>101325.77872217073</v>
      </c>
      <c r="AB174" s="28">
        <f ca="1"/>
        <v>101739.78517082476</v>
      </c>
      <c r="AC174" s="28">
        <f ca="1"/>
        <v>102108.79272935099</v>
      </c>
      <c r="AD174" s="28">
        <f ca="1"/>
        <v>102510.80242523896</v>
      </c>
      <c r="AE174" s="28">
        <f ca="1"/>
        <v>102948.08117196435</v>
      </c>
      <c r="AF174" s="28">
        <f ca="1"/>
        <v>103342.16294004441</v>
      </c>
      <c r="AG174" s="28">
        <f ca="1"/>
        <v>103771.49939986228</v>
      </c>
      <c r="AH174" s="28">
        <f ca="1"/>
        <v>104157.05487544835</v>
      </c>
      <c r="AI174" s="28">
        <f ca="1"/>
        <v>104577.11546694138</v>
      </c>
      <c r="AJ174" s="28">
        <f ca="1"/>
        <v>104952.80058123988</v>
      </c>
      <c r="AK174" s="29">
        <f ca="1"/>
        <v>105362.3352461616</v>
      </c>
      <c r="AL174" s="3"/>
    </row>
    <row r="175" spans="2:38">
      <c r="B175" s="3"/>
      <c r="C175" s="27" t="str">
        <f>INDEX(_fuel,1)</f>
        <v>Electricity</v>
      </c>
      <c r="D175" s="16" t="str">
        <f>_yearDol &amp; "$"</f>
        <v>2013$</v>
      </c>
      <c r="E175" s="141">
        <f ca="1">SUMPRODUCT(dFactor,tpSurvRad,INDEX(tEIdxElec,1)*INDEX(elecRad,stdCSL+1,5)*allOnes,OFFSET(tPrcElec,0,0,1,_maxLT))</f>
        <v>92983.913154714319</v>
      </c>
      <c r="F175" s="28">
        <f ca="1">SUMPRODUCT(dFactor,tpSurvRad,INDEX(tEIdxElec,2)*INDEX(elecRad,stdCSL+1,5)*allOnes,OFFSET(tPrcElec,0,1,1,_maxLT))</f>
        <v>93392.324616395534</v>
      </c>
      <c r="G175" s="28">
        <f ca="1">SUMPRODUCT(dFactor,tpSurvRad,INDEX(tEIdxElec,3)*INDEX(elecRad,stdCSL+1,5)*allOnes,OFFSET(tPrcElec,0,2,1,_maxLT))</f>
        <v>93754.723982506868</v>
      </c>
      <c r="H175" s="28">
        <f ca="1">SUMPRODUCT(dFactor,tpSurvRad,INDEX(tEIdxElec,4)*INDEX(elecRad,stdCSL+1,5)*allOnes,OFFSET(tPrcElec,0,3,1,_maxLT))</f>
        <v>94148.995062526228</v>
      </c>
      <c r="I175" s="28">
        <f ca="1">SUMPRODUCT(dFactor,tpSurvRad,INDEX(tEIdxElec,5)*INDEX(elecRad,stdCSL+1,5)*allOnes,OFFSET(tPrcElec,0,4,1,_maxLT))</f>
        <v>94496.665210080362</v>
      </c>
      <c r="J175" s="28">
        <f ca="1">SUMPRODUCT(dFactor,tpSurvRad,INDEX(tEIdxElec,6)*INDEX(elecRad,stdCSL+1,5)*allOnes,OFFSET(tPrcElec,0,5,1,_maxLT))</f>
        <v>94875.139844214835</v>
      </c>
      <c r="K175" s="28">
        <f ca="1">SUMPRODUCT(dFactor,tpSurvRad,INDEX(tEIdxElec,7)*INDEX(elecRad,stdCSL+1,5)*allOnes,OFFSET(tPrcElec,0,6,1,_maxLT))</f>
        <v>95206.035841239689</v>
      </c>
      <c r="L175" s="28">
        <f ca="1">SUMPRODUCT(dFactor,tpSurvRad,INDEX(tEIdxElec,8)*INDEX(elecRad,stdCSL+1,5)*allOnes,OFFSET(tPrcElec,0,7,1,_maxLT))</f>
        <v>95566.615178692213</v>
      </c>
      <c r="M175" s="28">
        <f ca="1">SUMPRODUCT(dFactor,tpSurvRad,INDEX(tEIdxElec,9)*INDEX(elecRad,stdCSL+1,5)*allOnes,OFFSET(tPrcElec,0,8,1,_maxLT))</f>
        <v>95959.061144907813</v>
      </c>
      <c r="N175" s="28">
        <f ca="1">SUMPRODUCT(dFactor,tpSurvRad,INDEX(tEIdxElec,10)*INDEX(elecRad,stdCSL+1,5)*allOnes,OFFSET(tPrcElec,0,9,1,_maxLT))</f>
        <v>96304.811776547285</v>
      </c>
      <c r="O175" s="28">
        <f ca="1">SUMPRODUCT(dFactor,tpSurvRad,INDEX(tEIdxElec,11)*INDEX(elecRad,stdCSL+1,5)*allOnes,OFFSET(tPrcElec,0,10,1,_maxLT))</f>
        <v>96681.334851460837</v>
      </c>
      <c r="P175" s="28">
        <f ca="1">SUMPRODUCT(dFactor,tpSurvRad,INDEX(tEIdxElec,12)*INDEX(elecRad,stdCSL+1,5)*allOnes,OFFSET(tPrcElec,0,11,1,_maxLT))</f>
        <v>97091.2418534764</v>
      </c>
      <c r="Q175" s="28">
        <f ca="1">SUMPRODUCT(dFactor,tpSurvRad,INDEX(tEIdxElec,13)*INDEX(elecRad,stdCSL+1,5)*allOnes,OFFSET(tPrcElec,0,12,1,_maxLT))</f>
        <v>97455.538072916504</v>
      </c>
      <c r="R175" s="28">
        <f ca="1">SUMPRODUCT(dFactor,tpSurvRad,INDEX(tEIdxElec,14)*INDEX(elecRad,stdCSL+1,5)*allOnes,OFFSET(tPrcElec,0,13,1,_maxLT))</f>
        <v>97852.21031148771</v>
      </c>
      <c r="S175" s="28">
        <f ca="1">SUMPRODUCT(dFactor,tpSurvRad,INDEX(tEIdxElec,15)*INDEX(elecRad,stdCSL+1,5)*allOnes,OFFSET(tPrcElec,0,14,1,_maxLT))</f>
        <v>98202.569492513794</v>
      </c>
      <c r="T175" s="28">
        <f ca="1">SUMPRODUCT(dFactor,tpSurvRad,INDEX(tEIdxElec,16)*INDEX(elecRad,stdCSL+1,5)*allOnes,OFFSET(tPrcElec,0,15,1,_maxLT))</f>
        <v>98584.237779402843</v>
      </c>
      <c r="U175" s="28">
        <f ca="1">SUMPRODUCT(dFactor,tpSurvRad,INDEX(tEIdxElec,17)*INDEX(elecRad,stdCSL+1,5)*allOnes,OFFSET(tPrcElec,0,16,1,_maxLT))</f>
        <v>98999.783889850398</v>
      </c>
      <c r="V175" s="28">
        <f ca="1">SUMPRODUCT(dFactor,tpSurvRad,INDEX(tEIdxElec,18)*INDEX(elecRad,stdCSL+1,5)*allOnes,OFFSET(tPrcElec,0,17,1,_maxLT))</f>
        <v>99370.26235036453</v>
      </c>
      <c r="W175" s="28">
        <f ca="1">SUMPRODUCT(dFactor,tpSurvRad,INDEX(tEIdxElec,19)*INDEX(elecRad,stdCSL+1,5)*allOnes,OFFSET(tPrcElec,0,18,1,_maxLT))</f>
        <v>99773.727415823494</v>
      </c>
      <c r="X175" s="28">
        <f ca="1">SUMPRODUCT(dFactor,tpSurvRad,INDEX(tEIdxElec,20)*INDEX(elecRad,stdCSL+1,5)*allOnes,OFFSET(tPrcElec,0,19,1,_maxLT))</f>
        <v>100131.41457512359</v>
      </c>
      <c r="Y175" s="28">
        <f ca="1">SUMPRODUCT(dFactor,tpSurvRad,INDEX(tEIdxElec,21)*INDEX(elecRad,stdCSL+1,5)*allOnes,OFFSET(tPrcElec,0,20,1,_maxLT))</f>
        <v>100521.18189316445</v>
      </c>
      <c r="Z175" s="28">
        <f ca="1">SUMPRODUCT(dFactor,tpSurvRad,INDEX(tEIdxElec,22)*INDEX(elecRad,stdCSL+1,5)*allOnes,OFFSET(tPrcElec,0,21,1,_maxLT))</f>
        <v>100945.66436577351</v>
      </c>
      <c r="AA175" s="28">
        <f ca="1">SUMPRODUCT(dFactor,tpSurvRad,INDEX(tEIdxElec,23)*INDEX(elecRad,stdCSL+1,5)*allOnes,OFFSET(tPrcElec,0,22,1,_maxLT))</f>
        <v>101325.77872217073</v>
      </c>
      <c r="AB175" s="28">
        <f ca="1">SUMPRODUCT(dFactor,tpSurvRad,INDEX(tEIdxElec,24)*INDEX(elecRad,stdCSL+1,5)*allOnes,OFFSET(tPrcElec,0,23,1,_maxLT))</f>
        <v>101739.78517082476</v>
      </c>
      <c r="AC175" s="28">
        <f ca="1">SUMPRODUCT(dFactor,tpSurvRad,INDEX(tEIdxElec,25)*INDEX(elecRad,stdCSL+1,5)*allOnes,OFFSET(tPrcElec,0,24,1,_maxLT))</f>
        <v>102108.79272935099</v>
      </c>
      <c r="AD175" s="28">
        <f ca="1">SUMPRODUCT(dFactor,tpSurvRad,INDEX(tEIdxElec,26)*INDEX(elecRad,stdCSL+1,5)*allOnes,OFFSET(tPrcElec,0,25,1,_maxLT))</f>
        <v>102510.80242523896</v>
      </c>
      <c r="AE175" s="28">
        <f ca="1">SUMPRODUCT(dFactor,tpSurvRad,INDEX(tEIdxElec,27)*INDEX(elecRad,stdCSL+1,5)*allOnes,OFFSET(tPrcElec,0,26,1,_maxLT))</f>
        <v>102948.08117196435</v>
      </c>
      <c r="AF175" s="28">
        <f ca="1">SUMPRODUCT(dFactor,tpSurvRad,INDEX(tEIdxElec,28)*INDEX(elecRad,stdCSL+1,5)*allOnes,OFFSET(tPrcElec,0,27,1,_maxLT))</f>
        <v>103342.16294004441</v>
      </c>
      <c r="AG175" s="28">
        <f ca="1">SUMPRODUCT(dFactor,tpSurvRad,INDEX(tEIdxElec,29)*INDEX(elecRad,stdCSL+1,5)*allOnes,OFFSET(tPrcElec,0,28,1,_maxLT))</f>
        <v>103771.49939986228</v>
      </c>
      <c r="AH175" s="28">
        <f ca="1">SUMPRODUCT(dFactor,tpSurvRad,INDEX(tEIdxElec,30)*INDEX(elecRad,stdCSL+1,5)*allOnes,OFFSET(tPrcElec,0,29,1,_maxLT))</f>
        <v>104157.05487544835</v>
      </c>
      <c r="AI175" s="28">
        <f ca="1">SUMPRODUCT(dFactor,tpSurvRad,INDEX(tEIdxElec,31)*INDEX(elecRad,stdCSL+1,5)*allOnes,OFFSET(tPrcElec,0,30,1,_maxLT))</f>
        <v>104577.11546694138</v>
      </c>
      <c r="AJ175" s="28">
        <f ca="1">SUMPRODUCT(dFactor,tpSurvRad,INDEX(tEIdxElec,32)*INDEX(elecRad,stdCSL+1,5)*allOnes,OFFSET(tPrcElec,0,31,1,_maxLT))</f>
        <v>104952.80058123988</v>
      </c>
      <c r="AK175" s="29">
        <f ca="1">SUMPRODUCT(dFactor,tpSurvRad,INDEX(tEIdxElec,33)*INDEX(elecRad,stdCSL+1,5)*allOnes,OFFSET(tPrcElec,0,32,1,_maxLT))</f>
        <v>105362.3352461616</v>
      </c>
      <c r="AL175" s="3"/>
    </row>
    <row r="176" spans="2:38">
      <c r="B176" s="3"/>
      <c r="C176" s="23" t="s">
        <v>44</v>
      </c>
      <c r="D176" s="13"/>
      <c r="E176" s="142"/>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4"/>
      <c r="AL176" s="3"/>
    </row>
    <row r="177" spans="2:38">
      <c r="B177" s="3"/>
      <c r="C177" s="27" t="str">
        <f>INDEX(_fuel,1)</f>
        <v>Electricity</v>
      </c>
      <c r="D177" s="16" t="s">
        <v>48</v>
      </c>
      <c r="E177" s="144">
        <f ca="1">ts2bElec*SUMPRODUCT(tpSurvRad,INDEX(tEIdxElec,1)*INDEX(elecRad,stdCSL+1,5)*convFactor)</f>
        <v>21358.165010569806</v>
      </c>
      <c r="F177" s="22">
        <f ca="1">ts2bElec*SUMPRODUCT(tpSurvRad,INDEX(tEIdxElec,2)*INDEX(elecRad,stdCSL+1,5)*convFactor)</f>
        <v>21214.685857328899</v>
      </c>
      <c r="G177" s="22">
        <f ca="1">ts2bElec*SUMPRODUCT(tpSurvRad,INDEX(tEIdxElec,3)*INDEX(elecRad,stdCSL+1,5)*convFactor)</f>
        <v>21070.134040331788</v>
      </c>
      <c r="H177" s="22">
        <f ca="1">ts2bElec*SUMPRODUCT(tpSurvRad,INDEX(tEIdxElec,4)*INDEX(elecRad,stdCSL+1,5)*convFactor)</f>
        <v>20943.229193070511</v>
      </c>
      <c r="I177" s="22">
        <f ca="1">ts2bElec*SUMPRODUCT(tpSurvRad,INDEX(tEIdxElec,5)*INDEX(elecRad,stdCSL+1,5)*convFactor)</f>
        <v>20822.909455717185</v>
      </c>
      <c r="J177" s="22">
        <f ca="1">ts2bElec*SUMPRODUCT(tpSurvRad,INDEX(tEIdxElec,6)*INDEX(elecRad,stdCSL+1,5)*convFactor)</f>
        <v>20718.133262164454</v>
      </c>
      <c r="K177" s="22">
        <f ca="1">ts2bElec*SUMPRODUCT(tpSurvRad,INDEX(tEIdxElec,7)*INDEX(elecRad,stdCSL+1,5)*convFactor)</f>
        <v>20636.901407409401</v>
      </c>
      <c r="L177" s="22">
        <f ca="1">ts2bElec*SUMPRODUCT(tpSurvRad,INDEX(tEIdxElec,8)*INDEX(elecRad,stdCSL+1,5)*convFactor)</f>
        <v>20569.554629907063</v>
      </c>
      <c r="M177" s="22">
        <f ca="1">ts2bElec*SUMPRODUCT(tpSurvRad,INDEX(tEIdxElec,9)*INDEX(elecRad,stdCSL+1,5)*convFactor)</f>
        <v>20501.869627074811</v>
      </c>
      <c r="N177" s="22">
        <f ca="1">ts2bElec*SUMPRODUCT(tpSurvRad,INDEX(tEIdxElec,10)*INDEX(elecRad,stdCSL+1,5)*convFactor)</f>
        <v>20447.708891239025</v>
      </c>
      <c r="O177" s="22">
        <f ca="1">ts2bElec*SUMPRODUCT(tpSurvRad,INDEX(tEIdxElec,11)*INDEX(elecRad,stdCSL+1,5)*convFactor)</f>
        <v>20410.393510073918</v>
      </c>
      <c r="P177" s="22">
        <f ca="1">ts2bElec*SUMPRODUCT(tpSurvRad,INDEX(tEIdxElec,12)*INDEX(elecRad,stdCSL+1,5)*convFactor)</f>
        <v>20383.068608179718</v>
      </c>
      <c r="Q177" s="22">
        <f ca="1">ts2bElec*SUMPRODUCT(tpSurvRad,INDEX(tEIdxElec,13)*INDEX(elecRad,stdCSL+1,5)*convFactor)</f>
        <v>20360.063871099832</v>
      </c>
      <c r="R177" s="22">
        <f ca="1">ts2bElec*SUMPRODUCT(tpSurvRad,INDEX(tEIdxElec,14)*INDEX(elecRad,stdCSL+1,5)*convFactor)</f>
        <v>20343.092249218302</v>
      </c>
      <c r="S177" s="22">
        <f ca="1">ts2bElec*SUMPRODUCT(tpSurvRad,INDEX(tEIdxElec,15)*INDEX(elecRad,stdCSL+1,5)*convFactor)</f>
        <v>20330.154929281052</v>
      </c>
      <c r="T177" s="22">
        <f ca="1">ts2bElec*SUMPRODUCT(tpSurvRad,INDEX(tEIdxElec,16)*INDEX(elecRad,stdCSL+1,5)*convFactor)</f>
        <v>20328.528252021577</v>
      </c>
      <c r="U177" s="22">
        <f ca="1">ts2bElec*SUMPRODUCT(tpSurvRad,INDEX(tEIdxElec,17)*INDEX(elecRad,stdCSL+1,5)*convFactor)</f>
        <v>20331.841318642182</v>
      </c>
      <c r="V177" s="22">
        <f ca="1">ts2bElec*SUMPRODUCT(tpSurvRad,INDEX(tEIdxElec,18)*INDEX(elecRad,stdCSL+1,5)*convFactor)</f>
        <v>20336.715468970244</v>
      </c>
      <c r="W177" s="22">
        <f ca="1">ts2bElec*SUMPRODUCT(tpSurvRad,INDEX(tEIdxElec,19)*INDEX(elecRad,stdCSL+1,5)*convFactor)</f>
        <v>20343.686179244811</v>
      </c>
      <c r="X177" s="22">
        <f ca="1">ts2bElec*SUMPRODUCT(tpSurvRad,INDEX(tEIdxElec,20)*INDEX(elecRad,stdCSL+1,5)*convFactor)</f>
        <v>20350.273425574742</v>
      </c>
      <c r="Y177" s="22">
        <f ca="1">ts2bElec*SUMPRODUCT(tpSurvRad,INDEX(tEIdxElec,21)*INDEX(elecRad,stdCSL+1,5)*convFactor)</f>
        <v>20355.731311355565</v>
      </c>
      <c r="Z177" s="22">
        <f ca="1">ts2bElec*SUMPRODUCT(tpSurvRad,INDEX(tEIdxElec,22)*INDEX(elecRad,stdCSL+1,5)*convFactor)</f>
        <v>20359.388866505207</v>
      </c>
      <c r="AA177" s="22">
        <f ca="1">ts2bElec*SUMPRODUCT(tpSurvRad,INDEX(tEIdxElec,23)*INDEX(elecRad,stdCSL+1,5)*convFactor)</f>
        <v>20361.799438819864</v>
      </c>
      <c r="AB177" s="22">
        <f ca="1">ts2bElec*SUMPRODUCT(tpSurvRad,INDEX(tEIdxElec,24)*INDEX(elecRad,stdCSL+1,5)*convFactor)</f>
        <v>20361.799438819864</v>
      </c>
      <c r="AC177" s="22">
        <f ca="1">ts2bElec*SUMPRODUCT(tpSurvRad,INDEX(tEIdxElec,25)*INDEX(elecRad,stdCSL+1,5)*convFactor)</f>
        <v>20361.799438819864</v>
      </c>
      <c r="AD177" s="22">
        <f ca="1">ts2bElec*SUMPRODUCT(tpSurvRad,INDEX(tEIdxElec,26)*INDEX(elecRad,stdCSL+1,5)*convFactor)</f>
        <v>20361.799438819864</v>
      </c>
      <c r="AE177" s="22">
        <f ca="1">ts2bElec*SUMPRODUCT(tpSurvRad,INDEX(tEIdxElec,27)*INDEX(elecRad,stdCSL+1,5)*convFactor)</f>
        <v>20361.799438819864</v>
      </c>
      <c r="AF177" s="22">
        <f ca="1">ts2bElec*SUMPRODUCT(tpSurvRad,INDEX(tEIdxElec,28)*INDEX(elecRad,stdCSL+1,5)*convFactor)</f>
        <v>20361.799438819864</v>
      </c>
      <c r="AG177" s="22">
        <f ca="1">ts2bElec*SUMPRODUCT(tpSurvRad,INDEX(tEIdxElec,29)*INDEX(elecRad,stdCSL+1,5)*convFactor)</f>
        <v>20361.799438819864</v>
      </c>
      <c r="AH177" s="22">
        <f ca="1">ts2bElec*SUMPRODUCT(tpSurvRad,INDEX(tEIdxElec,30)*INDEX(elecRad,stdCSL+1,5)*convFactor)</f>
        <v>20361.799438819864</v>
      </c>
      <c r="AI177" s="22">
        <f ca="1">ts2bElec*SUMPRODUCT(tpSurvRad,INDEX(tEIdxElec,31)*INDEX(elecRad,stdCSL+1,5)*convFactor)</f>
        <v>20361.799438819864</v>
      </c>
      <c r="AJ177" s="22">
        <f ca="1">ts2bElec*SUMPRODUCT(tpSurvRad,INDEX(tEIdxElec,32)*INDEX(elecRad,stdCSL+1,5)*convFactor)</f>
        <v>20361.799438819864</v>
      </c>
      <c r="AK177" s="25">
        <f ca="1">ts2bElec*SUMPRODUCT(tpSurvRad,INDEX(tEIdxElec,33)*INDEX(elecRad,stdCSL+1,5)*convFactor)</f>
        <v>20361.799438819864</v>
      </c>
      <c r="AL177" s="3"/>
    </row>
    <row r="178" spans="2:38">
      <c r="B178" s="3"/>
      <c r="C178" s="30" t="str">
        <f>"EL 5: " &amp; INDEX(_doName,6,6)</f>
        <v>EL 5: EL 5</v>
      </c>
      <c r="D178" s="31"/>
      <c r="E178" s="140"/>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2"/>
      <c r="AL178" s="3"/>
    </row>
    <row r="179" spans="2:38">
      <c r="B179" s="3"/>
      <c r="C179" s="23" t="s">
        <v>39</v>
      </c>
      <c r="D179" s="16" t="str">
        <f>_yearDol &amp; "$"</f>
        <v>2013$</v>
      </c>
      <c r="E179" s="141">
        <f t="array" aca="1" ref="E179:AK179" ca="1">(1+INDEX(vadRad,stdCSL+1,6))*INDEX(mspRad,stdCSL+1,6)*tPIdxAll + INDEX(instRad,stdCSL+1,6) + SUMPRODUCT(dFactor,tpSurvRad,INDEX(mrRad,stdCSL+1,6)*allOnes)</f>
        <v>1400.103376</v>
      </c>
      <c r="F179" s="28">
        <f ca="1"/>
        <v>1400.103376</v>
      </c>
      <c r="G179" s="28">
        <f ca="1"/>
        <v>1400.103376</v>
      </c>
      <c r="H179" s="28">
        <f ca="1"/>
        <v>1400.103376</v>
      </c>
      <c r="I179" s="28">
        <f ca="1"/>
        <v>1400.103376</v>
      </c>
      <c r="J179" s="28">
        <f ca="1"/>
        <v>1400.103376</v>
      </c>
      <c r="K179" s="28">
        <f ca="1"/>
        <v>1400.103376</v>
      </c>
      <c r="L179" s="28">
        <f ca="1"/>
        <v>1400.103376</v>
      </c>
      <c r="M179" s="28">
        <f ca="1"/>
        <v>1400.103376</v>
      </c>
      <c r="N179" s="28">
        <f ca="1"/>
        <v>1400.103376</v>
      </c>
      <c r="O179" s="28">
        <f ca="1"/>
        <v>1400.103376</v>
      </c>
      <c r="P179" s="28">
        <f ca="1"/>
        <v>1400.103376</v>
      </c>
      <c r="Q179" s="28">
        <f ca="1"/>
        <v>1400.103376</v>
      </c>
      <c r="R179" s="28">
        <f ca="1"/>
        <v>1400.103376</v>
      </c>
      <c r="S179" s="28">
        <f ca="1"/>
        <v>1400.103376</v>
      </c>
      <c r="T179" s="28">
        <f ca="1"/>
        <v>1400.103376</v>
      </c>
      <c r="U179" s="28">
        <f ca="1"/>
        <v>1400.103376</v>
      </c>
      <c r="V179" s="28">
        <f ca="1"/>
        <v>1400.103376</v>
      </c>
      <c r="W179" s="28">
        <f ca="1"/>
        <v>1400.103376</v>
      </c>
      <c r="X179" s="28">
        <f ca="1"/>
        <v>1400.103376</v>
      </c>
      <c r="Y179" s="28">
        <f ca="1"/>
        <v>1400.103376</v>
      </c>
      <c r="Z179" s="28">
        <f ca="1"/>
        <v>1400.103376</v>
      </c>
      <c r="AA179" s="28">
        <f ca="1"/>
        <v>1400.103376</v>
      </c>
      <c r="AB179" s="28">
        <f ca="1"/>
        <v>1400.103376</v>
      </c>
      <c r="AC179" s="28">
        <f ca="1"/>
        <v>1400.103376</v>
      </c>
      <c r="AD179" s="28">
        <f ca="1"/>
        <v>1400.103376</v>
      </c>
      <c r="AE179" s="28">
        <f ca="1"/>
        <v>1400.103376</v>
      </c>
      <c r="AF179" s="28">
        <f ca="1"/>
        <v>1400.103376</v>
      </c>
      <c r="AG179" s="28">
        <f ca="1"/>
        <v>1400.103376</v>
      </c>
      <c r="AH179" s="28">
        <f ca="1"/>
        <v>1400.103376</v>
      </c>
      <c r="AI179" s="28">
        <f ca="1"/>
        <v>1400.103376</v>
      </c>
      <c r="AJ179" s="28">
        <f ca="1"/>
        <v>1400.103376</v>
      </c>
      <c r="AK179" s="29">
        <f ca="1"/>
        <v>1400.103376</v>
      </c>
      <c r="AL179" s="3"/>
    </row>
    <row r="180" spans="2:38">
      <c r="B180" s="3"/>
      <c r="C180" s="23" t="s">
        <v>47</v>
      </c>
      <c r="D180" s="16" t="str">
        <f>_yearDol &amp; "$"</f>
        <v>2013$</v>
      </c>
      <c r="E180" s="141">
        <f t="array" aca="1" ref="E180:AK180" ca="1">(tlccEFupolElec5)</f>
        <v>48449.865965509736</v>
      </c>
      <c r="F180" s="28">
        <f ca="1"/>
        <v>48662.671384274028</v>
      </c>
      <c r="G180" s="28">
        <f ca="1"/>
        <v>48851.501904719677</v>
      </c>
      <c r="H180" s="28">
        <f ca="1"/>
        <v>49056.939386676699</v>
      </c>
      <c r="I180" s="28">
        <f ca="1"/>
        <v>49238.095153063725</v>
      </c>
      <c r="J180" s="28">
        <f ca="1"/>
        <v>49435.301795299238</v>
      </c>
      <c r="K180" s="28">
        <f ca="1"/>
        <v>49607.717282671787</v>
      </c>
      <c r="L180" s="28">
        <f ca="1"/>
        <v>49795.599465479449</v>
      </c>
      <c r="M180" s="28">
        <f ca="1"/>
        <v>50000.085960151009</v>
      </c>
      <c r="N180" s="28">
        <f ca="1"/>
        <v>50180.241550425555</v>
      </c>
      <c r="O180" s="28">
        <f ca="1"/>
        <v>50376.43132017777</v>
      </c>
      <c r="P180" s="28">
        <f ca="1"/>
        <v>50590.015999851705</v>
      </c>
      <c r="Q180" s="28">
        <f ca="1"/>
        <v>50779.834887923709</v>
      </c>
      <c r="R180" s="28">
        <f ca="1"/>
        <v>50986.523508986975</v>
      </c>
      <c r="S180" s="28">
        <f ca="1"/>
        <v>51169.080413558811</v>
      </c>
      <c r="T180" s="28">
        <f ca="1"/>
        <v>51367.951129101741</v>
      </c>
      <c r="U180" s="28">
        <f ca="1"/>
        <v>51584.474102491462</v>
      </c>
      <c r="V180" s="28">
        <f ca="1"/>
        <v>51777.514287035563</v>
      </c>
      <c r="W180" s="28">
        <f ca="1"/>
        <v>51987.742354236085</v>
      </c>
      <c r="X180" s="28">
        <f ca="1"/>
        <v>52174.117549016701</v>
      </c>
      <c r="Y180" s="28">
        <f ca="1"/>
        <v>52377.208316829347</v>
      </c>
      <c r="Z180" s="28">
        <f ca="1"/>
        <v>52598.387639196619</v>
      </c>
      <c r="AA180" s="28">
        <f ca="1"/>
        <v>52796.448669262812</v>
      </c>
      <c r="AB180" s="28">
        <f ca="1"/>
        <v>53012.169391972879</v>
      </c>
      <c r="AC180" s="28">
        <f ca="1"/>
        <v>53204.443153576256</v>
      </c>
      <c r="AD180" s="28">
        <f ca="1"/>
        <v>53413.912891101703</v>
      </c>
      <c r="AE180" s="28">
        <f ca="1"/>
        <v>53641.759794395184</v>
      </c>
      <c r="AF180" s="28">
        <f ca="1"/>
        <v>53847.098634148686</v>
      </c>
      <c r="AG180" s="28">
        <f ca="1"/>
        <v>54070.807157768999</v>
      </c>
      <c r="AH180" s="28">
        <f ca="1"/>
        <v>54271.703317982545</v>
      </c>
      <c r="AI180" s="28">
        <f ca="1"/>
        <v>54490.578590755445</v>
      </c>
      <c r="AJ180" s="28">
        <f ca="1"/>
        <v>54686.331735739965</v>
      </c>
      <c r="AK180" s="29">
        <f ca="1"/>
        <v>54899.722406776498</v>
      </c>
      <c r="AL180" s="3"/>
    </row>
    <row r="181" spans="2:38">
      <c r="B181" s="3"/>
      <c r="C181" s="27" t="str">
        <f>INDEX(_fuel,1)</f>
        <v>Electricity</v>
      </c>
      <c r="D181" s="16" t="str">
        <f>_yearDol &amp; "$"</f>
        <v>2013$</v>
      </c>
      <c r="E181" s="141">
        <f ca="1">SUMPRODUCT(dFactor,tpSurvRad,INDEX(tEIdxElec,1)*INDEX(elecRad,stdCSL+1,6)*allOnes,OFFSET(tPrcElec,0,0,1,_maxLT))</f>
        <v>48449.865965509736</v>
      </c>
      <c r="F181" s="28">
        <f ca="1">SUMPRODUCT(dFactor,tpSurvRad,INDEX(tEIdxElec,2)*INDEX(elecRad,stdCSL+1,6)*allOnes,OFFSET(tPrcElec,0,1,1,_maxLT))</f>
        <v>48662.671384274028</v>
      </c>
      <c r="G181" s="28">
        <f ca="1">SUMPRODUCT(dFactor,tpSurvRad,INDEX(tEIdxElec,3)*INDEX(elecRad,stdCSL+1,6)*allOnes,OFFSET(tPrcElec,0,2,1,_maxLT))</f>
        <v>48851.501904719677</v>
      </c>
      <c r="H181" s="28">
        <f ca="1">SUMPRODUCT(dFactor,tpSurvRad,INDEX(tEIdxElec,4)*INDEX(elecRad,stdCSL+1,6)*allOnes,OFFSET(tPrcElec,0,3,1,_maxLT))</f>
        <v>49056.939386676699</v>
      </c>
      <c r="I181" s="28">
        <f ca="1">SUMPRODUCT(dFactor,tpSurvRad,INDEX(tEIdxElec,5)*INDEX(elecRad,stdCSL+1,6)*allOnes,OFFSET(tPrcElec,0,4,1,_maxLT))</f>
        <v>49238.095153063725</v>
      </c>
      <c r="J181" s="28">
        <f ca="1">SUMPRODUCT(dFactor,tpSurvRad,INDEX(tEIdxElec,6)*INDEX(elecRad,stdCSL+1,6)*allOnes,OFFSET(tPrcElec,0,5,1,_maxLT))</f>
        <v>49435.301795299238</v>
      </c>
      <c r="K181" s="28">
        <f ca="1">SUMPRODUCT(dFactor,tpSurvRad,INDEX(tEIdxElec,7)*INDEX(elecRad,stdCSL+1,6)*allOnes,OFFSET(tPrcElec,0,6,1,_maxLT))</f>
        <v>49607.717282671787</v>
      </c>
      <c r="L181" s="28">
        <f ca="1">SUMPRODUCT(dFactor,tpSurvRad,INDEX(tEIdxElec,8)*INDEX(elecRad,stdCSL+1,6)*allOnes,OFFSET(tPrcElec,0,7,1,_maxLT))</f>
        <v>49795.599465479449</v>
      </c>
      <c r="M181" s="28">
        <f ca="1">SUMPRODUCT(dFactor,tpSurvRad,INDEX(tEIdxElec,9)*INDEX(elecRad,stdCSL+1,6)*allOnes,OFFSET(tPrcElec,0,8,1,_maxLT))</f>
        <v>50000.085960151009</v>
      </c>
      <c r="N181" s="28">
        <f ca="1">SUMPRODUCT(dFactor,tpSurvRad,INDEX(tEIdxElec,10)*INDEX(elecRad,stdCSL+1,6)*allOnes,OFFSET(tPrcElec,0,9,1,_maxLT))</f>
        <v>50180.241550425555</v>
      </c>
      <c r="O181" s="28">
        <f ca="1">SUMPRODUCT(dFactor,tpSurvRad,INDEX(tEIdxElec,11)*INDEX(elecRad,stdCSL+1,6)*allOnes,OFFSET(tPrcElec,0,10,1,_maxLT))</f>
        <v>50376.43132017777</v>
      </c>
      <c r="P181" s="28">
        <f ca="1">SUMPRODUCT(dFactor,tpSurvRad,INDEX(tEIdxElec,12)*INDEX(elecRad,stdCSL+1,6)*allOnes,OFFSET(tPrcElec,0,11,1,_maxLT))</f>
        <v>50590.015999851705</v>
      </c>
      <c r="Q181" s="28">
        <f ca="1">SUMPRODUCT(dFactor,tpSurvRad,INDEX(tEIdxElec,13)*INDEX(elecRad,stdCSL+1,6)*allOnes,OFFSET(tPrcElec,0,12,1,_maxLT))</f>
        <v>50779.834887923709</v>
      </c>
      <c r="R181" s="28">
        <f ca="1">SUMPRODUCT(dFactor,tpSurvRad,INDEX(tEIdxElec,14)*INDEX(elecRad,stdCSL+1,6)*allOnes,OFFSET(tPrcElec,0,13,1,_maxLT))</f>
        <v>50986.523508986975</v>
      </c>
      <c r="S181" s="28">
        <f ca="1">SUMPRODUCT(dFactor,tpSurvRad,INDEX(tEIdxElec,15)*INDEX(elecRad,stdCSL+1,6)*allOnes,OFFSET(tPrcElec,0,14,1,_maxLT))</f>
        <v>51169.080413558811</v>
      </c>
      <c r="T181" s="28">
        <f ca="1">SUMPRODUCT(dFactor,tpSurvRad,INDEX(tEIdxElec,16)*INDEX(elecRad,stdCSL+1,6)*allOnes,OFFSET(tPrcElec,0,15,1,_maxLT))</f>
        <v>51367.951129101741</v>
      </c>
      <c r="U181" s="28">
        <f ca="1">SUMPRODUCT(dFactor,tpSurvRad,INDEX(tEIdxElec,17)*INDEX(elecRad,stdCSL+1,6)*allOnes,OFFSET(tPrcElec,0,16,1,_maxLT))</f>
        <v>51584.474102491462</v>
      </c>
      <c r="V181" s="28">
        <f ca="1">SUMPRODUCT(dFactor,tpSurvRad,INDEX(tEIdxElec,18)*INDEX(elecRad,stdCSL+1,6)*allOnes,OFFSET(tPrcElec,0,17,1,_maxLT))</f>
        <v>51777.514287035563</v>
      </c>
      <c r="W181" s="28">
        <f ca="1">SUMPRODUCT(dFactor,tpSurvRad,INDEX(tEIdxElec,19)*INDEX(elecRad,stdCSL+1,6)*allOnes,OFFSET(tPrcElec,0,18,1,_maxLT))</f>
        <v>51987.742354236085</v>
      </c>
      <c r="X181" s="28">
        <f ca="1">SUMPRODUCT(dFactor,tpSurvRad,INDEX(tEIdxElec,20)*INDEX(elecRad,stdCSL+1,6)*allOnes,OFFSET(tPrcElec,0,19,1,_maxLT))</f>
        <v>52174.117549016701</v>
      </c>
      <c r="Y181" s="28">
        <f ca="1">SUMPRODUCT(dFactor,tpSurvRad,INDEX(tEIdxElec,21)*INDEX(elecRad,stdCSL+1,6)*allOnes,OFFSET(tPrcElec,0,20,1,_maxLT))</f>
        <v>52377.208316829347</v>
      </c>
      <c r="Z181" s="28">
        <f ca="1">SUMPRODUCT(dFactor,tpSurvRad,INDEX(tEIdxElec,22)*INDEX(elecRad,stdCSL+1,6)*allOnes,OFFSET(tPrcElec,0,21,1,_maxLT))</f>
        <v>52598.387639196619</v>
      </c>
      <c r="AA181" s="28">
        <f ca="1">SUMPRODUCT(dFactor,tpSurvRad,INDEX(tEIdxElec,23)*INDEX(elecRad,stdCSL+1,6)*allOnes,OFFSET(tPrcElec,0,22,1,_maxLT))</f>
        <v>52796.448669262812</v>
      </c>
      <c r="AB181" s="28">
        <f ca="1">SUMPRODUCT(dFactor,tpSurvRad,INDEX(tEIdxElec,24)*INDEX(elecRad,stdCSL+1,6)*allOnes,OFFSET(tPrcElec,0,23,1,_maxLT))</f>
        <v>53012.169391972879</v>
      </c>
      <c r="AC181" s="28">
        <f ca="1">SUMPRODUCT(dFactor,tpSurvRad,INDEX(tEIdxElec,25)*INDEX(elecRad,stdCSL+1,6)*allOnes,OFFSET(tPrcElec,0,24,1,_maxLT))</f>
        <v>53204.443153576256</v>
      </c>
      <c r="AD181" s="28">
        <f ca="1">SUMPRODUCT(dFactor,tpSurvRad,INDEX(tEIdxElec,26)*INDEX(elecRad,stdCSL+1,6)*allOnes,OFFSET(tPrcElec,0,25,1,_maxLT))</f>
        <v>53413.912891101703</v>
      </c>
      <c r="AE181" s="28">
        <f ca="1">SUMPRODUCT(dFactor,tpSurvRad,INDEX(tEIdxElec,27)*INDEX(elecRad,stdCSL+1,6)*allOnes,OFFSET(tPrcElec,0,26,1,_maxLT))</f>
        <v>53641.759794395184</v>
      </c>
      <c r="AF181" s="28">
        <f ca="1">SUMPRODUCT(dFactor,tpSurvRad,INDEX(tEIdxElec,28)*INDEX(elecRad,stdCSL+1,6)*allOnes,OFFSET(tPrcElec,0,27,1,_maxLT))</f>
        <v>53847.098634148686</v>
      </c>
      <c r="AG181" s="28">
        <f ca="1">SUMPRODUCT(dFactor,tpSurvRad,INDEX(tEIdxElec,29)*INDEX(elecRad,stdCSL+1,6)*allOnes,OFFSET(tPrcElec,0,28,1,_maxLT))</f>
        <v>54070.807157768999</v>
      </c>
      <c r="AH181" s="28">
        <f ca="1">SUMPRODUCT(dFactor,tpSurvRad,INDEX(tEIdxElec,30)*INDEX(elecRad,stdCSL+1,6)*allOnes,OFFSET(tPrcElec,0,29,1,_maxLT))</f>
        <v>54271.703317982545</v>
      </c>
      <c r="AI181" s="28">
        <f ca="1">SUMPRODUCT(dFactor,tpSurvRad,INDEX(tEIdxElec,31)*INDEX(elecRad,stdCSL+1,6)*allOnes,OFFSET(tPrcElec,0,30,1,_maxLT))</f>
        <v>54490.578590755445</v>
      </c>
      <c r="AJ181" s="28">
        <f ca="1">SUMPRODUCT(dFactor,tpSurvRad,INDEX(tEIdxElec,32)*INDEX(elecRad,stdCSL+1,6)*allOnes,OFFSET(tPrcElec,0,31,1,_maxLT))</f>
        <v>54686.331735739965</v>
      </c>
      <c r="AK181" s="29">
        <f ca="1">SUMPRODUCT(dFactor,tpSurvRad,INDEX(tEIdxElec,33)*INDEX(elecRad,stdCSL+1,6)*allOnes,OFFSET(tPrcElec,0,32,1,_maxLT))</f>
        <v>54899.722406776498</v>
      </c>
      <c r="AL181" s="3"/>
    </row>
    <row r="182" spans="2:38">
      <c r="B182" s="3"/>
      <c r="C182" s="23" t="s">
        <v>44</v>
      </c>
      <c r="D182" s="13"/>
      <c r="E182" s="142"/>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4"/>
      <c r="AL182" s="3"/>
    </row>
    <row r="183" spans="2:38">
      <c r="B183" s="3"/>
      <c r="C183" s="27" t="str">
        <f>INDEX(_fuel,1)</f>
        <v>Electricity</v>
      </c>
      <c r="D183" s="16" t="s">
        <v>48</v>
      </c>
      <c r="E183" s="144">
        <f ca="1">ts2bElec*SUMPRODUCT(tpSurvRad,INDEX(tEIdxElec,1)*INDEX(elecRad,stdCSL+1,6)*convFactor)</f>
        <v>11128.809241546547</v>
      </c>
      <c r="F183" s="22">
        <f ca="1">ts2bElec*SUMPRODUCT(tpSurvRad,INDEX(tEIdxElec,2)*INDEX(elecRad,stdCSL+1,6)*convFactor)</f>
        <v>11054.048505979306</v>
      </c>
      <c r="G183" s="22">
        <f ca="1">ts2bElec*SUMPRODUCT(tpSurvRad,INDEX(tEIdxElec,3)*INDEX(elecRad,stdCSL+1,6)*convFactor)</f>
        <v>10978.72885206317</v>
      </c>
      <c r="H183" s="22">
        <f ca="1">ts2bElec*SUMPRODUCT(tpSurvRad,INDEX(tEIdxElec,4)*INDEX(elecRad,stdCSL+1,6)*convFactor)</f>
        <v>10912.604265222521</v>
      </c>
      <c r="I183" s="22">
        <f ca="1">ts2bElec*SUMPRODUCT(tpSurvRad,INDEX(tEIdxElec,5)*INDEX(elecRad,stdCSL+1,6)*convFactor)</f>
        <v>10849.910892250851</v>
      </c>
      <c r="J183" s="22">
        <f ca="1">ts2bElec*SUMPRODUCT(tpSurvRad,INDEX(tEIdxElec,6)*INDEX(elecRad,stdCSL+1,6)*convFactor)</f>
        <v>10795.316582743146</v>
      </c>
      <c r="K183" s="22">
        <f ca="1">ts2bElec*SUMPRODUCT(tpSurvRad,INDEX(tEIdxElec,7)*INDEX(elecRad,stdCSL+1,6)*convFactor)</f>
        <v>10752.990202388906</v>
      </c>
      <c r="L183" s="22">
        <f ca="1">ts2bElec*SUMPRODUCT(tpSurvRad,INDEX(tEIdxElec,8)*INDEX(elecRad,stdCSL+1,6)*convFactor)</f>
        <v>10717.898730837604</v>
      </c>
      <c r="M183" s="22">
        <f ca="1">ts2bElec*SUMPRODUCT(tpSurvRad,INDEX(tEIdxElec,9)*INDEX(elecRad,stdCSL+1,6)*convFactor)</f>
        <v>10682.631024802888</v>
      </c>
      <c r="N183" s="22">
        <f ca="1">ts2bElec*SUMPRODUCT(tpSurvRad,INDEX(tEIdxElec,10)*INDEX(elecRad,stdCSL+1,6)*convFactor)</f>
        <v>10654.410225066584</v>
      </c>
      <c r="O183" s="22">
        <f ca="1">ts2bElec*SUMPRODUCT(tpSurvRad,INDEX(tEIdxElec,11)*INDEX(elecRad,stdCSL+1,6)*convFactor)</f>
        <v>10634.96680572056</v>
      </c>
      <c r="P183" s="22">
        <f ca="1">ts2bElec*SUMPRODUCT(tpSurvRad,INDEX(tEIdxElec,12)*INDEX(elecRad,stdCSL+1,6)*convFactor)</f>
        <v>10620.728989851357</v>
      </c>
      <c r="Q183" s="22">
        <f ca="1">ts2bElec*SUMPRODUCT(tpSurvRad,INDEX(tEIdxElec,13)*INDEX(elecRad,stdCSL+1,6)*convFactor)</f>
        <v>10608.742223643339</v>
      </c>
      <c r="R183" s="22">
        <f ca="1">ts2bElec*SUMPRODUCT(tpSurvRad,INDEX(tEIdxElec,14)*INDEX(elecRad,stdCSL+1,6)*convFactor)</f>
        <v>10599.899050910772</v>
      </c>
      <c r="S183" s="22">
        <f ca="1">ts2bElec*SUMPRODUCT(tpSurvRad,INDEX(tEIdxElec,15)*INDEX(elecRad,stdCSL+1,6)*convFactor)</f>
        <v>10593.157977152458</v>
      </c>
      <c r="T183" s="22">
        <f ca="1">ts2bElec*SUMPRODUCT(tpSurvRad,INDEX(tEIdxElec,16)*INDEX(elecRad,stdCSL+1,6)*convFactor)</f>
        <v>10592.310386504603</v>
      </c>
      <c r="U183" s="22">
        <f ca="1">ts2bElec*SUMPRODUCT(tpSurvRad,INDEX(tEIdxElec,17)*INDEX(elecRad,stdCSL+1,6)*convFactor)</f>
        <v>10594.03668117491</v>
      </c>
      <c r="V183" s="22">
        <f ca="1">ts2bElec*SUMPRODUCT(tpSurvRad,INDEX(tEIdxElec,18)*INDEX(elecRad,stdCSL+1,6)*convFactor)</f>
        <v>10596.576388550931</v>
      </c>
      <c r="W183" s="22">
        <f ca="1">ts2bElec*SUMPRODUCT(tpSurvRad,INDEX(tEIdxElec,19)*INDEX(elecRad,stdCSL+1,6)*convFactor)</f>
        <v>10600.208521970882</v>
      </c>
      <c r="X183" s="22">
        <f ca="1">ts2bElec*SUMPRODUCT(tpSurvRad,INDEX(tEIdxElec,20)*INDEX(elecRad,stdCSL+1,6)*convFactor)</f>
        <v>10603.640849036274</v>
      </c>
      <c r="Y183" s="22">
        <f ca="1">ts2bElec*SUMPRODUCT(tpSurvRad,INDEX(tEIdxElec,21)*INDEX(elecRad,stdCSL+1,6)*convFactor)</f>
        <v>10606.484715524191</v>
      </c>
      <c r="Z183" s="22">
        <f ca="1">ts2bElec*SUMPRODUCT(tpSurvRad,INDEX(tEIdxElec,22)*INDEX(elecRad,stdCSL+1,6)*convFactor)</f>
        <v>10608.390508158094</v>
      </c>
      <c r="AA183" s="22">
        <f ca="1">ts2bElec*SUMPRODUCT(tpSurvRad,INDEX(tEIdxElec,23)*INDEX(elecRad,stdCSL+1,6)*convFactor)</f>
        <v>10609.646552365984</v>
      </c>
      <c r="AB183" s="22">
        <f ca="1">ts2bElec*SUMPRODUCT(tpSurvRad,INDEX(tEIdxElec,24)*INDEX(elecRad,stdCSL+1,6)*convFactor)</f>
        <v>10609.646552365984</v>
      </c>
      <c r="AC183" s="22">
        <f ca="1">ts2bElec*SUMPRODUCT(tpSurvRad,INDEX(tEIdxElec,25)*INDEX(elecRad,stdCSL+1,6)*convFactor)</f>
        <v>10609.646552365984</v>
      </c>
      <c r="AD183" s="22">
        <f ca="1">ts2bElec*SUMPRODUCT(tpSurvRad,INDEX(tEIdxElec,26)*INDEX(elecRad,stdCSL+1,6)*convFactor)</f>
        <v>10609.646552365984</v>
      </c>
      <c r="AE183" s="22">
        <f ca="1">ts2bElec*SUMPRODUCT(tpSurvRad,INDEX(tEIdxElec,27)*INDEX(elecRad,stdCSL+1,6)*convFactor)</f>
        <v>10609.646552365984</v>
      </c>
      <c r="AF183" s="22">
        <f ca="1">ts2bElec*SUMPRODUCT(tpSurvRad,INDEX(tEIdxElec,28)*INDEX(elecRad,stdCSL+1,6)*convFactor)</f>
        <v>10609.646552365984</v>
      </c>
      <c r="AG183" s="22">
        <f ca="1">ts2bElec*SUMPRODUCT(tpSurvRad,INDEX(tEIdxElec,29)*INDEX(elecRad,stdCSL+1,6)*convFactor)</f>
        <v>10609.646552365984</v>
      </c>
      <c r="AH183" s="22">
        <f ca="1">ts2bElec*SUMPRODUCT(tpSurvRad,INDEX(tEIdxElec,30)*INDEX(elecRad,stdCSL+1,6)*convFactor)</f>
        <v>10609.646552365984</v>
      </c>
      <c r="AI183" s="22">
        <f ca="1">ts2bElec*SUMPRODUCT(tpSurvRad,INDEX(tEIdxElec,31)*INDEX(elecRad,stdCSL+1,6)*convFactor)</f>
        <v>10609.646552365984</v>
      </c>
      <c r="AJ183" s="22">
        <f ca="1">ts2bElec*SUMPRODUCT(tpSurvRad,INDEX(tEIdxElec,32)*INDEX(elecRad,stdCSL+1,6)*convFactor)</f>
        <v>10609.646552365984</v>
      </c>
      <c r="AK183" s="25">
        <f ca="1">ts2bElec*SUMPRODUCT(tpSurvRad,INDEX(tEIdxElec,33)*INDEX(elecRad,stdCSL+1,6)*convFactor)</f>
        <v>10609.646552365984</v>
      </c>
      <c r="AL183" s="3"/>
    </row>
    <row r="184" spans="2:38">
      <c r="B184" s="3"/>
      <c r="C184" s="30" t="str">
        <f>"EL 6: " &amp; INDEX(_doName,6,7)</f>
        <v>EL 6: EL 6</v>
      </c>
      <c r="D184" s="31"/>
      <c r="E184" s="140"/>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2"/>
      <c r="AL184" s="3"/>
    </row>
    <row r="185" spans="2:38">
      <c r="B185" s="3"/>
      <c r="C185" s="23" t="s">
        <v>39</v>
      </c>
      <c r="D185" s="16" t="str">
        <f>_yearDol &amp; "$"</f>
        <v>2013$</v>
      </c>
      <c r="E185" s="141">
        <f t="array" aca="1" ref="E185:AK185" ca="1">(1+INDEX(vadRad,stdCSL+1,7))*INDEX(mspRad,stdCSL+1,7)*tPIdxAll + INDEX(instRad,stdCSL+1,7) + SUMPRODUCT(dFactor,tpSurvRad,INDEX(mrRad,stdCSL+1,7)*allOnes)</f>
        <v>1148.1543220000001</v>
      </c>
      <c r="F185" s="28">
        <f ca="1"/>
        <v>1148.1543220000001</v>
      </c>
      <c r="G185" s="28">
        <f ca="1"/>
        <v>1148.1543220000001</v>
      </c>
      <c r="H185" s="28">
        <f ca="1"/>
        <v>1148.1543220000001</v>
      </c>
      <c r="I185" s="28">
        <f ca="1"/>
        <v>1148.1543220000001</v>
      </c>
      <c r="J185" s="28">
        <f ca="1"/>
        <v>1148.1543220000001</v>
      </c>
      <c r="K185" s="28">
        <f ca="1"/>
        <v>1148.1543220000001</v>
      </c>
      <c r="L185" s="28">
        <f ca="1"/>
        <v>1148.1543220000001</v>
      </c>
      <c r="M185" s="28">
        <f ca="1"/>
        <v>1148.1543220000001</v>
      </c>
      <c r="N185" s="28">
        <f ca="1"/>
        <v>1148.1543220000001</v>
      </c>
      <c r="O185" s="28">
        <f ca="1"/>
        <v>1148.1543220000001</v>
      </c>
      <c r="P185" s="28">
        <f ca="1"/>
        <v>1148.1543220000001</v>
      </c>
      <c r="Q185" s="28">
        <f ca="1"/>
        <v>1148.1543220000001</v>
      </c>
      <c r="R185" s="28">
        <f ca="1"/>
        <v>1148.1543220000001</v>
      </c>
      <c r="S185" s="28">
        <f ca="1"/>
        <v>1148.1543220000001</v>
      </c>
      <c r="T185" s="28">
        <f ca="1"/>
        <v>1148.1543220000001</v>
      </c>
      <c r="U185" s="28">
        <f ca="1"/>
        <v>1148.1543220000001</v>
      </c>
      <c r="V185" s="28">
        <f ca="1"/>
        <v>1148.1543220000001</v>
      </c>
      <c r="W185" s="28">
        <f ca="1"/>
        <v>1148.1543220000001</v>
      </c>
      <c r="X185" s="28">
        <f ca="1"/>
        <v>1148.1543220000001</v>
      </c>
      <c r="Y185" s="28">
        <f ca="1"/>
        <v>1148.1543220000001</v>
      </c>
      <c r="Z185" s="28">
        <f ca="1"/>
        <v>1148.1543220000001</v>
      </c>
      <c r="AA185" s="28">
        <f ca="1"/>
        <v>1148.1543220000001</v>
      </c>
      <c r="AB185" s="28">
        <f ca="1"/>
        <v>1148.1543220000001</v>
      </c>
      <c r="AC185" s="28">
        <f ca="1"/>
        <v>1148.1543220000001</v>
      </c>
      <c r="AD185" s="28">
        <f ca="1"/>
        <v>1148.1543220000001</v>
      </c>
      <c r="AE185" s="28">
        <f ca="1"/>
        <v>1148.1543220000001</v>
      </c>
      <c r="AF185" s="28">
        <f ca="1"/>
        <v>1148.1543220000001</v>
      </c>
      <c r="AG185" s="28">
        <f ca="1"/>
        <v>1148.1543220000001</v>
      </c>
      <c r="AH185" s="28">
        <f ca="1"/>
        <v>1148.1543220000001</v>
      </c>
      <c r="AI185" s="28">
        <f ca="1"/>
        <v>1148.1543220000001</v>
      </c>
      <c r="AJ185" s="28">
        <f ca="1"/>
        <v>1148.1543220000001</v>
      </c>
      <c r="AK185" s="29">
        <f ca="1"/>
        <v>1148.1543220000001</v>
      </c>
      <c r="AL185" s="3"/>
    </row>
    <row r="186" spans="2:38">
      <c r="B186" s="3"/>
      <c r="C186" s="23" t="s">
        <v>47</v>
      </c>
      <c r="D186" s="16" t="str">
        <f>_yearDol &amp; "$"</f>
        <v>2013$</v>
      </c>
      <c r="E186" s="141">
        <f t="array" aca="1" ref="E186:AK186" ca="1">(tlccEFupolElec6)</f>
        <v>24447.906869118353</v>
      </c>
      <c r="F186" s="28">
        <f ca="1"/>
        <v>24555.288942432995</v>
      </c>
      <c r="G186" s="28">
        <f ca="1"/>
        <v>24650.573230343904</v>
      </c>
      <c r="H186" s="28">
        <f ca="1"/>
        <v>24754.237426853488</v>
      </c>
      <c r="I186" s="28">
        <f ca="1"/>
        <v>24845.649017312517</v>
      </c>
      <c r="J186" s="28">
        <f ca="1"/>
        <v>24945.159914345284</v>
      </c>
      <c r="K186" s="28">
        <f ca="1"/>
        <v>25032.161141161454</v>
      </c>
      <c r="L186" s="28">
        <f ca="1"/>
        <v>25126.96689585473</v>
      </c>
      <c r="M186" s="28">
        <f ca="1"/>
        <v>25230.151222128847</v>
      </c>
      <c r="N186" s="28">
        <f ca="1"/>
        <v>25321.058121564205</v>
      </c>
      <c r="O186" s="28">
        <f ca="1"/>
        <v>25420.055902548589</v>
      </c>
      <c r="P186" s="28">
        <f ca="1"/>
        <v>25527.831192599053</v>
      </c>
      <c r="Q186" s="28">
        <f ca="1"/>
        <v>25623.61421294606</v>
      </c>
      <c r="R186" s="28">
        <f ca="1"/>
        <v>25727.909736947258</v>
      </c>
      <c r="S186" s="28">
        <f ca="1"/>
        <v>25820.028344756487</v>
      </c>
      <c r="T186" s="28">
        <f ca="1"/>
        <v>25920.378936769466</v>
      </c>
      <c r="U186" s="28">
        <f ca="1"/>
        <v>26029.636896166612</v>
      </c>
      <c r="V186" s="28">
        <f ca="1"/>
        <v>26127.045389661551</v>
      </c>
      <c r="W186" s="28">
        <f ca="1"/>
        <v>26233.126925817935</v>
      </c>
      <c r="X186" s="28">
        <f ca="1"/>
        <v>26327.172251102307</v>
      </c>
      <c r="Y186" s="28">
        <f ca="1"/>
        <v>26429.652290592934</v>
      </c>
      <c r="Z186" s="28">
        <f ca="1"/>
        <v>26541.259853727555</v>
      </c>
      <c r="AA186" s="28">
        <f ca="1"/>
        <v>26641.201876702551</v>
      </c>
      <c r="AB186" s="28">
        <f ca="1"/>
        <v>26750.055018676336</v>
      </c>
      <c r="AC186" s="28">
        <f ca="1"/>
        <v>26847.076773502264</v>
      </c>
      <c r="AD186" s="28">
        <f ca="1"/>
        <v>26952.775654868979</v>
      </c>
      <c r="AE186" s="28">
        <f ca="1"/>
        <v>27067.747693720452</v>
      </c>
      <c r="AF186" s="28">
        <f ca="1"/>
        <v>27171.362115161366</v>
      </c>
      <c r="AG186" s="28">
        <f ca="1"/>
        <v>27284.245918703593</v>
      </c>
      <c r="AH186" s="28">
        <f ca="1"/>
        <v>27385.618554466109</v>
      </c>
      <c r="AI186" s="28">
        <f ca="1"/>
        <v>27496.06348920575</v>
      </c>
      <c r="AJ186" s="28">
        <f ca="1"/>
        <v>27594.84094839056</v>
      </c>
      <c r="AK186" s="29">
        <f ca="1"/>
        <v>27702.518341264135</v>
      </c>
      <c r="AL186" s="3"/>
    </row>
    <row r="187" spans="2:38">
      <c r="B187" s="3"/>
      <c r="C187" s="27" t="str">
        <f>INDEX(_fuel,1)</f>
        <v>Electricity</v>
      </c>
      <c r="D187" s="16" t="str">
        <f>_yearDol &amp; "$"</f>
        <v>2013$</v>
      </c>
      <c r="E187" s="141">
        <f ca="1">SUMPRODUCT(dFactor,tpSurvRad,INDEX(tEIdxElec,1)*INDEX(elecRad,stdCSL+1,7)*allOnes,OFFSET(tPrcElec,0,0,1,_maxLT))</f>
        <v>24447.906869118353</v>
      </c>
      <c r="F187" s="28">
        <f ca="1">SUMPRODUCT(dFactor,tpSurvRad,INDEX(tEIdxElec,2)*INDEX(elecRad,stdCSL+1,7)*allOnes,OFFSET(tPrcElec,0,1,1,_maxLT))</f>
        <v>24555.288942432995</v>
      </c>
      <c r="G187" s="28">
        <f ca="1">SUMPRODUCT(dFactor,tpSurvRad,INDEX(tEIdxElec,3)*INDEX(elecRad,stdCSL+1,7)*allOnes,OFFSET(tPrcElec,0,2,1,_maxLT))</f>
        <v>24650.573230343904</v>
      </c>
      <c r="H187" s="28">
        <f ca="1">SUMPRODUCT(dFactor,tpSurvRad,INDEX(tEIdxElec,4)*INDEX(elecRad,stdCSL+1,7)*allOnes,OFFSET(tPrcElec,0,3,1,_maxLT))</f>
        <v>24754.237426853488</v>
      </c>
      <c r="I187" s="28">
        <f ca="1">SUMPRODUCT(dFactor,tpSurvRad,INDEX(tEIdxElec,5)*INDEX(elecRad,stdCSL+1,7)*allOnes,OFFSET(tPrcElec,0,4,1,_maxLT))</f>
        <v>24845.649017312517</v>
      </c>
      <c r="J187" s="28">
        <f ca="1">SUMPRODUCT(dFactor,tpSurvRad,INDEX(tEIdxElec,6)*INDEX(elecRad,stdCSL+1,7)*allOnes,OFFSET(tPrcElec,0,5,1,_maxLT))</f>
        <v>24945.159914345284</v>
      </c>
      <c r="K187" s="28">
        <f ca="1">SUMPRODUCT(dFactor,tpSurvRad,INDEX(tEIdxElec,7)*INDEX(elecRad,stdCSL+1,7)*allOnes,OFFSET(tPrcElec,0,6,1,_maxLT))</f>
        <v>25032.161141161454</v>
      </c>
      <c r="L187" s="28">
        <f ca="1">SUMPRODUCT(dFactor,tpSurvRad,INDEX(tEIdxElec,8)*INDEX(elecRad,stdCSL+1,7)*allOnes,OFFSET(tPrcElec,0,7,1,_maxLT))</f>
        <v>25126.96689585473</v>
      </c>
      <c r="M187" s="28">
        <f ca="1">SUMPRODUCT(dFactor,tpSurvRad,INDEX(tEIdxElec,9)*INDEX(elecRad,stdCSL+1,7)*allOnes,OFFSET(tPrcElec,0,8,1,_maxLT))</f>
        <v>25230.151222128847</v>
      </c>
      <c r="N187" s="28">
        <f ca="1">SUMPRODUCT(dFactor,tpSurvRad,INDEX(tEIdxElec,10)*INDEX(elecRad,stdCSL+1,7)*allOnes,OFFSET(tPrcElec,0,9,1,_maxLT))</f>
        <v>25321.058121564205</v>
      </c>
      <c r="O187" s="28">
        <f ca="1">SUMPRODUCT(dFactor,tpSurvRad,INDEX(tEIdxElec,11)*INDEX(elecRad,stdCSL+1,7)*allOnes,OFFSET(tPrcElec,0,10,1,_maxLT))</f>
        <v>25420.055902548589</v>
      </c>
      <c r="P187" s="28">
        <f ca="1">SUMPRODUCT(dFactor,tpSurvRad,INDEX(tEIdxElec,12)*INDEX(elecRad,stdCSL+1,7)*allOnes,OFFSET(tPrcElec,0,11,1,_maxLT))</f>
        <v>25527.831192599053</v>
      </c>
      <c r="Q187" s="28">
        <f ca="1">SUMPRODUCT(dFactor,tpSurvRad,INDEX(tEIdxElec,13)*INDEX(elecRad,stdCSL+1,7)*allOnes,OFFSET(tPrcElec,0,12,1,_maxLT))</f>
        <v>25623.61421294606</v>
      </c>
      <c r="R187" s="28">
        <f ca="1">SUMPRODUCT(dFactor,tpSurvRad,INDEX(tEIdxElec,14)*INDEX(elecRad,stdCSL+1,7)*allOnes,OFFSET(tPrcElec,0,13,1,_maxLT))</f>
        <v>25727.909736947258</v>
      </c>
      <c r="S187" s="28">
        <f ca="1">SUMPRODUCT(dFactor,tpSurvRad,INDEX(tEIdxElec,15)*INDEX(elecRad,stdCSL+1,7)*allOnes,OFFSET(tPrcElec,0,14,1,_maxLT))</f>
        <v>25820.028344756487</v>
      </c>
      <c r="T187" s="28">
        <f ca="1">SUMPRODUCT(dFactor,tpSurvRad,INDEX(tEIdxElec,16)*INDEX(elecRad,stdCSL+1,7)*allOnes,OFFSET(tPrcElec,0,15,1,_maxLT))</f>
        <v>25920.378936769466</v>
      </c>
      <c r="U187" s="28">
        <f ca="1">SUMPRODUCT(dFactor,tpSurvRad,INDEX(tEIdxElec,17)*INDEX(elecRad,stdCSL+1,7)*allOnes,OFFSET(tPrcElec,0,16,1,_maxLT))</f>
        <v>26029.636896166612</v>
      </c>
      <c r="V187" s="28">
        <f ca="1">SUMPRODUCT(dFactor,tpSurvRad,INDEX(tEIdxElec,18)*INDEX(elecRad,stdCSL+1,7)*allOnes,OFFSET(tPrcElec,0,17,1,_maxLT))</f>
        <v>26127.045389661551</v>
      </c>
      <c r="W187" s="28">
        <f ca="1">SUMPRODUCT(dFactor,tpSurvRad,INDEX(tEIdxElec,19)*INDEX(elecRad,stdCSL+1,7)*allOnes,OFFSET(tPrcElec,0,18,1,_maxLT))</f>
        <v>26233.126925817935</v>
      </c>
      <c r="X187" s="28">
        <f ca="1">SUMPRODUCT(dFactor,tpSurvRad,INDEX(tEIdxElec,20)*INDEX(elecRad,stdCSL+1,7)*allOnes,OFFSET(tPrcElec,0,19,1,_maxLT))</f>
        <v>26327.172251102307</v>
      </c>
      <c r="Y187" s="28">
        <f ca="1">SUMPRODUCT(dFactor,tpSurvRad,INDEX(tEIdxElec,21)*INDEX(elecRad,stdCSL+1,7)*allOnes,OFFSET(tPrcElec,0,20,1,_maxLT))</f>
        <v>26429.652290592934</v>
      </c>
      <c r="Z187" s="28">
        <f ca="1">SUMPRODUCT(dFactor,tpSurvRad,INDEX(tEIdxElec,22)*INDEX(elecRad,stdCSL+1,7)*allOnes,OFFSET(tPrcElec,0,21,1,_maxLT))</f>
        <v>26541.259853727555</v>
      </c>
      <c r="AA187" s="28">
        <f ca="1">SUMPRODUCT(dFactor,tpSurvRad,INDEX(tEIdxElec,23)*INDEX(elecRad,stdCSL+1,7)*allOnes,OFFSET(tPrcElec,0,22,1,_maxLT))</f>
        <v>26641.201876702551</v>
      </c>
      <c r="AB187" s="28">
        <f ca="1">SUMPRODUCT(dFactor,tpSurvRad,INDEX(tEIdxElec,24)*INDEX(elecRad,stdCSL+1,7)*allOnes,OFFSET(tPrcElec,0,23,1,_maxLT))</f>
        <v>26750.055018676336</v>
      </c>
      <c r="AC187" s="28">
        <f ca="1">SUMPRODUCT(dFactor,tpSurvRad,INDEX(tEIdxElec,25)*INDEX(elecRad,stdCSL+1,7)*allOnes,OFFSET(tPrcElec,0,24,1,_maxLT))</f>
        <v>26847.076773502264</v>
      </c>
      <c r="AD187" s="28">
        <f ca="1">SUMPRODUCT(dFactor,tpSurvRad,INDEX(tEIdxElec,26)*INDEX(elecRad,stdCSL+1,7)*allOnes,OFFSET(tPrcElec,0,25,1,_maxLT))</f>
        <v>26952.775654868979</v>
      </c>
      <c r="AE187" s="28">
        <f ca="1">SUMPRODUCT(dFactor,tpSurvRad,INDEX(tEIdxElec,27)*INDEX(elecRad,stdCSL+1,7)*allOnes,OFFSET(tPrcElec,0,26,1,_maxLT))</f>
        <v>27067.747693720452</v>
      </c>
      <c r="AF187" s="28">
        <f ca="1">SUMPRODUCT(dFactor,tpSurvRad,INDEX(tEIdxElec,28)*INDEX(elecRad,stdCSL+1,7)*allOnes,OFFSET(tPrcElec,0,27,1,_maxLT))</f>
        <v>27171.362115161366</v>
      </c>
      <c r="AG187" s="28">
        <f ca="1">SUMPRODUCT(dFactor,tpSurvRad,INDEX(tEIdxElec,29)*INDEX(elecRad,stdCSL+1,7)*allOnes,OFFSET(tPrcElec,0,28,1,_maxLT))</f>
        <v>27284.245918703593</v>
      </c>
      <c r="AH187" s="28">
        <f ca="1">SUMPRODUCT(dFactor,tpSurvRad,INDEX(tEIdxElec,30)*INDEX(elecRad,stdCSL+1,7)*allOnes,OFFSET(tPrcElec,0,29,1,_maxLT))</f>
        <v>27385.618554466109</v>
      </c>
      <c r="AI187" s="28">
        <f ca="1">SUMPRODUCT(dFactor,tpSurvRad,INDEX(tEIdxElec,31)*INDEX(elecRad,stdCSL+1,7)*allOnes,OFFSET(tPrcElec,0,30,1,_maxLT))</f>
        <v>27496.06348920575</v>
      </c>
      <c r="AJ187" s="28">
        <f ca="1">SUMPRODUCT(dFactor,tpSurvRad,INDEX(tEIdxElec,32)*INDEX(elecRad,stdCSL+1,7)*allOnes,OFFSET(tPrcElec,0,31,1,_maxLT))</f>
        <v>27594.84094839056</v>
      </c>
      <c r="AK187" s="29">
        <f ca="1">SUMPRODUCT(dFactor,tpSurvRad,INDEX(tEIdxElec,33)*INDEX(elecRad,stdCSL+1,7)*allOnes,OFFSET(tPrcElec,0,32,1,_maxLT))</f>
        <v>27702.518341264135</v>
      </c>
      <c r="AL187" s="3"/>
    </row>
    <row r="188" spans="2:38">
      <c r="B188" s="3"/>
      <c r="C188" s="23" t="s">
        <v>44</v>
      </c>
      <c r="D188" s="13"/>
      <c r="E188" s="142"/>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4"/>
      <c r="AL188" s="3"/>
    </row>
    <row r="189" spans="2:38">
      <c r="B189" s="3"/>
      <c r="C189" s="34" t="str">
        <f>INDEX(_fuel,1)</f>
        <v>Electricity</v>
      </c>
      <c r="D189" s="5" t="s">
        <v>48</v>
      </c>
      <c r="E189" s="143">
        <f ca="1">ts2bElec*SUMPRODUCT(tpSurvRad,INDEX(tEIdxElec,1)*INDEX(elecRad,stdCSL+1,7)*convFactor)</f>
        <v>5615.6211473360554</v>
      </c>
      <c r="F189" s="24">
        <f ca="1">ts2bElec*SUMPRODUCT(tpSurvRad,INDEX(tEIdxElec,2)*INDEX(elecRad,stdCSL+1,7)*convFactor)</f>
        <v>5577.8967189152254</v>
      </c>
      <c r="G189" s="24">
        <f ca="1">ts2bElec*SUMPRODUCT(tpSurvRad,INDEX(tEIdxElec,3)*INDEX(elecRad,stdCSL+1,7)*convFactor)</f>
        <v>5539.8902590899952</v>
      </c>
      <c r="H189" s="24">
        <f ca="1">ts2bElec*SUMPRODUCT(tpSurvRad,INDEX(tEIdxElec,4)*INDEX(elecRad,stdCSL+1,7)*convFactor)</f>
        <v>5506.5236499441626</v>
      </c>
      <c r="I189" s="24">
        <f ca="1">ts2bElec*SUMPRODUCT(tpSurvRad,INDEX(tEIdxElec,5)*INDEX(elecRad,stdCSL+1,7)*convFactor)</f>
        <v>5474.888438717503</v>
      </c>
      <c r="J189" s="24">
        <f ca="1">ts2bElec*SUMPRODUCT(tpSurvRad,INDEX(tEIdxElec,6)*INDEX(elecRad,stdCSL+1,7)*convFactor)</f>
        <v>5447.3400323838623</v>
      </c>
      <c r="K189" s="24">
        <f ca="1">ts2bElec*SUMPRODUCT(tpSurvRad,INDEX(tEIdxElec,7)*INDEX(elecRad,stdCSL+1,7)*convFactor)</f>
        <v>5425.9820495621161</v>
      </c>
      <c r="L189" s="24">
        <f ca="1">ts2bElec*SUMPRODUCT(tpSurvRad,INDEX(tEIdxElec,8)*INDEX(elecRad,stdCSL+1,7)*convFactor)</f>
        <v>5408.2748173275149</v>
      </c>
      <c r="M189" s="24">
        <f ca="1">ts2bElec*SUMPRODUCT(tpSurvRad,INDEX(tEIdxElec,9)*INDEX(elecRad,stdCSL+1,7)*convFactor)</f>
        <v>5390.4786567924593</v>
      </c>
      <c r="N189" s="24">
        <f ca="1">ts2bElec*SUMPRODUCT(tpSurvRad,INDEX(tEIdxElec,10)*INDEX(elecRad,stdCSL+1,7)*convFactor)</f>
        <v>5376.2383803752573</v>
      </c>
      <c r="O189" s="24">
        <f ca="1">ts2bElec*SUMPRODUCT(tpSurvRad,INDEX(tEIdxElec,11)*INDEX(elecRad,stdCSL+1,7)*convFactor)</f>
        <v>5366.4271890351783</v>
      </c>
      <c r="P189" s="24">
        <f ca="1">ts2bElec*SUMPRODUCT(tpSurvRad,INDEX(tEIdxElec,12)*INDEX(elecRad,stdCSL+1,7)*convFactor)</f>
        <v>5359.2427564376203</v>
      </c>
      <c r="Q189" s="24">
        <f ca="1">ts2bElec*SUMPRODUCT(tpSurvRad,INDEX(tEIdxElec,13)*INDEX(elecRad,stdCSL+1,7)*convFactor)</f>
        <v>5353.19420835445</v>
      </c>
      <c r="R189" s="24">
        <f ca="1">ts2bElec*SUMPRODUCT(tpSurvRad,INDEX(tEIdxElec,14)*INDEX(elecRad,stdCSL+1,7)*convFactor)</f>
        <v>5348.7319243195006</v>
      </c>
      <c r="S189" s="24">
        <f ca="1">ts2bElec*SUMPRODUCT(tpSurvRad,INDEX(tEIdxElec,15)*INDEX(elecRad,stdCSL+1,7)*convFactor)</f>
        <v>5345.3303639610376</v>
      </c>
      <c r="T189" s="24">
        <f ca="1">ts2bElec*SUMPRODUCT(tpSurvRad,INDEX(tEIdxElec,16)*INDEX(elecRad,stdCSL+1,7)*convFactor)</f>
        <v>5344.9026678919372</v>
      </c>
      <c r="U189" s="24">
        <f ca="1">ts2bElec*SUMPRODUCT(tpSurvRad,INDEX(tEIdxElec,17)*INDEX(elecRad,stdCSL+1,7)*convFactor)</f>
        <v>5345.7737599060683</v>
      </c>
      <c r="V189" s="24">
        <f ca="1">ts2bElec*SUMPRODUCT(tpSurvRad,INDEX(tEIdxElec,18)*INDEX(elecRad,stdCSL+1,7)*convFactor)</f>
        <v>5347.0553017259781</v>
      </c>
      <c r="W189" s="24">
        <f ca="1">ts2bElec*SUMPRODUCT(tpSurvRad,INDEX(tEIdxElec,19)*INDEX(elecRad,stdCSL+1,7)*convFactor)</f>
        <v>5348.8880840839383</v>
      </c>
      <c r="X189" s="24">
        <f ca="1">ts2bElec*SUMPRODUCT(tpSurvRad,INDEX(tEIdxElec,20)*INDEX(elecRad,stdCSL+1,7)*convFactor)</f>
        <v>5350.6200437244215</v>
      </c>
      <c r="Y189" s="24">
        <f ca="1">ts2bElec*SUMPRODUCT(tpSurvRad,INDEX(tEIdxElec,21)*INDEX(elecRad,stdCSL+1,7)*convFactor)</f>
        <v>5352.0550648882427</v>
      </c>
      <c r="Z189" s="24">
        <f ca="1">ts2bElec*SUMPRODUCT(tpSurvRad,INDEX(tEIdxElec,22)*INDEX(elecRad,stdCSL+1,7)*convFactor)</f>
        <v>5353.0167319619695</v>
      </c>
      <c r="AA189" s="24">
        <f ca="1">ts2bElec*SUMPRODUCT(tpSurvRad,INDEX(tEIdxElec,23)*INDEX(elecRad,stdCSL+1,7)*convFactor)</f>
        <v>5353.6505345784708</v>
      </c>
      <c r="AB189" s="24">
        <f ca="1">ts2bElec*SUMPRODUCT(tpSurvRad,INDEX(tEIdxElec,24)*INDEX(elecRad,stdCSL+1,7)*convFactor)</f>
        <v>5353.6505345784708</v>
      </c>
      <c r="AC189" s="24">
        <f ca="1">ts2bElec*SUMPRODUCT(tpSurvRad,INDEX(tEIdxElec,25)*INDEX(elecRad,stdCSL+1,7)*convFactor)</f>
        <v>5353.6505345784708</v>
      </c>
      <c r="AD189" s="24">
        <f ca="1">ts2bElec*SUMPRODUCT(tpSurvRad,INDEX(tEIdxElec,26)*INDEX(elecRad,stdCSL+1,7)*convFactor)</f>
        <v>5353.6505345784708</v>
      </c>
      <c r="AE189" s="24">
        <f ca="1">ts2bElec*SUMPRODUCT(tpSurvRad,INDEX(tEIdxElec,27)*INDEX(elecRad,stdCSL+1,7)*convFactor)</f>
        <v>5353.6505345784708</v>
      </c>
      <c r="AF189" s="24">
        <f ca="1">ts2bElec*SUMPRODUCT(tpSurvRad,INDEX(tEIdxElec,28)*INDEX(elecRad,stdCSL+1,7)*convFactor)</f>
        <v>5353.6505345784708</v>
      </c>
      <c r="AG189" s="24">
        <f ca="1">ts2bElec*SUMPRODUCT(tpSurvRad,INDEX(tEIdxElec,29)*INDEX(elecRad,stdCSL+1,7)*convFactor)</f>
        <v>5353.6505345784708</v>
      </c>
      <c r="AH189" s="24">
        <f ca="1">ts2bElec*SUMPRODUCT(tpSurvRad,INDEX(tEIdxElec,30)*INDEX(elecRad,stdCSL+1,7)*convFactor)</f>
        <v>5353.6505345784708</v>
      </c>
      <c r="AI189" s="24">
        <f ca="1">ts2bElec*SUMPRODUCT(tpSurvRad,INDEX(tEIdxElec,31)*INDEX(elecRad,stdCSL+1,7)*convFactor)</f>
        <v>5353.6505345784708</v>
      </c>
      <c r="AJ189" s="24">
        <f ca="1">ts2bElec*SUMPRODUCT(tpSurvRad,INDEX(tEIdxElec,32)*INDEX(elecRad,stdCSL+1,7)*convFactor)</f>
        <v>5353.6505345784708</v>
      </c>
      <c r="AK189" s="26">
        <f ca="1">ts2bElec*SUMPRODUCT(tpSurvRad,INDEX(tEIdxElec,33)*INDEX(elecRad,stdCSL+1,7)*convFactor)</f>
        <v>5353.6505345784708</v>
      </c>
      <c r="AL189" s="3"/>
    </row>
    <row r="190" spans="2:38">
      <c r="B190" s="3"/>
      <c r="C190" s="3"/>
      <c r="D190" s="3"/>
      <c r="E190" s="118"/>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sheetData>
  <conditionalFormatting sqref="E106:AK106">
    <cfRule type="containsBlanks" dxfId="1579" priority="1" stopIfTrue="1">
      <formula>LEN(TRIM(E106))=0</formula>
    </cfRule>
    <cfRule type="notContainsBlanks" dxfId="1578" priority="2" stopIfTrue="1">
      <formula>LEN(TRIM(E106))&gt;0</formula>
    </cfRule>
  </conditionalFormatting>
  <conditionalFormatting sqref="E107:AK107">
    <cfRule type="containsBlanks" dxfId="1577" priority="3" stopIfTrue="1">
      <formula>LEN(TRIM(E107))=0</formula>
    </cfRule>
    <cfRule type="notContainsBlanks" dxfId="1576" priority="4" stopIfTrue="1">
      <formula>LEN(TRIM(E107))&gt;0</formula>
    </cfRule>
  </conditionalFormatting>
  <conditionalFormatting sqref="E108:AK108">
    <cfRule type="containsBlanks" dxfId="1575" priority="5" stopIfTrue="1">
      <formula>LEN(TRIM(E108))=0</formula>
    </cfRule>
    <cfRule type="notContainsBlanks" dxfId="1574" priority="6" stopIfTrue="1">
      <formula>LEN(TRIM(E108))&gt;0</formula>
    </cfRule>
  </conditionalFormatting>
  <conditionalFormatting sqref="E110:AK110">
    <cfRule type="containsBlanks" dxfId="1573" priority="7" stopIfTrue="1">
      <formula>LEN(TRIM(E110))=0</formula>
    </cfRule>
    <cfRule type="notContainsBlanks" dxfId="1572" priority="8" stopIfTrue="1">
      <formula>LEN(TRIM(E110))&gt;0</formula>
    </cfRule>
  </conditionalFormatting>
  <conditionalFormatting sqref="E112:AK112">
    <cfRule type="containsBlanks" dxfId="1571" priority="9" stopIfTrue="1">
      <formula>LEN(TRIM(E112))=0</formula>
    </cfRule>
    <cfRule type="notContainsBlanks" dxfId="1570" priority="10" stopIfTrue="1">
      <formula>LEN(TRIM(E112))&gt;0</formula>
    </cfRule>
  </conditionalFormatting>
  <conditionalFormatting sqref="E113:AK113">
    <cfRule type="containsBlanks" dxfId="1569" priority="11" stopIfTrue="1">
      <formula>LEN(TRIM(E113))=0</formula>
    </cfRule>
    <cfRule type="notContainsBlanks" dxfId="1568" priority="12" stopIfTrue="1">
      <formula>LEN(TRIM(E113))&gt;0</formula>
    </cfRule>
  </conditionalFormatting>
  <conditionalFormatting sqref="E114:AK114">
    <cfRule type="containsBlanks" dxfId="1567" priority="13" stopIfTrue="1">
      <formula>LEN(TRIM(E114))=0</formula>
    </cfRule>
    <cfRule type="notContainsBlanks" dxfId="1566" priority="14" stopIfTrue="1">
      <formula>LEN(TRIM(E114))&gt;0</formula>
    </cfRule>
  </conditionalFormatting>
  <conditionalFormatting sqref="E116:AK116">
    <cfRule type="containsBlanks" dxfId="1565" priority="15" stopIfTrue="1">
      <formula>LEN(TRIM(E116))=0</formula>
    </cfRule>
    <cfRule type="notContainsBlanks" dxfId="1564" priority="16" stopIfTrue="1">
      <formula>LEN(TRIM(E116))&gt;0</formula>
    </cfRule>
  </conditionalFormatting>
  <conditionalFormatting sqref="E118:AK118">
    <cfRule type="containsBlanks" dxfId="1563" priority="17" stopIfTrue="1">
      <formula>LEN(TRIM(E118))=0</formula>
    </cfRule>
    <cfRule type="notContainsBlanks" dxfId="1562" priority="18" stopIfTrue="1">
      <formula>LEN(TRIM(E118))&gt;0</formula>
    </cfRule>
  </conditionalFormatting>
  <conditionalFormatting sqref="E119:AK119">
    <cfRule type="containsBlanks" dxfId="1561" priority="19" stopIfTrue="1">
      <formula>LEN(TRIM(E119))=0</formula>
    </cfRule>
    <cfRule type="notContainsBlanks" dxfId="1560" priority="20" stopIfTrue="1">
      <formula>LEN(TRIM(E119))&gt;0</formula>
    </cfRule>
  </conditionalFormatting>
  <conditionalFormatting sqref="E120:AK120">
    <cfRule type="containsBlanks" dxfId="1559" priority="21" stopIfTrue="1">
      <formula>LEN(TRIM(E120))=0</formula>
    </cfRule>
    <cfRule type="notContainsBlanks" dxfId="1558" priority="22" stopIfTrue="1">
      <formula>LEN(TRIM(E120))&gt;0</formula>
    </cfRule>
  </conditionalFormatting>
  <conditionalFormatting sqref="E122:AK122">
    <cfRule type="containsBlanks" dxfId="1557" priority="23" stopIfTrue="1">
      <formula>LEN(TRIM(E122))=0</formula>
    </cfRule>
    <cfRule type="notContainsBlanks" dxfId="1556" priority="24" stopIfTrue="1">
      <formula>LEN(TRIM(E122))&gt;0</formula>
    </cfRule>
  </conditionalFormatting>
  <conditionalFormatting sqref="E124:AK124">
    <cfRule type="containsBlanks" dxfId="1555" priority="25" stopIfTrue="1">
      <formula>LEN(TRIM(E124))=0</formula>
    </cfRule>
    <cfRule type="notContainsBlanks" dxfId="1554" priority="26" stopIfTrue="1">
      <formula>LEN(TRIM(E124))&gt;0</formula>
    </cfRule>
  </conditionalFormatting>
  <conditionalFormatting sqref="E125:AK125">
    <cfRule type="containsBlanks" dxfId="1553" priority="27" stopIfTrue="1">
      <formula>LEN(TRIM(E125))=0</formula>
    </cfRule>
    <cfRule type="notContainsBlanks" dxfId="1552" priority="28" stopIfTrue="1">
      <formula>LEN(TRIM(E125))&gt;0</formula>
    </cfRule>
  </conditionalFormatting>
  <conditionalFormatting sqref="E126:AK126">
    <cfRule type="containsBlanks" dxfId="1551" priority="29" stopIfTrue="1">
      <formula>LEN(TRIM(E126))=0</formula>
    </cfRule>
    <cfRule type="notContainsBlanks" dxfId="1550" priority="30" stopIfTrue="1">
      <formula>LEN(TRIM(E126))&gt;0</formula>
    </cfRule>
  </conditionalFormatting>
  <conditionalFormatting sqref="E128:AK128">
    <cfRule type="containsBlanks" dxfId="1549" priority="31" stopIfTrue="1">
      <formula>LEN(TRIM(E128))=0</formula>
    </cfRule>
    <cfRule type="notContainsBlanks" dxfId="1548" priority="32" stopIfTrue="1">
      <formula>LEN(TRIM(E128))&gt;0</formula>
    </cfRule>
  </conditionalFormatting>
  <conditionalFormatting sqref="E130:AK130">
    <cfRule type="containsBlanks" dxfId="1547" priority="33" stopIfTrue="1">
      <formula>LEN(TRIM(E130))=0</formula>
    </cfRule>
    <cfRule type="notContainsBlanks" dxfId="1546" priority="34" stopIfTrue="1">
      <formula>LEN(TRIM(E130))&gt;0</formula>
    </cfRule>
  </conditionalFormatting>
  <conditionalFormatting sqref="E131:AK131">
    <cfRule type="containsBlanks" dxfId="1545" priority="35" stopIfTrue="1">
      <formula>LEN(TRIM(E131))=0</formula>
    </cfRule>
    <cfRule type="notContainsBlanks" dxfId="1544" priority="36" stopIfTrue="1">
      <formula>LEN(TRIM(E131))&gt;0</formula>
    </cfRule>
  </conditionalFormatting>
  <conditionalFormatting sqref="E132:AK132">
    <cfRule type="containsBlanks" dxfId="1543" priority="37" stopIfTrue="1">
      <formula>LEN(TRIM(E132))=0</formula>
    </cfRule>
    <cfRule type="notContainsBlanks" dxfId="1542" priority="38" stopIfTrue="1">
      <formula>LEN(TRIM(E132))&gt;0</formula>
    </cfRule>
  </conditionalFormatting>
  <conditionalFormatting sqref="E134:AK134">
    <cfRule type="containsBlanks" dxfId="1541" priority="39" stopIfTrue="1">
      <formula>LEN(TRIM(E134))=0</formula>
    </cfRule>
    <cfRule type="notContainsBlanks" dxfId="1540" priority="40" stopIfTrue="1">
      <formula>LEN(TRIM(E134))&gt;0</formula>
    </cfRule>
  </conditionalFormatting>
  <conditionalFormatting sqref="E136:AK136">
    <cfRule type="containsBlanks" dxfId="1539" priority="41" stopIfTrue="1">
      <formula>LEN(TRIM(E136))=0</formula>
    </cfRule>
  </conditionalFormatting>
  <conditionalFormatting sqref="E136:AK136">
    <cfRule type="notContainsBlanks" dxfId="1538" priority="42" stopIfTrue="1">
      <formula>LEN(TRIM(E136))&gt;0</formula>
    </cfRule>
  </conditionalFormatting>
  <conditionalFormatting sqref="E137:AK137">
    <cfRule type="containsBlanks" dxfId="1537" priority="43" stopIfTrue="1">
      <formula>LEN(TRIM(E137))=0</formula>
    </cfRule>
  </conditionalFormatting>
  <conditionalFormatting sqref="E137:AK137">
    <cfRule type="notContainsBlanks" dxfId="1536" priority="44" stopIfTrue="1">
      <formula>LEN(TRIM(E137))&gt;0</formula>
    </cfRule>
  </conditionalFormatting>
  <conditionalFormatting sqref="E138:AK138">
    <cfRule type="containsBlanks" dxfId="1535" priority="45" stopIfTrue="1">
      <formula>LEN(TRIM(E138))=0</formula>
    </cfRule>
  </conditionalFormatting>
  <conditionalFormatting sqref="E138:AK138">
    <cfRule type="notContainsBlanks" dxfId="1534" priority="46" stopIfTrue="1">
      <formula>LEN(TRIM(E138))&gt;0</formula>
    </cfRule>
  </conditionalFormatting>
  <conditionalFormatting sqref="E140:AK140">
    <cfRule type="containsBlanks" dxfId="1533" priority="47" stopIfTrue="1">
      <formula>LEN(TRIM(E140))=0</formula>
    </cfRule>
  </conditionalFormatting>
  <conditionalFormatting sqref="E140:AK140">
    <cfRule type="notContainsBlanks" dxfId="1532" priority="48" stopIfTrue="1">
      <formula>LEN(TRIM(E140))&gt;0</formula>
    </cfRule>
  </conditionalFormatting>
  <conditionalFormatting sqref="E142:AK142">
    <cfRule type="containsBlanks" dxfId="1531" priority="49" stopIfTrue="1">
      <formula>LEN(TRIM(E142))=0</formula>
    </cfRule>
  </conditionalFormatting>
  <conditionalFormatting sqref="E142:AK142">
    <cfRule type="notContainsBlanks" dxfId="1530" priority="50" stopIfTrue="1">
      <formula>LEN(TRIM(E142))&gt;0</formula>
    </cfRule>
  </conditionalFormatting>
  <conditionalFormatting sqref="E143:AK143">
    <cfRule type="containsBlanks" dxfId="1529" priority="51" stopIfTrue="1">
      <formula>LEN(TRIM(E143))=0</formula>
    </cfRule>
  </conditionalFormatting>
  <conditionalFormatting sqref="E143:AK143">
    <cfRule type="notContainsBlanks" dxfId="1528" priority="52" stopIfTrue="1">
      <formula>LEN(TRIM(E143))&gt;0</formula>
    </cfRule>
  </conditionalFormatting>
  <conditionalFormatting sqref="E144:AK144">
    <cfRule type="containsBlanks" dxfId="1527" priority="53" stopIfTrue="1">
      <formula>LEN(TRIM(E144))=0</formula>
    </cfRule>
  </conditionalFormatting>
  <conditionalFormatting sqref="E144:AK144">
    <cfRule type="notContainsBlanks" dxfId="1526" priority="54" stopIfTrue="1">
      <formula>LEN(TRIM(E144))&gt;0</formula>
    </cfRule>
  </conditionalFormatting>
  <conditionalFormatting sqref="E146:AK146">
    <cfRule type="containsBlanks" dxfId="1525" priority="55" stopIfTrue="1">
      <formula>LEN(TRIM(E146))=0</formula>
    </cfRule>
  </conditionalFormatting>
  <conditionalFormatting sqref="E146:AK146">
    <cfRule type="notContainsBlanks" dxfId="1524" priority="56" stopIfTrue="1">
      <formula>LEN(TRIM(E146))&gt;0</formula>
    </cfRule>
  </conditionalFormatting>
  <conditionalFormatting sqref="E149:AK149">
    <cfRule type="containsBlanks" dxfId="1523" priority="57" stopIfTrue="1">
      <formula>LEN(TRIM(E149))=0</formula>
    </cfRule>
  </conditionalFormatting>
  <conditionalFormatting sqref="E149:AK149">
    <cfRule type="notContainsBlanks" dxfId="1522" priority="58" stopIfTrue="1">
      <formula>LEN(TRIM(E149))&gt;0</formula>
    </cfRule>
  </conditionalFormatting>
  <conditionalFormatting sqref="E150:AK150">
    <cfRule type="containsBlanks" dxfId="1521" priority="59" stopIfTrue="1">
      <formula>LEN(TRIM(E150))=0</formula>
    </cfRule>
  </conditionalFormatting>
  <conditionalFormatting sqref="E150:AK150">
    <cfRule type="notContainsBlanks" dxfId="1520" priority="60" stopIfTrue="1">
      <formula>LEN(TRIM(E150))&gt;0</formula>
    </cfRule>
  </conditionalFormatting>
  <conditionalFormatting sqref="E151:AK151">
    <cfRule type="containsBlanks" dxfId="1519" priority="61" stopIfTrue="1">
      <formula>LEN(TRIM(E151))=0</formula>
    </cfRule>
  </conditionalFormatting>
  <conditionalFormatting sqref="E151:AK151">
    <cfRule type="notContainsBlanks" dxfId="1518" priority="62" stopIfTrue="1">
      <formula>LEN(TRIM(E151))&gt;0</formula>
    </cfRule>
  </conditionalFormatting>
  <conditionalFormatting sqref="E153:AK153">
    <cfRule type="containsBlanks" dxfId="1517" priority="63" stopIfTrue="1">
      <formula>LEN(TRIM(E153))=0</formula>
    </cfRule>
  </conditionalFormatting>
  <conditionalFormatting sqref="E153:AK153">
    <cfRule type="notContainsBlanks" dxfId="1516" priority="64" stopIfTrue="1">
      <formula>LEN(TRIM(E153))&gt;0</formula>
    </cfRule>
  </conditionalFormatting>
  <conditionalFormatting sqref="E155:AK155">
    <cfRule type="containsBlanks" dxfId="1515" priority="65" stopIfTrue="1">
      <formula>LEN(TRIM(E155))=0</formula>
    </cfRule>
  </conditionalFormatting>
  <conditionalFormatting sqref="E155:AK155">
    <cfRule type="notContainsBlanks" dxfId="1514" priority="66" stopIfTrue="1">
      <formula>LEN(TRIM(E155))&gt;0</formula>
    </cfRule>
  </conditionalFormatting>
  <conditionalFormatting sqref="E156:AK156">
    <cfRule type="containsBlanks" dxfId="1513" priority="67" stopIfTrue="1">
      <formula>LEN(TRIM(E156))=0</formula>
    </cfRule>
  </conditionalFormatting>
  <conditionalFormatting sqref="E156:AK156">
    <cfRule type="notContainsBlanks" dxfId="1512" priority="68" stopIfTrue="1">
      <formula>LEN(TRIM(E156))&gt;0</formula>
    </cfRule>
  </conditionalFormatting>
  <conditionalFormatting sqref="E157:AK157">
    <cfRule type="containsBlanks" dxfId="1511" priority="69" stopIfTrue="1">
      <formula>LEN(TRIM(E157))=0</formula>
    </cfRule>
  </conditionalFormatting>
  <conditionalFormatting sqref="E157:AK157">
    <cfRule type="notContainsBlanks" dxfId="1510" priority="70" stopIfTrue="1">
      <formula>LEN(TRIM(E157))&gt;0</formula>
    </cfRule>
  </conditionalFormatting>
  <conditionalFormatting sqref="E159:AK159">
    <cfRule type="containsBlanks" dxfId="1509" priority="71" stopIfTrue="1">
      <formula>LEN(TRIM(E159))=0</formula>
    </cfRule>
  </conditionalFormatting>
  <conditionalFormatting sqref="E159:AK159">
    <cfRule type="notContainsBlanks" dxfId="1508" priority="72" stopIfTrue="1">
      <formula>LEN(TRIM(E159))&gt;0</formula>
    </cfRule>
  </conditionalFormatting>
  <conditionalFormatting sqref="E161:AK161">
    <cfRule type="containsBlanks" dxfId="1507" priority="73" stopIfTrue="1">
      <formula>LEN(TRIM(E161))=0</formula>
    </cfRule>
  </conditionalFormatting>
  <conditionalFormatting sqref="E161:AK161">
    <cfRule type="notContainsBlanks" dxfId="1506" priority="74" stopIfTrue="1">
      <formula>LEN(TRIM(E161))&gt;0</formula>
    </cfRule>
  </conditionalFormatting>
  <conditionalFormatting sqref="E162:AK162">
    <cfRule type="containsBlanks" dxfId="1505" priority="75" stopIfTrue="1">
      <formula>LEN(TRIM(E162))=0</formula>
    </cfRule>
  </conditionalFormatting>
  <conditionalFormatting sqref="E162:AK162">
    <cfRule type="notContainsBlanks" dxfId="1504" priority="76" stopIfTrue="1">
      <formula>LEN(TRIM(E162))&gt;0</formula>
    </cfRule>
  </conditionalFormatting>
  <conditionalFormatting sqref="E163:AK163">
    <cfRule type="containsBlanks" dxfId="1503" priority="77" stopIfTrue="1">
      <formula>LEN(TRIM(E163))=0</formula>
    </cfRule>
  </conditionalFormatting>
  <conditionalFormatting sqref="E163:AK163">
    <cfRule type="notContainsBlanks" dxfId="1502" priority="78" stopIfTrue="1">
      <formula>LEN(TRIM(E163))&gt;0</formula>
    </cfRule>
  </conditionalFormatting>
  <conditionalFormatting sqref="E165:AK165">
    <cfRule type="containsBlanks" dxfId="1501" priority="79" stopIfTrue="1">
      <formula>LEN(TRIM(E165))=0</formula>
    </cfRule>
  </conditionalFormatting>
  <conditionalFormatting sqref="E165:AK165">
    <cfRule type="notContainsBlanks" dxfId="1500" priority="80" stopIfTrue="1">
      <formula>LEN(TRIM(E165))&gt;0</formula>
    </cfRule>
  </conditionalFormatting>
  <conditionalFormatting sqref="E167:AK167">
    <cfRule type="containsBlanks" dxfId="1499" priority="81" stopIfTrue="1">
      <formula>LEN(TRIM(E167))=0</formula>
    </cfRule>
  </conditionalFormatting>
  <conditionalFormatting sqref="E167:AK167">
    <cfRule type="notContainsBlanks" dxfId="1498" priority="82" stopIfTrue="1">
      <formula>LEN(TRIM(E167))&gt;0</formula>
    </cfRule>
  </conditionalFormatting>
  <conditionalFormatting sqref="E168:AK168">
    <cfRule type="containsBlanks" dxfId="1497" priority="83" stopIfTrue="1">
      <formula>LEN(TRIM(E168))=0</formula>
    </cfRule>
  </conditionalFormatting>
  <conditionalFormatting sqref="E168:AK168">
    <cfRule type="notContainsBlanks" dxfId="1496" priority="84" stopIfTrue="1">
      <formula>LEN(TRIM(E168))&gt;0</formula>
    </cfRule>
  </conditionalFormatting>
  <conditionalFormatting sqref="E169:AK169">
    <cfRule type="containsBlanks" dxfId="1495" priority="85" stopIfTrue="1">
      <formula>LEN(TRIM(E169))=0</formula>
    </cfRule>
  </conditionalFormatting>
  <conditionalFormatting sqref="E169:AK169">
    <cfRule type="notContainsBlanks" dxfId="1494" priority="86" stopIfTrue="1">
      <formula>LEN(TRIM(E169))&gt;0</formula>
    </cfRule>
  </conditionalFormatting>
  <conditionalFormatting sqref="E171:AK171">
    <cfRule type="containsBlanks" dxfId="1493" priority="87" stopIfTrue="1">
      <formula>LEN(TRIM(E171))=0</formula>
    </cfRule>
  </conditionalFormatting>
  <conditionalFormatting sqref="E171:AK171">
    <cfRule type="notContainsBlanks" dxfId="1492" priority="88" stopIfTrue="1">
      <formula>LEN(TRIM(E171))&gt;0</formula>
    </cfRule>
  </conditionalFormatting>
  <conditionalFormatting sqref="E173:AK173">
    <cfRule type="containsBlanks" dxfId="1491" priority="89" stopIfTrue="1">
      <formula>LEN(TRIM(E173))=0</formula>
    </cfRule>
  </conditionalFormatting>
  <conditionalFormatting sqref="E173:AK173">
    <cfRule type="notContainsBlanks" dxfId="1490" priority="90" stopIfTrue="1">
      <formula>LEN(TRIM(E173))&gt;0</formula>
    </cfRule>
  </conditionalFormatting>
  <conditionalFormatting sqref="E174:AK174">
    <cfRule type="containsBlanks" dxfId="1489" priority="91" stopIfTrue="1">
      <formula>LEN(TRIM(E174))=0</formula>
    </cfRule>
  </conditionalFormatting>
  <conditionalFormatting sqref="E174:AK174">
    <cfRule type="notContainsBlanks" dxfId="1488" priority="92" stopIfTrue="1">
      <formula>LEN(TRIM(E174))&gt;0</formula>
    </cfRule>
  </conditionalFormatting>
  <conditionalFormatting sqref="E175:AK175">
    <cfRule type="containsBlanks" dxfId="1487" priority="93" stopIfTrue="1">
      <formula>LEN(TRIM(E175))=0</formula>
    </cfRule>
  </conditionalFormatting>
  <conditionalFormatting sqref="E175:AK175">
    <cfRule type="notContainsBlanks" dxfId="1486" priority="94" stopIfTrue="1">
      <formula>LEN(TRIM(E175))&gt;0</formula>
    </cfRule>
  </conditionalFormatting>
  <conditionalFormatting sqref="E177:AK177">
    <cfRule type="containsBlanks" dxfId="1485" priority="95" stopIfTrue="1">
      <formula>LEN(TRIM(E177))=0</formula>
    </cfRule>
  </conditionalFormatting>
  <conditionalFormatting sqref="E177:AK177">
    <cfRule type="notContainsBlanks" dxfId="1484" priority="96" stopIfTrue="1">
      <formula>LEN(TRIM(E177))&gt;0</formula>
    </cfRule>
  </conditionalFormatting>
  <conditionalFormatting sqref="E179:AK179">
    <cfRule type="containsBlanks" dxfId="1483" priority="97" stopIfTrue="1">
      <formula>LEN(TRIM(E179))=0</formula>
    </cfRule>
  </conditionalFormatting>
  <conditionalFormatting sqref="E179:AK179">
    <cfRule type="notContainsBlanks" dxfId="1482" priority="98" stopIfTrue="1">
      <formula>LEN(TRIM(E179))&gt;0</formula>
    </cfRule>
  </conditionalFormatting>
  <conditionalFormatting sqref="E180:AK180">
    <cfRule type="containsBlanks" dxfId="1481" priority="99" stopIfTrue="1">
      <formula>LEN(TRIM(E180))=0</formula>
    </cfRule>
  </conditionalFormatting>
  <conditionalFormatting sqref="E180:AK180">
    <cfRule type="notContainsBlanks" dxfId="1480" priority="100" stopIfTrue="1">
      <formula>LEN(TRIM(E180))&gt;0</formula>
    </cfRule>
  </conditionalFormatting>
  <conditionalFormatting sqref="E181:AK181">
    <cfRule type="containsBlanks" dxfId="1479" priority="101" stopIfTrue="1">
      <formula>LEN(TRIM(E181))=0</formula>
    </cfRule>
  </conditionalFormatting>
  <conditionalFormatting sqref="E181:AK181">
    <cfRule type="notContainsBlanks" dxfId="1478" priority="102" stopIfTrue="1">
      <formula>LEN(TRIM(E181))&gt;0</formula>
    </cfRule>
  </conditionalFormatting>
  <conditionalFormatting sqref="E183:AK183">
    <cfRule type="containsBlanks" dxfId="1477" priority="103" stopIfTrue="1">
      <formula>LEN(TRIM(E183))=0</formula>
    </cfRule>
  </conditionalFormatting>
  <conditionalFormatting sqref="E183:AK183">
    <cfRule type="notContainsBlanks" dxfId="1476" priority="104" stopIfTrue="1">
      <formula>LEN(TRIM(E183))&gt;0</formula>
    </cfRule>
  </conditionalFormatting>
  <conditionalFormatting sqref="E185:AK185">
    <cfRule type="containsBlanks" dxfId="1475" priority="105" stopIfTrue="1">
      <formula>LEN(TRIM(E185))=0</formula>
    </cfRule>
  </conditionalFormatting>
  <conditionalFormatting sqref="E185:AK185">
    <cfRule type="notContainsBlanks" dxfId="1474" priority="106" stopIfTrue="1">
      <formula>LEN(TRIM(E185))&gt;0</formula>
    </cfRule>
  </conditionalFormatting>
  <conditionalFormatting sqref="E186:AK186">
    <cfRule type="containsBlanks" dxfId="1473" priority="107" stopIfTrue="1">
      <formula>LEN(TRIM(E186))=0</formula>
    </cfRule>
  </conditionalFormatting>
  <conditionalFormatting sqref="E186:AK186">
    <cfRule type="notContainsBlanks" dxfId="1472" priority="108" stopIfTrue="1">
      <formula>LEN(TRIM(E186))&gt;0</formula>
    </cfRule>
  </conditionalFormatting>
  <conditionalFormatting sqref="E187:AK187">
    <cfRule type="containsBlanks" dxfId="1471" priority="109" stopIfTrue="1">
      <formula>LEN(TRIM(E187))=0</formula>
    </cfRule>
  </conditionalFormatting>
  <conditionalFormatting sqref="E187:AK187">
    <cfRule type="notContainsBlanks" dxfId="1470" priority="110" stopIfTrue="1">
      <formula>LEN(TRIM(E187))&gt;0</formula>
    </cfRule>
  </conditionalFormatting>
  <conditionalFormatting sqref="E189:AK189">
    <cfRule type="containsBlanks" dxfId="1469" priority="111" stopIfTrue="1">
      <formula>LEN(TRIM(E189))=0</formula>
    </cfRule>
  </conditionalFormatting>
  <conditionalFormatting sqref="E189:AK189">
    <cfRule type="notContainsBlanks" dxfId="1468" priority="112" stopIfTrue="1">
      <formula>LEN(TRIM(E189))&gt;0</formula>
    </cfRule>
  </conditionalFormatting>
  <conditionalFormatting sqref="E95:AK95">
    <cfRule type="containsBlanks" dxfId="1467" priority="113" stopIfTrue="1">
      <formula>LEN(TRIM(E95))=0</formula>
    </cfRule>
    <cfRule type="notContainsBlanks" dxfId="1466" priority="114" stopIfTrue="1">
      <formula>LEN(TRIM(E95))&gt;0</formula>
    </cfRule>
  </conditionalFormatting>
  <conditionalFormatting sqref="E96:AK96">
    <cfRule type="containsBlanks" dxfId="1465" priority="115" stopIfTrue="1">
      <formula>LEN(TRIM(E96))=0</formula>
    </cfRule>
    <cfRule type="notContainsBlanks" dxfId="1464" priority="116" stopIfTrue="1">
      <formula>LEN(TRIM(E96))&gt;0</formula>
    </cfRule>
  </conditionalFormatting>
  <conditionalFormatting sqref="E97:AK97">
    <cfRule type="containsBlanks" dxfId="1463" priority="117" stopIfTrue="1">
      <formula>LEN(TRIM(E97))=0</formula>
    </cfRule>
    <cfRule type="notContainsBlanks" dxfId="1462" priority="118" stopIfTrue="1">
      <formula>LEN(TRIM(E97))&gt;0</formula>
    </cfRule>
  </conditionalFormatting>
  <conditionalFormatting sqref="E98:AK98">
    <cfRule type="containsBlanks" dxfId="1461" priority="119" stopIfTrue="1">
      <formula>LEN(TRIM(E98))=0</formula>
    </cfRule>
    <cfRule type="notContainsBlanks" dxfId="1460" priority="120" stopIfTrue="1">
      <formula>LEN(TRIM(E98))&gt;0</formula>
    </cfRule>
  </conditionalFormatting>
  <conditionalFormatting sqref="E99:AK99">
    <cfRule type="containsBlanks" dxfId="1459" priority="121" stopIfTrue="1">
      <formula>LEN(TRIM(E99))=0</formula>
    </cfRule>
    <cfRule type="notContainsBlanks" dxfId="1458" priority="122" stopIfTrue="1">
      <formula>LEN(TRIM(E99))&gt;0</formula>
    </cfRule>
  </conditionalFormatting>
  <conditionalFormatting sqref="E100:AK100">
    <cfRule type="containsBlanks" dxfId="1457" priority="123" stopIfTrue="1">
      <formula>LEN(TRIM(E100))=0</formula>
    </cfRule>
    <cfRule type="notContainsBlanks" dxfId="1456" priority="124" stopIfTrue="1">
      <formula>LEN(TRIM(E100))&gt;0</formula>
    </cfRule>
  </conditionalFormatting>
  <conditionalFormatting sqref="E101:AK101">
    <cfRule type="containsBlanks" dxfId="1455" priority="125" stopIfTrue="1">
      <formula>LEN(TRIM(E101))=0</formula>
    </cfRule>
    <cfRule type="notContainsBlanks" dxfId="1454" priority="126" stopIfTrue="1">
      <formula>LEN(TRIM(E101))&gt;0</formula>
    </cfRule>
  </conditionalFormatting>
  <conditionalFormatting sqref="E86:AK86">
    <cfRule type="containsBlanks" dxfId="1453" priority="127" stopIfTrue="1">
      <formula>LEN(TRIM(E86))=0</formula>
    </cfRule>
    <cfRule type="notContainsBlanks" dxfId="1452" priority="128" stopIfTrue="1">
      <formula>LEN(TRIM(E86))&gt;0</formula>
    </cfRule>
  </conditionalFormatting>
  <conditionalFormatting sqref="E87:AK87">
    <cfRule type="containsBlanks" dxfId="1451" priority="129" stopIfTrue="1">
      <formula>LEN(TRIM(E87))=0</formula>
    </cfRule>
    <cfRule type="notContainsBlanks" dxfId="1450" priority="130" stopIfTrue="1">
      <formula>LEN(TRIM(E87))&gt;0</formula>
    </cfRule>
  </conditionalFormatting>
  <conditionalFormatting sqref="E88:AK88">
    <cfRule type="containsBlanks" dxfId="1449" priority="131" stopIfTrue="1">
      <formula>LEN(TRIM(E88))=0</formula>
    </cfRule>
    <cfRule type="notContainsBlanks" dxfId="1448" priority="132" stopIfTrue="1">
      <formula>LEN(TRIM(E88))&gt;0</formula>
    </cfRule>
  </conditionalFormatting>
  <conditionalFormatting sqref="E89:AK89">
    <cfRule type="containsBlanks" dxfId="1447" priority="133" stopIfTrue="1">
      <formula>LEN(TRIM(E89))=0</formula>
    </cfRule>
    <cfRule type="notContainsBlanks" dxfId="1446" priority="134" stopIfTrue="1">
      <formula>LEN(TRIM(E89))&gt;0</formula>
    </cfRule>
  </conditionalFormatting>
  <conditionalFormatting sqref="E90:AK90">
    <cfRule type="containsBlanks" dxfId="1445" priority="135" stopIfTrue="1">
      <formula>LEN(TRIM(E90))=0</formula>
    </cfRule>
    <cfRule type="notContainsBlanks" dxfId="1444" priority="136" stopIfTrue="1">
      <formula>LEN(TRIM(E90))&gt;0</formula>
    </cfRule>
  </conditionalFormatting>
  <conditionalFormatting sqref="E91:AK91">
    <cfRule type="containsBlanks" dxfId="1443" priority="137" stopIfTrue="1">
      <formula>LEN(TRIM(E91))=0</formula>
    </cfRule>
    <cfRule type="notContainsBlanks" dxfId="1442" priority="138" stopIfTrue="1">
      <formula>LEN(TRIM(E91))&gt;0</formula>
    </cfRule>
  </conditionalFormatting>
  <conditionalFormatting sqref="E92:AK92">
    <cfRule type="containsBlanks" dxfId="1441" priority="139" stopIfTrue="1">
      <formula>LEN(TRIM(E92))=0</formula>
    </cfRule>
    <cfRule type="notContainsBlanks" dxfId="1440" priority="140" stopIfTrue="1">
      <formula>LEN(TRIM(E92))&gt;0</formula>
    </cfRule>
  </conditionalFormatting>
  <conditionalFormatting sqref="E77:AK77">
    <cfRule type="containsBlanks" dxfId="1439" priority="141" stopIfTrue="1">
      <formula>LEN(TRIM(E77))=0</formula>
    </cfRule>
    <cfRule type="notContainsBlanks" dxfId="1438" priority="142" stopIfTrue="1">
      <formula>LEN(TRIM(E77))&gt;0</formula>
    </cfRule>
  </conditionalFormatting>
  <conditionalFormatting sqref="E78:AK78">
    <cfRule type="containsBlanks" dxfId="1437" priority="143" stopIfTrue="1">
      <formula>LEN(TRIM(E78))=0</formula>
    </cfRule>
    <cfRule type="notContainsBlanks" dxfId="1436" priority="144" stopIfTrue="1">
      <formula>LEN(TRIM(E78))&gt;0</formula>
    </cfRule>
  </conditionalFormatting>
  <conditionalFormatting sqref="E79:AK79">
    <cfRule type="containsBlanks" dxfId="1435" priority="145" stopIfTrue="1">
      <formula>LEN(TRIM(E79))=0</formula>
    </cfRule>
    <cfRule type="notContainsBlanks" dxfId="1434" priority="146" stopIfTrue="1">
      <formula>LEN(TRIM(E79))&gt;0</formula>
    </cfRule>
  </conditionalFormatting>
  <conditionalFormatting sqref="E80:AK80">
    <cfRule type="containsBlanks" dxfId="1433" priority="147" stopIfTrue="1">
      <formula>LEN(TRIM(E80))=0</formula>
    </cfRule>
    <cfRule type="notContainsBlanks" dxfId="1432" priority="148" stopIfTrue="1">
      <formula>LEN(TRIM(E80))&gt;0</formula>
    </cfRule>
  </conditionalFormatting>
  <conditionalFormatting sqref="E81:AK81">
    <cfRule type="containsBlanks" dxfId="1431" priority="149" stopIfTrue="1">
      <formula>LEN(TRIM(E81))=0</formula>
    </cfRule>
    <cfRule type="notContainsBlanks" dxfId="1430" priority="150" stopIfTrue="1">
      <formula>LEN(TRIM(E81))&gt;0</formula>
    </cfRule>
  </conditionalFormatting>
  <conditionalFormatting sqref="E82:AK82">
    <cfRule type="containsBlanks" dxfId="1429" priority="151" stopIfTrue="1">
      <formula>LEN(TRIM(E82))=0</formula>
    </cfRule>
    <cfRule type="notContainsBlanks" dxfId="1428" priority="152" stopIfTrue="1">
      <formula>LEN(TRIM(E82))&gt;0</formula>
    </cfRule>
  </conditionalFormatting>
  <conditionalFormatting sqref="E83:AK83">
    <cfRule type="containsBlanks" dxfId="1427" priority="153" stopIfTrue="1">
      <formula>LEN(TRIM(E83))=0</formula>
    </cfRule>
    <cfRule type="notContainsBlanks" dxfId="1426" priority="154" stopIfTrue="1">
      <formula>LEN(TRIM(E83))&gt;0</formula>
    </cfRule>
  </conditionalFormatting>
  <conditionalFormatting sqref="E68:AK68">
    <cfRule type="containsBlanks" dxfId="1425" priority="155" stopIfTrue="1">
      <formula>LEN(TRIM(E68))=0</formula>
    </cfRule>
    <cfRule type="notContainsBlanks" dxfId="1424" priority="156" stopIfTrue="1">
      <formula>LEN(TRIM(E68))&gt;0</formula>
    </cfRule>
  </conditionalFormatting>
  <conditionalFormatting sqref="E69:AK69">
    <cfRule type="containsBlanks" dxfId="1423" priority="157" stopIfTrue="1">
      <formula>LEN(TRIM(E69))=0</formula>
    </cfRule>
    <cfRule type="notContainsBlanks" dxfId="1422" priority="158" stopIfTrue="1">
      <formula>LEN(TRIM(E69))&gt;0</formula>
    </cfRule>
  </conditionalFormatting>
  <conditionalFormatting sqref="E70:AK70">
    <cfRule type="containsBlanks" dxfId="1421" priority="159" stopIfTrue="1">
      <formula>LEN(TRIM(E70))=0</formula>
    </cfRule>
    <cfRule type="notContainsBlanks" dxfId="1420" priority="160" stopIfTrue="1">
      <formula>LEN(TRIM(E70))&gt;0</formula>
    </cfRule>
  </conditionalFormatting>
  <conditionalFormatting sqref="E71:AK71">
    <cfRule type="containsBlanks" dxfId="1419" priority="161" stopIfTrue="1">
      <formula>LEN(TRIM(E71))=0</formula>
    </cfRule>
    <cfRule type="notContainsBlanks" dxfId="1418" priority="162" stopIfTrue="1">
      <formula>LEN(TRIM(E71))&gt;0</formula>
    </cfRule>
  </conditionalFormatting>
  <conditionalFormatting sqref="E72:AK72">
    <cfRule type="containsBlanks" dxfId="1417" priority="163" stopIfTrue="1">
      <formula>LEN(TRIM(E72))=0</formula>
    </cfRule>
    <cfRule type="notContainsBlanks" dxfId="1416" priority="164" stopIfTrue="1">
      <formula>LEN(TRIM(E72))&gt;0</formula>
    </cfRule>
  </conditionalFormatting>
  <conditionalFormatting sqref="E73:AK73">
    <cfRule type="containsBlanks" dxfId="1415" priority="165" stopIfTrue="1">
      <formula>LEN(TRIM(E73))=0</formula>
    </cfRule>
    <cfRule type="notContainsBlanks" dxfId="1414" priority="166" stopIfTrue="1">
      <formula>LEN(TRIM(E73))&gt;0</formula>
    </cfRule>
  </conditionalFormatting>
  <conditionalFormatting sqref="E74:AK74">
    <cfRule type="containsBlanks" dxfId="1413" priority="167" stopIfTrue="1">
      <formula>LEN(TRIM(E74))=0</formula>
    </cfRule>
    <cfRule type="notContainsBlanks" dxfId="1412" priority="168" stopIfTrue="1">
      <formula>LEN(TRIM(E74))&gt;0</formula>
    </cfRule>
  </conditionalFormatting>
  <conditionalFormatting sqref="E59:AK59">
    <cfRule type="containsBlanks" dxfId="1411" priority="169" stopIfTrue="1">
      <formula>LEN(TRIM(E59))=0</formula>
    </cfRule>
    <cfRule type="notContainsBlanks" dxfId="1410" priority="170" stopIfTrue="1">
      <formula>LEN(TRIM(E59))&gt;0</formula>
    </cfRule>
  </conditionalFormatting>
  <conditionalFormatting sqref="E60:AK60">
    <cfRule type="containsBlanks" dxfId="1409" priority="171" stopIfTrue="1">
      <formula>LEN(TRIM(E60))=0</formula>
    </cfRule>
    <cfRule type="notContainsBlanks" dxfId="1408" priority="172" stopIfTrue="1">
      <formula>LEN(TRIM(E60))&gt;0</formula>
    </cfRule>
  </conditionalFormatting>
  <conditionalFormatting sqref="E61:AK61">
    <cfRule type="containsBlanks" dxfId="1407" priority="173" stopIfTrue="1">
      <formula>LEN(TRIM(E61))=0</formula>
    </cfRule>
    <cfRule type="notContainsBlanks" dxfId="1406" priority="174" stopIfTrue="1">
      <formula>LEN(TRIM(E61))&gt;0</formula>
    </cfRule>
  </conditionalFormatting>
  <conditionalFormatting sqref="E62:AK62">
    <cfRule type="containsBlanks" dxfId="1405" priority="175" stopIfTrue="1">
      <formula>LEN(TRIM(E62))=0</formula>
    </cfRule>
    <cfRule type="notContainsBlanks" dxfId="1404" priority="176" stopIfTrue="1">
      <formula>LEN(TRIM(E62))&gt;0</formula>
    </cfRule>
  </conditionalFormatting>
  <conditionalFormatting sqref="E63:AK63">
    <cfRule type="containsBlanks" dxfId="1403" priority="177" stopIfTrue="1">
      <formula>LEN(TRIM(E63))=0</formula>
    </cfRule>
    <cfRule type="notContainsBlanks" dxfId="1402" priority="178" stopIfTrue="1">
      <formula>LEN(TRIM(E63))&gt;0</formula>
    </cfRule>
  </conditionalFormatting>
  <conditionalFormatting sqref="E64:AK64">
    <cfRule type="containsBlanks" dxfId="1401" priority="179" stopIfTrue="1">
      <formula>LEN(TRIM(E64))=0</formula>
    </cfRule>
    <cfRule type="notContainsBlanks" dxfId="1400" priority="180" stopIfTrue="1">
      <formula>LEN(TRIM(E64))&gt;0</formula>
    </cfRule>
  </conditionalFormatting>
  <conditionalFormatting sqref="E65:AK65">
    <cfRule type="containsBlanks" dxfId="1399" priority="181" stopIfTrue="1">
      <formula>LEN(TRIM(E65))=0</formula>
    </cfRule>
    <cfRule type="notContainsBlanks" dxfId="1398" priority="182" stopIfTrue="1">
      <formula>LEN(TRIM(E65))&gt;0</formula>
    </cfRule>
  </conditionalFormatting>
  <conditionalFormatting sqref="E50:AK50">
    <cfRule type="containsBlanks" dxfId="1397" priority="183" stopIfTrue="1">
      <formula>LEN(TRIM(E50))=0</formula>
    </cfRule>
    <cfRule type="notContainsBlanks" dxfId="1396" priority="184" stopIfTrue="1">
      <formula>LEN(TRIM(E50))&gt;0</formula>
    </cfRule>
  </conditionalFormatting>
  <conditionalFormatting sqref="E51:AK51">
    <cfRule type="containsBlanks" dxfId="1395" priority="185" stopIfTrue="1">
      <formula>LEN(TRIM(E51))=0</formula>
    </cfRule>
    <cfRule type="notContainsBlanks" dxfId="1394" priority="186" stopIfTrue="1">
      <formula>LEN(TRIM(E51))&gt;0</formula>
    </cfRule>
  </conditionalFormatting>
  <conditionalFormatting sqref="E52:AK52">
    <cfRule type="containsBlanks" dxfId="1393" priority="187" stopIfTrue="1">
      <formula>LEN(TRIM(E52))=0</formula>
    </cfRule>
    <cfRule type="notContainsBlanks" dxfId="1392" priority="188" stopIfTrue="1">
      <formula>LEN(TRIM(E52))&gt;0</formula>
    </cfRule>
  </conditionalFormatting>
  <conditionalFormatting sqref="E53:AK53">
    <cfRule type="containsBlanks" dxfId="1391" priority="189" stopIfTrue="1">
      <formula>LEN(TRIM(E53))=0</formula>
    </cfRule>
    <cfRule type="notContainsBlanks" dxfId="1390" priority="190" stopIfTrue="1">
      <formula>LEN(TRIM(E53))&gt;0</formula>
    </cfRule>
  </conditionalFormatting>
  <conditionalFormatting sqref="E54:AK54">
    <cfRule type="containsBlanks" dxfId="1389" priority="191" stopIfTrue="1">
      <formula>LEN(TRIM(E54))=0</formula>
    </cfRule>
    <cfRule type="notContainsBlanks" dxfId="1388" priority="192" stopIfTrue="1">
      <formula>LEN(TRIM(E54))&gt;0</formula>
    </cfRule>
  </conditionalFormatting>
  <conditionalFormatting sqref="E55:AK55">
    <cfRule type="containsBlanks" dxfId="1387" priority="193" stopIfTrue="1">
      <formula>LEN(TRIM(E55))=0</formula>
    </cfRule>
    <cfRule type="notContainsBlanks" dxfId="1386" priority="194" stopIfTrue="1">
      <formula>LEN(TRIM(E55))&gt;0</formula>
    </cfRule>
  </conditionalFormatting>
  <conditionalFormatting sqref="E56:AK56">
    <cfRule type="containsBlanks" dxfId="1385" priority="195" stopIfTrue="1">
      <formula>LEN(TRIM(E56))=0</formula>
    </cfRule>
    <cfRule type="notContainsBlanks" dxfId="1384" priority="196" stopIfTrue="1">
      <formula>LEN(TRIM(E56))&gt;0</formula>
    </cfRule>
  </conditionalFormatting>
  <conditionalFormatting sqref="E41:E47">
    <cfRule type="containsBlanks" dxfId="1383" priority="211" stopIfTrue="1">
      <formula>LEN(TRIM(E41))=0</formula>
    </cfRule>
    <cfRule type="expression" dxfId="1382" priority="212" stopIfTrue="1">
      <formula>SUM($E$41:$E$47)&lt;&gt;1</formula>
    </cfRule>
    <cfRule type="notContainsBlanks" dxfId="1381" priority="213" stopIfTrue="1">
      <formula>LEN(TRIM(E41))&gt;0</formula>
    </cfRule>
  </conditionalFormatting>
  <conditionalFormatting sqref="F41:F47">
    <cfRule type="containsBlanks" dxfId="1380" priority="214" stopIfTrue="1">
      <formula>LEN(TRIM(F41))=0</formula>
    </cfRule>
    <cfRule type="expression" dxfId="1379" priority="215" stopIfTrue="1">
      <formula>SUM($F$41:$F$47)&lt;&gt;1</formula>
    </cfRule>
    <cfRule type="notContainsBlanks" dxfId="1378" priority="216" stopIfTrue="1">
      <formula>LEN(TRIM(F41))&gt;0</formula>
    </cfRule>
  </conditionalFormatting>
  <conditionalFormatting sqref="G41:G47">
    <cfRule type="containsBlanks" dxfId="1377" priority="217" stopIfTrue="1">
      <formula>LEN(TRIM(G41))=0</formula>
    </cfRule>
    <cfRule type="expression" dxfId="1376" priority="218" stopIfTrue="1">
      <formula>SUM($G$41:$G$47)&lt;&gt;1</formula>
    </cfRule>
    <cfRule type="notContainsBlanks" dxfId="1375" priority="219" stopIfTrue="1">
      <formula>LEN(TRIM(G41))&gt;0</formula>
    </cfRule>
  </conditionalFormatting>
  <conditionalFormatting sqref="H41:H47">
    <cfRule type="containsBlanks" dxfId="1374" priority="220" stopIfTrue="1">
      <formula>LEN(TRIM(H41))=0</formula>
    </cfRule>
    <cfRule type="expression" dxfId="1373" priority="221" stopIfTrue="1">
      <formula>SUM($H$41:$H$47)&lt;&gt;1</formula>
    </cfRule>
    <cfRule type="notContainsBlanks" dxfId="1372" priority="222" stopIfTrue="1">
      <formula>LEN(TRIM(H41))&gt;0</formula>
    </cfRule>
  </conditionalFormatting>
  <conditionalFormatting sqref="I41:I47">
    <cfRule type="containsBlanks" dxfId="1371" priority="223" stopIfTrue="1">
      <formula>LEN(TRIM(I41))=0</formula>
    </cfRule>
    <cfRule type="expression" dxfId="1370" priority="224" stopIfTrue="1">
      <formula>SUM($I$41:$I$47)&lt;&gt;1</formula>
    </cfRule>
    <cfRule type="notContainsBlanks" dxfId="1369" priority="225" stopIfTrue="1">
      <formula>LEN(TRIM(I41))&gt;0</formula>
    </cfRule>
  </conditionalFormatting>
  <conditionalFormatting sqref="J41:J47">
    <cfRule type="containsBlanks" dxfId="1368" priority="226" stopIfTrue="1">
      <formula>LEN(TRIM(J41))=0</formula>
    </cfRule>
    <cfRule type="expression" dxfId="1367" priority="227" stopIfTrue="1">
      <formula>SUM($J$41:$J$47)&lt;&gt;1</formula>
    </cfRule>
    <cfRule type="notContainsBlanks" dxfId="1366" priority="228" stopIfTrue="1">
      <formula>LEN(TRIM(J41))&gt;0</formula>
    </cfRule>
  </conditionalFormatting>
  <conditionalFormatting sqref="K41:K47">
    <cfRule type="containsBlanks" dxfId="1365" priority="229" stopIfTrue="1">
      <formula>LEN(TRIM(K41))=0</formula>
    </cfRule>
    <cfRule type="expression" dxfId="1364" priority="230" stopIfTrue="1">
      <formula>SUM($K$41:$K$47)&lt;&gt;1</formula>
    </cfRule>
    <cfRule type="notContainsBlanks" dxfId="1363" priority="231" stopIfTrue="1">
      <formula>LEN(TRIM(K41))&gt;0</formula>
    </cfRule>
  </conditionalFormatting>
  <conditionalFormatting sqref="L41:L47">
    <cfRule type="containsBlanks" dxfId="1362" priority="232" stopIfTrue="1">
      <formula>LEN(TRIM(L41))=0</formula>
    </cfRule>
    <cfRule type="expression" dxfId="1361" priority="233" stopIfTrue="1">
      <formula>SUM($L$41:$L$47)&lt;&gt;1</formula>
    </cfRule>
    <cfRule type="notContainsBlanks" dxfId="1360" priority="234" stopIfTrue="1">
      <formula>LEN(TRIM(L41))&gt;0</formula>
    </cfRule>
  </conditionalFormatting>
  <conditionalFormatting sqref="M41:M47">
    <cfRule type="containsBlanks" dxfId="1359" priority="235" stopIfTrue="1">
      <formula>LEN(TRIM(M41))=0</formula>
    </cfRule>
    <cfRule type="expression" dxfId="1358" priority="236" stopIfTrue="1">
      <formula>SUM($M$41:$M$47)&lt;&gt;1</formula>
    </cfRule>
    <cfRule type="notContainsBlanks" dxfId="1357" priority="237" stopIfTrue="1">
      <formula>LEN(TRIM(M41))&gt;0</formula>
    </cfRule>
  </conditionalFormatting>
  <conditionalFormatting sqref="N41:N47">
    <cfRule type="containsBlanks" dxfId="1356" priority="238" stopIfTrue="1">
      <formula>LEN(TRIM(N41))=0</formula>
    </cfRule>
    <cfRule type="expression" dxfId="1355" priority="239" stopIfTrue="1">
      <formula>SUM($N$41:$N$47)&lt;&gt;1</formula>
    </cfRule>
    <cfRule type="notContainsBlanks" dxfId="1354" priority="240" stopIfTrue="1">
      <formula>LEN(TRIM(N41))&gt;0</formula>
    </cfRule>
  </conditionalFormatting>
  <conditionalFormatting sqref="O41:O47">
    <cfRule type="containsBlanks" dxfId="1353" priority="241" stopIfTrue="1">
      <formula>LEN(TRIM(O41))=0</formula>
    </cfRule>
    <cfRule type="expression" dxfId="1352" priority="242" stopIfTrue="1">
      <formula>SUM($O$41:$O$47)&lt;&gt;1</formula>
    </cfRule>
    <cfRule type="notContainsBlanks" dxfId="1351" priority="243" stopIfTrue="1">
      <formula>LEN(TRIM(O41))&gt;0</formula>
    </cfRule>
  </conditionalFormatting>
  <conditionalFormatting sqref="P41:P47">
    <cfRule type="containsBlanks" dxfId="1350" priority="244" stopIfTrue="1">
      <formula>LEN(TRIM(P41))=0</formula>
    </cfRule>
    <cfRule type="expression" dxfId="1349" priority="245" stopIfTrue="1">
      <formula>SUM($P$41:$P$47)&lt;&gt;1</formula>
    </cfRule>
    <cfRule type="notContainsBlanks" dxfId="1348" priority="246" stopIfTrue="1">
      <formula>LEN(TRIM(P41))&gt;0</formula>
    </cfRule>
  </conditionalFormatting>
  <conditionalFormatting sqref="Q41:Q47">
    <cfRule type="containsBlanks" dxfId="1347" priority="247" stopIfTrue="1">
      <formula>LEN(TRIM(Q41))=0</formula>
    </cfRule>
    <cfRule type="expression" dxfId="1346" priority="248" stopIfTrue="1">
      <formula>SUM($Q$41:$Q$47)&lt;&gt;1</formula>
    </cfRule>
    <cfRule type="notContainsBlanks" dxfId="1345" priority="249" stopIfTrue="1">
      <formula>LEN(TRIM(Q41))&gt;0</formula>
    </cfRule>
  </conditionalFormatting>
  <conditionalFormatting sqref="R41:R47">
    <cfRule type="containsBlanks" dxfId="1344" priority="250" stopIfTrue="1">
      <formula>LEN(TRIM(R41))=0</formula>
    </cfRule>
  </conditionalFormatting>
  <conditionalFormatting sqref="R41:R47">
    <cfRule type="expression" dxfId="1343" priority="251" stopIfTrue="1">
      <formula>SUM($R$41:$R$47)&lt;&gt;1</formula>
    </cfRule>
  </conditionalFormatting>
  <conditionalFormatting sqref="R41:R47">
    <cfRule type="notContainsBlanks" dxfId="1342" priority="252" stopIfTrue="1">
      <formula>LEN(TRIM(R41))&gt;0</formula>
    </cfRule>
  </conditionalFormatting>
  <conditionalFormatting sqref="S41:S47">
    <cfRule type="containsBlanks" dxfId="1341" priority="253" stopIfTrue="1">
      <formula>LEN(TRIM(S41))=0</formula>
    </cfRule>
  </conditionalFormatting>
  <conditionalFormatting sqref="S41:S47">
    <cfRule type="expression" dxfId="1340" priority="254" stopIfTrue="1">
      <formula>SUM($S$41:$S$47)&lt;&gt;1</formula>
    </cfRule>
  </conditionalFormatting>
  <conditionalFormatting sqref="S41:S47">
    <cfRule type="notContainsBlanks" dxfId="1339" priority="255" stopIfTrue="1">
      <formula>LEN(TRIM(S41))&gt;0</formula>
    </cfRule>
  </conditionalFormatting>
  <conditionalFormatting sqref="T41:T47">
    <cfRule type="containsBlanks" dxfId="1338" priority="256" stopIfTrue="1">
      <formula>LEN(TRIM(T41))=0</formula>
    </cfRule>
  </conditionalFormatting>
  <conditionalFormatting sqref="T41:T47">
    <cfRule type="expression" dxfId="1337" priority="257" stopIfTrue="1">
      <formula>SUM($T$41:$T$47)&lt;&gt;1</formula>
    </cfRule>
  </conditionalFormatting>
  <conditionalFormatting sqref="T41:T47">
    <cfRule type="notContainsBlanks" dxfId="1336" priority="258" stopIfTrue="1">
      <formula>LEN(TRIM(T41))&gt;0</formula>
    </cfRule>
  </conditionalFormatting>
  <conditionalFormatting sqref="U41:U47">
    <cfRule type="containsBlanks" dxfId="1335" priority="259" stopIfTrue="1">
      <formula>LEN(TRIM(U41))=0</formula>
    </cfRule>
  </conditionalFormatting>
  <conditionalFormatting sqref="U41:U47">
    <cfRule type="expression" dxfId="1334" priority="260" stopIfTrue="1">
      <formula>SUM($U$41:$U$47)&lt;&gt;1</formula>
    </cfRule>
  </conditionalFormatting>
  <conditionalFormatting sqref="U41:U47">
    <cfRule type="notContainsBlanks" dxfId="1333" priority="261" stopIfTrue="1">
      <formula>LEN(TRIM(U41))&gt;0</formula>
    </cfRule>
  </conditionalFormatting>
  <conditionalFormatting sqref="V41:V47">
    <cfRule type="containsBlanks" dxfId="1332" priority="262" stopIfTrue="1">
      <formula>LEN(TRIM(V41))=0</formula>
    </cfRule>
  </conditionalFormatting>
  <conditionalFormatting sqref="V41:V47">
    <cfRule type="expression" dxfId="1331" priority="263" stopIfTrue="1">
      <formula>SUM($V$41:$V$47)&lt;&gt;1</formula>
    </cfRule>
  </conditionalFormatting>
  <conditionalFormatting sqref="V41:V47">
    <cfRule type="notContainsBlanks" dxfId="1330" priority="264" stopIfTrue="1">
      <formula>LEN(TRIM(V41))&gt;0</formula>
    </cfRule>
  </conditionalFormatting>
  <conditionalFormatting sqref="W41:W47">
    <cfRule type="containsBlanks" dxfId="1329" priority="265" stopIfTrue="1">
      <formula>LEN(TRIM(W41))=0</formula>
    </cfRule>
  </conditionalFormatting>
  <conditionalFormatting sqref="W41:W47">
    <cfRule type="expression" dxfId="1328" priority="266" stopIfTrue="1">
      <formula>SUM($W$41:$W$47)&lt;&gt;1</formula>
    </cfRule>
  </conditionalFormatting>
  <conditionalFormatting sqref="W41:W47">
    <cfRule type="notContainsBlanks" dxfId="1327" priority="267" stopIfTrue="1">
      <formula>LEN(TRIM(W41))&gt;0</formula>
    </cfRule>
  </conditionalFormatting>
  <conditionalFormatting sqref="X41:X47">
    <cfRule type="containsBlanks" dxfId="1326" priority="268" stopIfTrue="1">
      <formula>LEN(TRIM(X41))=0</formula>
    </cfRule>
  </conditionalFormatting>
  <conditionalFormatting sqref="X41:X47">
    <cfRule type="expression" dxfId="1325" priority="269" stopIfTrue="1">
      <formula>SUM($X$41:$X$47)&lt;&gt;1</formula>
    </cfRule>
  </conditionalFormatting>
  <conditionalFormatting sqref="X41:X47">
    <cfRule type="notContainsBlanks" dxfId="1324" priority="270" stopIfTrue="1">
      <formula>LEN(TRIM(X41))&gt;0</formula>
    </cfRule>
  </conditionalFormatting>
  <conditionalFormatting sqref="Y41:Y47">
    <cfRule type="containsBlanks" dxfId="1323" priority="271" stopIfTrue="1">
      <formula>LEN(TRIM(Y41))=0</formula>
    </cfRule>
  </conditionalFormatting>
  <conditionalFormatting sqref="Y41:Y47">
    <cfRule type="expression" dxfId="1322" priority="272" stopIfTrue="1">
      <formula>SUM($Y$41:$Y$47)&lt;&gt;1</formula>
    </cfRule>
  </conditionalFormatting>
  <conditionalFormatting sqref="Y41:Y47">
    <cfRule type="notContainsBlanks" dxfId="1321" priority="273" stopIfTrue="1">
      <formula>LEN(TRIM(Y41))&gt;0</formula>
    </cfRule>
  </conditionalFormatting>
  <conditionalFormatting sqref="Z41:Z47">
    <cfRule type="containsBlanks" dxfId="1320" priority="274" stopIfTrue="1">
      <formula>LEN(TRIM(Z41))=0</formula>
    </cfRule>
  </conditionalFormatting>
  <conditionalFormatting sqref="Z41:Z47">
    <cfRule type="expression" dxfId="1319" priority="275" stopIfTrue="1">
      <formula>SUM($Z$41:$Z$47)&lt;&gt;1</formula>
    </cfRule>
  </conditionalFormatting>
  <conditionalFormatting sqref="Z41:Z47">
    <cfRule type="notContainsBlanks" dxfId="1318" priority="276" stopIfTrue="1">
      <formula>LEN(TRIM(Z41))&gt;0</formula>
    </cfRule>
  </conditionalFormatting>
  <conditionalFormatting sqref="AA41:AA47">
    <cfRule type="containsBlanks" dxfId="1317" priority="277" stopIfTrue="1">
      <formula>LEN(TRIM(AA41))=0</formula>
    </cfRule>
  </conditionalFormatting>
  <conditionalFormatting sqref="AA41:AA47">
    <cfRule type="expression" dxfId="1316" priority="278" stopIfTrue="1">
      <formula>SUM($AA$41:$AA$47)&lt;&gt;1</formula>
    </cfRule>
  </conditionalFormatting>
  <conditionalFormatting sqref="AA41:AA47">
    <cfRule type="notContainsBlanks" dxfId="1315" priority="279" stopIfTrue="1">
      <formula>LEN(TRIM(AA41))&gt;0</formula>
    </cfRule>
  </conditionalFormatting>
  <conditionalFormatting sqref="AB41:AB47">
    <cfRule type="containsBlanks" dxfId="1314" priority="280" stopIfTrue="1">
      <formula>LEN(TRIM(AB41))=0</formula>
    </cfRule>
  </conditionalFormatting>
  <conditionalFormatting sqref="AB41:AB47">
    <cfRule type="expression" dxfId="1313" priority="281" stopIfTrue="1">
      <formula>SUM($AB$41:$AB$47)&lt;&gt;1</formula>
    </cfRule>
  </conditionalFormatting>
  <conditionalFormatting sqref="AB41:AB47">
    <cfRule type="notContainsBlanks" dxfId="1312" priority="282" stopIfTrue="1">
      <formula>LEN(TRIM(AB41))&gt;0</formula>
    </cfRule>
  </conditionalFormatting>
  <conditionalFormatting sqref="AC41:AC47">
    <cfRule type="containsBlanks" dxfId="1311" priority="283" stopIfTrue="1">
      <formula>LEN(TRIM(AC41))=0</formula>
    </cfRule>
  </conditionalFormatting>
  <conditionalFormatting sqref="AC41:AC47">
    <cfRule type="expression" dxfId="1310" priority="284" stopIfTrue="1">
      <formula>SUM($AC$41:$AC$47)&lt;&gt;1</formula>
    </cfRule>
  </conditionalFormatting>
  <conditionalFormatting sqref="AC41:AC47">
    <cfRule type="notContainsBlanks" dxfId="1309" priority="285" stopIfTrue="1">
      <formula>LEN(TRIM(AC41))&gt;0</formula>
    </cfRule>
  </conditionalFormatting>
  <conditionalFormatting sqref="AD41:AD47">
    <cfRule type="containsBlanks" dxfId="1308" priority="286" stopIfTrue="1">
      <formula>LEN(TRIM(AD41))=0</formula>
    </cfRule>
  </conditionalFormatting>
  <conditionalFormatting sqref="AD41:AD47">
    <cfRule type="expression" dxfId="1307" priority="287" stopIfTrue="1">
      <formula>SUM($AD$41:$AD$47)&lt;&gt;1</formula>
    </cfRule>
  </conditionalFormatting>
  <conditionalFormatting sqref="AD41:AD47">
    <cfRule type="notContainsBlanks" dxfId="1306" priority="288" stopIfTrue="1">
      <formula>LEN(TRIM(AD41))&gt;0</formula>
    </cfRule>
  </conditionalFormatting>
  <conditionalFormatting sqref="AE41:AE47">
    <cfRule type="containsBlanks" dxfId="1305" priority="289" stopIfTrue="1">
      <formula>LEN(TRIM(AE41))=0</formula>
    </cfRule>
  </conditionalFormatting>
  <conditionalFormatting sqref="AE41:AE47">
    <cfRule type="expression" dxfId="1304" priority="290" stopIfTrue="1">
      <formula>SUM($AE$41:$AE$47)&lt;&gt;1</formula>
    </cfRule>
  </conditionalFormatting>
  <conditionalFormatting sqref="AE41:AE47">
    <cfRule type="notContainsBlanks" dxfId="1303" priority="291" stopIfTrue="1">
      <formula>LEN(TRIM(AE41))&gt;0</formula>
    </cfRule>
  </conditionalFormatting>
  <conditionalFormatting sqref="AF41:AF47">
    <cfRule type="containsBlanks" dxfId="1302" priority="292" stopIfTrue="1">
      <formula>LEN(TRIM(AF41))=0</formula>
    </cfRule>
  </conditionalFormatting>
  <conditionalFormatting sqref="AF41:AF47">
    <cfRule type="expression" dxfId="1301" priority="293" stopIfTrue="1">
      <formula>SUM($AF$41:$AF$47)&lt;&gt;1</formula>
    </cfRule>
  </conditionalFormatting>
  <conditionalFormatting sqref="AF41:AF47">
    <cfRule type="notContainsBlanks" dxfId="1300" priority="294" stopIfTrue="1">
      <formula>LEN(TRIM(AF41))&gt;0</formula>
    </cfRule>
  </conditionalFormatting>
  <conditionalFormatting sqref="AG41:AG47">
    <cfRule type="containsBlanks" dxfId="1299" priority="295" stopIfTrue="1">
      <formula>LEN(TRIM(AG41))=0</formula>
    </cfRule>
  </conditionalFormatting>
  <conditionalFormatting sqref="AG41:AG47">
    <cfRule type="expression" dxfId="1298" priority="296" stopIfTrue="1">
      <formula>SUM($AG$41:$AG$47)&lt;&gt;1</formula>
    </cfRule>
  </conditionalFormatting>
  <conditionalFormatting sqref="AG41:AG47">
    <cfRule type="notContainsBlanks" dxfId="1297" priority="297" stopIfTrue="1">
      <formula>LEN(TRIM(AG41))&gt;0</formula>
    </cfRule>
  </conditionalFormatting>
  <conditionalFormatting sqref="AH41:AH47">
    <cfRule type="containsBlanks" dxfId="1296" priority="298" stopIfTrue="1">
      <formula>LEN(TRIM(AH41))=0</formula>
    </cfRule>
  </conditionalFormatting>
  <conditionalFormatting sqref="AH41:AH47">
    <cfRule type="expression" dxfId="1295" priority="299" stopIfTrue="1">
      <formula>SUM($AH$41:$AH$47)&lt;&gt;1</formula>
    </cfRule>
  </conditionalFormatting>
  <conditionalFormatting sqref="AH41:AH47">
    <cfRule type="notContainsBlanks" dxfId="1294" priority="300" stopIfTrue="1">
      <formula>LEN(TRIM(AH41))&gt;0</formula>
    </cfRule>
  </conditionalFormatting>
  <conditionalFormatting sqref="AI41:AI47">
    <cfRule type="containsBlanks" dxfId="1293" priority="301" stopIfTrue="1">
      <formula>LEN(TRIM(AI41))=0</formula>
    </cfRule>
  </conditionalFormatting>
  <conditionalFormatting sqref="AI41:AI47">
    <cfRule type="expression" dxfId="1292" priority="302" stopIfTrue="1">
      <formula>SUM($AI$41:$AI$47)&lt;&gt;1</formula>
    </cfRule>
  </conditionalFormatting>
  <conditionalFormatting sqref="AI41:AI47">
    <cfRule type="notContainsBlanks" dxfId="1291" priority="303" stopIfTrue="1">
      <formula>LEN(TRIM(AI41))&gt;0</formula>
    </cfRule>
  </conditionalFormatting>
  <conditionalFormatting sqref="AJ41:AJ47">
    <cfRule type="containsBlanks" dxfId="1290" priority="304" stopIfTrue="1">
      <formula>LEN(TRIM(AJ41))=0</formula>
    </cfRule>
  </conditionalFormatting>
  <conditionalFormatting sqref="AJ41:AJ47">
    <cfRule type="expression" dxfId="1289" priority="305" stopIfTrue="1">
      <formula>SUM($AJ$41:$AJ$47)&lt;&gt;1</formula>
    </cfRule>
  </conditionalFormatting>
  <conditionalFormatting sqref="AJ41:AJ47">
    <cfRule type="notContainsBlanks" dxfId="1288" priority="306" stopIfTrue="1">
      <formula>LEN(TRIM(AJ41))&gt;0</formula>
    </cfRule>
  </conditionalFormatting>
  <conditionalFormatting sqref="AK41:AK47">
    <cfRule type="containsBlanks" dxfId="1287" priority="307" stopIfTrue="1">
      <formula>LEN(TRIM(AK41))=0</formula>
    </cfRule>
  </conditionalFormatting>
  <conditionalFormatting sqref="AK41:AK47">
    <cfRule type="expression" dxfId="1286" priority="308" stopIfTrue="1">
      <formula>SUM($AK$41:$AK$47)&lt;&gt;1</formula>
    </cfRule>
  </conditionalFormatting>
  <conditionalFormatting sqref="AK41:AK47">
    <cfRule type="notContainsBlanks" dxfId="1285" priority="309" stopIfTrue="1">
      <formula>LEN(TRIM(AK41))&gt;0</formula>
    </cfRule>
  </conditionalFormatting>
  <conditionalFormatting sqref="E32:E38">
    <cfRule type="containsBlanks" dxfId="1284" priority="324" stopIfTrue="1">
      <formula>LEN(TRIM(E32))=0</formula>
    </cfRule>
    <cfRule type="expression" dxfId="1283" priority="325" stopIfTrue="1">
      <formula>SUM($E$32:$E$38)&lt;&gt;1</formula>
    </cfRule>
    <cfRule type="notContainsBlanks" dxfId="1282" priority="326" stopIfTrue="1">
      <formula>LEN(TRIM(E32))&gt;0</formula>
    </cfRule>
  </conditionalFormatting>
  <conditionalFormatting sqref="F32:F38">
    <cfRule type="containsBlanks" dxfId="1281" priority="327" stopIfTrue="1">
      <formula>LEN(TRIM(F32))=0</formula>
    </cfRule>
    <cfRule type="expression" dxfId="1280" priority="328" stopIfTrue="1">
      <formula>SUM($F$32:$F$38)&lt;&gt;1</formula>
    </cfRule>
    <cfRule type="notContainsBlanks" dxfId="1279" priority="329" stopIfTrue="1">
      <formula>LEN(TRIM(F32))&gt;0</formula>
    </cfRule>
  </conditionalFormatting>
  <conditionalFormatting sqref="G32:G38">
    <cfRule type="containsBlanks" dxfId="1278" priority="330" stopIfTrue="1">
      <formula>LEN(TRIM(G32))=0</formula>
    </cfRule>
    <cfRule type="expression" dxfId="1277" priority="331" stopIfTrue="1">
      <formula>SUM($G$32:$G$38)&lt;&gt;1</formula>
    </cfRule>
    <cfRule type="notContainsBlanks" dxfId="1276" priority="332" stopIfTrue="1">
      <formula>LEN(TRIM(G32))&gt;0</formula>
    </cfRule>
  </conditionalFormatting>
  <conditionalFormatting sqref="H32:H38">
    <cfRule type="containsBlanks" dxfId="1275" priority="333" stopIfTrue="1">
      <formula>LEN(TRIM(H32))=0</formula>
    </cfRule>
    <cfRule type="expression" dxfId="1274" priority="334" stopIfTrue="1">
      <formula>SUM($H$32:$H$38)&lt;&gt;1</formula>
    </cfRule>
    <cfRule type="notContainsBlanks" dxfId="1273" priority="335" stopIfTrue="1">
      <formula>LEN(TRIM(H32))&gt;0</formula>
    </cfRule>
  </conditionalFormatting>
  <conditionalFormatting sqref="I32:I38">
    <cfRule type="containsBlanks" dxfId="1272" priority="336" stopIfTrue="1">
      <formula>LEN(TRIM(I32))=0</formula>
    </cfRule>
    <cfRule type="expression" dxfId="1271" priority="337" stopIfTrue="1">
      <formula>SUM($I$32:$I$38)&lt;&gt;1</formula>
    </cfRule>
    <cfRule type="notContainsBlanks" dxfId="1270" priority="338" stopIfTrue="1">
      <formula>LEN(TRIM(I32))&gt;0</formula>
    </cfRule>
  </conditionalFormatting>
  <conditionalFormatting sqref="J32:J38">
    <cfRule type="containsBlanks" dxfId="1269" priority="339" stopIfTrue="1">
      <formula>LEN(TRIM(J32))=0</formula>
    </cfRule>
    <cfRule type="expression" dxfId="1268" priority="340" stopIfTrue="1">
      <formula>SUM($J$32:$J$38)&lt;&gt;1</formula>
    </cfRule>
    <cfRule type="notContainsBlanks" dxfId="1267" priority="341" stopIfTrue="1">
      <formula>LEN(TRIM(J32))&gt;0</formula>
    </cfRule>
  </conditionalFormatting>
  <conditionalFormatting sqref="K32:K38">
    <cfRule type="containsBlanks" dxfId="1266" priority="342" stopIfTrue="1">
      <formula>LEN(TRIM(K32))=0</formula>
    </cfRule>
  </conditionalFormatting>
  <conditionalFormatting sqref="K32:K38">
    <cfRule type="expression" dxfId="1265" priority="343" stopIfTrue="1">
      <formula>SUM($K$32:$K$38)&lt;&gt;1</formula>
    </cfRule>
  </conditionalFormatting>
  <conditionalFormatting sqref="K32:K38">
    <cfRule type="notContainsBlanks" dxfId="1264" priority="344" stopIfTrue="1">
      <formula>LEN(TRIM(K32))&gt;0</formula>
    </cfRule>
  </conditionalFormatting>
  <conditionalFormatting sqref="L32:L38">
    <cfRule type="containsBlanks" dxfId="1263" priority="345" stopIfTrue="1">
      <formula>LEN(TRIM(L32))=0</formula>
    </cfRule>
  </conditionalFormatting>
  <conditionalFormatting sqref="L32:L38">
    <cfRule type="expression" dxfId="1262" priority="346" stopIfTrue="1">
      <formula>SUM($L$32:$L$38)&lt;&gt;1</formula>
    </cfRule>
  </conditionalFormatting>
  <conditionalFormatting sqref="L32:L38">
    <cfRule type="notContainsBlanks" dxfId="1261" priority="347" stopIfTrue="1">
      <formula>LEN(TRIM(L32))&gt;0</formula>
    </cfRule>
  </conditionalFormatting>
  <conditionalFormatting sqref="M32:M38">
    <cfRule type="containsBlanks" dxfId="1260" priority="348" stopIfTrue="1">
      <formula>LEN(TRIM(M32))=0</formula>
    </cfRule>
  </conditionalFormatting>
  <conditionalFormatting sqref="M32:M38">
    <cfRule type="expression" dxfId="1259" priority="349" stopIfTrue="1">
      <formula>SUM($M$32:$M$38)&lt;&gt;1</formula>
    </cfRule>
  </conditionalFormatting>
  <conditionalFormatting sqref="M32:M38">
    <cfRule type="notContainsBlanks" dxfId="1258" priority="350" stopIfTrue="1">
      <formula>LEN(TRIM(M32))&gt;0</formula>
    </cfRule>
  </conditionalFormatting>
  <conditionalFormatting sqref="N32:N38">
    <cfRule type="containsBlanks" dxfId="1257" priority="351" stopIfTrue="1">
      <formula>LEN(TRIM(N32))=0</formula>
    </cfRule>
  </conditionalFormatting>
  <conditionalFormatting sqref="N32:N38">
    <cfRule type="expression" dxfId="1256" priority="352" stopIfTrue="1">
      <formula>SUM($N$32:$N$38)&lt;&gt;1</formula>
    </cfRule>
  </conditionalFormatting>
  <conditionalFormatting sqref="N32:N38">
    <cfRule type="notContainsBlanks" dxfId="1255" priority="353" stopIfTrue="1">
      <formula>LEN(TRIM(N32))&gt;0</formula>
    </cfRule>
  </conditionalFormatting>
  <conditionalFormatting sqref="O32:O38">
    <cfRule type="containsBlanks" dxfId="1254" priority="354" stopIfTrue="1">
      <formula>LEN(TRIM(O32))=0</formula>
    </cfRule>
  </conditionalFormatting>
  <conditionalFormatting sqref="O32:O38">
    <cfRule type="expression" dxfId="1253" priority="355" stopIfTrue="1">
      <formula>SUM($O$32:$O$38)&lt;&gt;1</formula>
    </cfRule>
  </conditionalFormatting>
  <conditionalFormatting sqref="O32:O38">
    <cfRule type="notContainsBlanks" dxfId="1252" priority="356" stopIfTrue="1">
      <formula>LEN(TRIM(O32))&gt;0</formula>
    </cfRule>
  </conditionalFormatting>
  <conditionalFormatting sqref="P32:P38">
    <cfRule type="containsBlanks" dxfId="1251" priority="357" stopIfTrue="1">
      <formula>LEN(TRIM(P32))=0</formula>
    </cfRule>
  </conditionalFormatting>
  <conditionalFormatting sqref="P32:P38">
    <cfRule type="expression" dxfId="1250" priority="358" stopIfTrue="1">
      <formula>SUM($P$32:$P$38)&lt;&gt;1</formula>
    </cfRule>
  </conditionalFormatting>
  <conditionalFormatting sqref="P32:P38">
    <cfRule type="notContainsBlanks" dxfId="1249" priority="359" stopIfTrue="1">
      <formula>LEN(TRIM(P32))&gt;0</formula>
    </cfRule>
  </conditionalFormatting>
  <conditionalFormatting sqref="Q32:Q38">
    <cfRule type="containsBlanks" dxfId="1248" priority="360" stopIfTrue="1">
      <formula>LEN(TRIM(Q32))=0</formula>
    </cfRule>
  </conditionalFormatting>
  <conditionalFormatting sqref="Q32:Q38">
    <cfRule type="expression" dxfId="1247" priority="361" stopIfTrue="1">
      <formula>SUM($Q$32:$Q$38)&lt;&gt;1</formula>
    </cfRule>
  </conditionalFormatting>
  <conditionalFormatting sqref="Q32:Q38">
    <cfRule type="notContainsBlanks" dxfId="1246" priority="362" stopIfTrue="1">
      <formula>LEN(TRIM(Q32))&gt;0</formula>
    </cfRule>
  </conditionalFormatting>
  <conditionalFormatting sqref="R32:R38">
    <cfRule type="containsBlanks" dxfId="1245" priority="363" stopIfTrue="1">
      <formula>LEN(TRIM(R32))=0</formula>
    </cfRule>
  </conditionalFormatting>
  <conditionalFormatting sqref="R32:R38">
    <cfRule type="expression" dxfId="1244" priority="364" stopIfTrue="1">
      <formula>SUM($R$32:$R$38)&lt;&gt;1</formula>
    </cfRule>
  </conditionalFormatting>
  <conditionalFormatting sqref="R32:R38">
    <cfRule type="notContainsBlanks" dxfId="1243" priority="365" stopIfTrue="1">
      <formula>LEN(TRIM(R32))&gt;0</formula>
    </cfRule>
  </conditionalFormatting>
  <conditionalFormatting sqref="S32:S38">
    <cfRule type="containsBlanks" dxfId="1242" priority="366" stopIfTrue="1">
      <formula>LEN(TRIM(S32))=0</formula>
    </cfRule>
  </conditionalFormatting>
  <conditionalFormatting sqref="S32:S38">
    <cfRule type="expression" dxfId="1241" priority="367" stopIfTrue="1">
      <formula>SUM($S$32:$S$38)&lt;&gt;1</formula>
    </cfRule>
  </conditionalFormatting>
  <conditionalFormatting sqref="S32:S38">
    <cfRule type="notContainsBlanks" dxfId="1240" priority="368" stopIfTrue="1">
      <formula>LEN(TRIM(S32))&gt;0</formula>
    </cfRule>
  </conditionalFormatting>
  <conditionalFormatting sqref="T32:T38">
    <cfRule type="containsBlanks" dxfId="1239" priority="369" stopIfTrue="1">
      <formula>LEN(TRIM(T32))=0</formula>
    </cfRule>
  </conditionalFormatting>
  <conditionalFormatting sqref="T32:T38">
    <cfRule type="expression" dxfId="1238" priority="370" stopIfTrue="1">
      <formula>SUM($T$32:$T$38)&lt;&gt;1</formula>
    </cfRule>
  </conditionalFormatting>
  <conditionalFormatting sqref="T32:T38">
    <cfRule type="notContainsBlanks" dxfId="1237" priority="371" stopIfTrue="1">
      <formula>LEN(TRIM(T32))&gt;0</formula>
    </cfRule>
  </conditionalFormatting>
  <conditionalFormatting sqref="U32:U38">
    <cfRule type="containsBlanks" dxfId="1236" priority="372" stopIfTrue="1">
      <formula>LEN(TRIM(U32))=0</formula>
    </cfRule>
  </conditionalFormatting>
  <conditionalFormatting sqref="U32:U38">
    <cfRule type="expression" dxfId="1235" priority="373" stopIfTrue="1">
      <formula>SUM($U$32:$U$38)&lt;&gt;1</formula>
    </cfRule>
  </conditionalFormatting>
  <conditionalFormatting sqref="U32:U38">
    <cfRule type="notContainsBlanks" dxfId="1234" priority="374" stopIfTrue="1">
      <formula>LEN(TRIM(U32))&gt;0</formula>
    </cfRule>
  </conditionalFormatting>
  <conditionalFormatting sqref="V32:V38">
    <cfRule type="containsBlanks" dxfId="1233" priority="375" stopIfTrue="1">
      <formula>LEN(TRIM(V32))=0</formula>
    </cfRule>
  </conditionalFormatting>
  <conditionalFormatting sqref="V32:V38">
    <cfRule type="expression" dxfId="1232" priority="376" stopIfTrue="1">
      <formula>SUM($V$32:$V$38)&lt;&gt;1</formula>
    </cfRule>
  </conditionalFormatting>
  <conditionalFormatting sqref="V32:V38">
    <cfRule type="notContainsBlanks" dxfId="1231" priority="377" stopIfTrue="1">
      <formula>LEN(TRIM(V32))&gt;0</formula>
    </cfRule>
  </conditionalFormatting>
  <conditionalFormatting sqref="W32:W38">
    <cfRule type="containsBlanks" dxfId="1230" priority="378" stopIfTrue="1">
      <formula>LEN(TRIM(W32))=0</formula>
    </cfRule>
  </conditionalFormatting>
  <conditionalFormatting sqref="W32:W38">
    <cfRule type="expression" dxfId="1229" priority="379" stopIfTrue="1">
      <formula>SUM($W$32:$W$38)&lt;&gt;1</formula>
    </cfRule>
  </conditionalFormatting>
  <conditionalFormatting sqref="W32:W38">
    <cfRule type="notContainsBlanks" dxfId="1228" priority="380" stopIfTrue="1">
      <formula>LEN(TRIM(W32))&gt;0</formula>
    </cfRule>
  </conditionalFormatting>
  <conditionalFormatting sqref="X32:X38">
    <cfRule type="containsBlanks" dxfId="1227" priority="381" stopIfTrue="1">
      <formula>LEN(TRIM(X32))=0</formula>
    </cfRule>
  </conditionalFormatting>
  <conditionalFormatting sqref="X32:X38">
    <cfRule type="expression" dxfId="1226" priority="382" stopIfTrue="1">
      <formula>SUM($X$32:$X$38)&lt;&gt;1</formula>
    </cfRule>
  </conditionalFormatting>
  <conditionalFormatting sqref="X32:X38">
    <cfRule type="notContainsBlanks" dxfId="1225" priority="383" stopIfTrue="1">
      <formula>LEN(TRIM(X32))&gt;0</formula>
    </cfRule>
  </conditionalFormatting>
  <conditionalFormatting sqref="Y32:Y38">
    <cfRule type="containsBlanks" dxfId="1224" priority="384" stopIfTrue="1">
      <formula>LEN(TRIM(Y32))=0</formula>
    </cfRule>
  </conditionalFormatting>
  <conditionalFormatting sqref="Y32:Y38">
    <cfRule type="expression" dxfId="1223" priority="385" stopIfTrue="1">
      <formula>SUM($Y$32:$Y$38)&lt;&gt;1</formula>
    </cfRule>
  </conditionalFormatting>
  <conditionalFormatting sqref="Y32:Y38">
    <cfRule type="notContainsBlanks" dxfId="1222" priority="386" stopIfTrue="1">
      <formula>LEN(TRIM(Y32))&gt;0</formula>
    </cfRule>
  </conditionalFormatting>
  <conditionalFormatting sqref="Z32:Z38">
    <cfRule type="containsBlanks" dxfId="1221" priority="387" stopIfTrue="1">
      <formula>LEN(TRIM(Z32))=0</formula>
    </cfRule>
  </conditionalFormatting>
  <conditionalFormatting sqref="Z32:Z38">
    <cfRule type="expression" dxfId="1220" priority="388" stopIfTrue="1">
      <formula>SUM($Z$32:$Z$38)&lt;&gt;1</formula>
    </cfRule>
  </conditionalFormatting>
  <conditionalFormatting sqref="Z32:Z38">
    <cfRule type="notContainsBlanks" dxfId="1219" priority="389" stopIfTrue="1">
      <formula>LEN(TRIM(Z32))&gt;0</formula>
    </cfRule>
  </conditionalFormatting>
  <conditionalFormatting sqref="AA32:AA38">
    <cfRule type="containsBlanks" dxfId="1218" priority="390" stopIfTrue="1">
      <formula>LEN(TRIM(AA32))=0</formula>
    </cfRule>
  </conditionalFormatting>
  <conditionalFormatting sqref="AA32:AA38">
    <cfRule type="expression" dxfId="1217" priority="391" stopIfTrue="1">
      <formula>SUM($AA$32:$AA$38)&lt;&gt;1</formula>
    </cfRule>
  </conditionalFormatting>
  <conditionalFormatting sqref="AA32:AA38">
    <cfRule type="notContainsBlanks" dxfId="1216" priority="392" stopIfTrue="1">
      <formula>LEN(TRIM(AA32))&gt;0</formula>
    </cfRule>
  </conditionalFormatting>
  <conditionalFormatting sqref="AB32:AB38">
    <cfRule type="containsBlanks" dxfId="1215" priority="393" stopIfTrue="1">
      <formula>LEN(TRIM(AB32))=0</formula>
    </cfRule>
  </conditionalFormatting>
  <conditionalFormatting sqref="AB32:AB38">
    <cfRule type="expression" dxfId="1214" priority="394" stopIfTrue="1">
      <formula>SUM($AB$32:$AB$38)&lt;&gt;1</formula>
    </cfRule>
  </conditionalFormatting>
  <conditionalFormatting sqref="AB32:AB38">
    <cfRule type="notContainsBlanks" dxfId="1213" priority="395" stopIfTrue="1">
      <formula>LEN(TRIM(AB32))&gt;0</formula>
    </cfRule>
  </conditionalFormatting>
  <conditionalFormatting sqref="AC32:AC38">
    <cfRule type="containsBlanks" dxfId="1212" priority="396" stopIfTrue="1">
      <formula>LEN(TRIM(AC32))=0</formula>
    </cfRule>
  </conditionalFormatting>
  <conditionalFormatting sqref="AC32:AC38">
    <cfRule type="expression" dxfId="1211" priority="397" stopIfTrue="1">
      <formula>SUM($AC$32:$AC$38)&lt;&gt;1</formula>
    </cfRule>
  </conditionalFormatting>
  <conditionalFormatting sqref="AC32:AC38">
    <cfRule type="notContainsBlanks" dxfId="1210" priority="398" stopIfTrue="1">
      <formula>LEN(TRIM(AC32))&gt;0</formula>
    </cfRule>
  </conditionalFormatting>
  <conditionalFormatting sqref="AD32:AD38">
    <cfRule type="containsBlanks" dxfId="1209" priority="399" stopIfTrue="1">
      <formula>LEN(TRIM(AD32))=0</formula>
    </cfRule>
  </conditionalFormatting>
  <conditionalFormatting sqref="AD32:AD38">
    <cfRule type="expression" dxfId="1208" priority="400" stopIfTrue="1">
      <formula>SUM($AD$32:$AD$38)&lt;&gt;1</formula>
    </cfRule>
  </conditionalFormatting>
  <conditionalFormatting sqref="AD32:AD38">
    <cfRule type="notContainsBlanks" dxfId="1207" priority="401" stopIfTrue="1">
      <formula>LEN(TRIM(AD32))&gt;0</formula>
    </cfRule>
  </conditionalFormatting>
  <conditionalFormatting sqref="AE32:AE38">
    <cfRule type="containsBlanks" dxfId="1206" priority="402" stopIfTrue="1">
      <formula>LEN(TRIM(AE32))=0</formula>
    </cfRule>
  </conditionalFormatting>
  <conditionalFormatting sqref="AE32:AE38">
    <cfRule type="expression" dxfId="1205" priority="403" stopIfTrue="1">
      <formula>SUM($AE$32:$AE$38)&lt;&gt;1</formula>
    </cfRule>
  </conditionalFormatting>
  <conditionalFormatting sqref="AE32:AE38">
    <cfRule type="notContainsBlanks" dxfId="1204" priority="404" stopIfTrue="1">
      <formula>LEN(TRIM(AE32))&gt;0</formula>
    </cfRule>
  </conditionalFormatting>
  <conditionalFormatting sqref="AF32:AF38">
    <cfRule type="containsBlanks" dxfId="1203" priority="405" stopIfTrue="1">
      <formula>LEN(TRIM(AF32))=0</formula>
    </cfRule>
  </conditionalFormatting>
  <conditionalFormatting sqref="AF32:AF38">
    <cfRule type="expression" dxfId="1202" priority="406" stopIfTrue="1">
      <formula>SUM($AF$32:$AF$38)&lt;&gt;1</formula>
    </cfRule>
  </conditionalFormatting>
  <conditionalFormatting sqref="AF32:AF38">
    <cfRule type="notContainsBlanks" dxfId="1201" priority="407" stopIfTrue="1">
      <formula>LEN(TRIM(AF32))&gt;0</formula>
    </cfRule>
  </conditionalFormatting>
  <conditionalFormatting sqref="AG32:AG38">
    <cfRule type="containsBlanks" dxfId="1200" priority="408" stopIfTrue="1">
      <formula>LEN(TRIM(AG32))=0</formula>
    </cfRule>
  </conditionalFormatting>
  <conditionalFormatting sqref="AG32:AG38">
    <cfRule type="expression" dxfId="1199" priority="409" stopIfTrue="1">
      <formula>SUM($AG$32:$AG$38)&lt;&gt;1</formula>
    </cfRule>
  </conditionalFormatting>
  <conditionalFormatting sqref="AG32:AG38">
    <cfRule type="notContainsBlanks" dxfId="1198" priority="410" stopIfTrue="1">
      <formula>LEN(TRIM(AG32))&gt;0</formula>
    </cfRule>
  </conditionalFormatting>
  <conditionalFormatting sqref="AH32:AH38">
    <cfRule type="containsBlanks" dxfId="1197" priority="411" stopIfTrue="1">
      <formula>LEN(TRIM(AH32))=0</formula>
    </cfRule>
  </conditionalFormatting>
  <conditionalFormatting sqref="AH32:AH38">
    <cfRule type="expression" dxfId="1196" priority="412" stopIfTrue="1">
      <formula>SUM($AH$32:$AH$38)&lt;&gt;1</formula>
    </cfRule>
  </conditionalFormatting>
  <conditionalFormatting sqref="AH32:AH38">
    <cfRule type="notContainsBlanks" dxfId="1195" priority="413" stopIfTrue="1">
      <formula>LEN(TRIM(AH32))&gt;0</formula>
    </cfRule>
  </conditionalFormatting>
  <conditionalFormatting sqref="AI32:AI38">
    <cfRule type="containsBlanks" dxfId="1194" priority="414" stopIfTrue="1">
      <formula>LEN(TRIM(AI32))=0</formula>
    </cfRule>
  </conditionalFormatting>
  <conditionalFormatting sqref="AI32:AI38">
    <cfRule type="expression" dxfId="1193" priority="415" stopIfTrue="1">
      <formula>SUM($AI$32:$AI$38)&lt;&gt;1</formula>
    </cfRule>
  </conditionalFormatting>
  <conditionalFormatting sqref="AI32:AI38">
    <cfRule type="notContainsBlanks" dxfId="1192" priority="416" stopIfTrue="1">
      <formula>LEN(TRIM(AI32))&gt;0</formula>
    </cfRule>
  </conditionalFormatting>
  <conditionalFormatting sqref="AJ32:AJ38">
    <cfRule type="containsBlanks" dxfId="1191" priority="417" stopIfTrue="1">
      <formula>LEN(TRIM(AJ32))=0</formula>
    </cfRule>
  </conditionalFormatting>
  <conditionalFormatting sqref="AJ32:AJ38">
    <cfRule type="expression" dxfId="1190" priority="418" stopIfTrue="1">
      <formula>SUM($AJ$32:$AJ$38)&lt;&gt;1</formula>
    </cfRule>
  </conditionalFormatting>
  <conditionalFormatting sqref="AJ32:AJ38">
    <cfRule type="notContainsBlanks" dxfId="1189" priority="419" stopIfTrue="1">
      <formula>LEN(TRIM(AJ32))&gt;0</formula>
    </cfRule>
  </conditionalFormatting>
  <conditionalFormatting sqref="AK32:AK38">
    <cfRule type="containsBlanks" dxfId="1188" priority="420" stopIfTrue="1">
      <formula>LEN(TRIM(AK32))=0</formula>
    </cfRule>
  </conditionalFormatting>
  <conditionalFormatting sqref="AK32:AK38">
    <cfRule type="expression" dxfId="1187" priority="421" stopIfTrue="1">
      <formula>SUM($AK$32:$AK$38)&lt;&gt;1</formula>
    </cfRule>
  </conditionalFormatting>
  <conditionalFormatting sqref="AK32:AK38">
    <cfRule type="notContainsBlanks" dxfId="1186" priority="422" stopIfTrue="1">
      <formula>LEN(TRIM(AK32))&gt;0</formula>
    </cfRule>
  </conditionalFormatting>
  <conditionalFormatting sqref="E21:AK21">
    <cfRule type="containsBlanks" dxfId="1185" priority="423" stopIfTrue="1">
      <formula>LEN(TRIM(E21))=0</formula>
    </cfRule>
  </conditionalFormatting>
  <conditionalFormatting sqref="E21:AK21">
    <cfRule type="notContainsBlanks" dxfId="1184" priority="424" stopIfTrue="1">
      <formula>LEN(TRIM(E21))&gt;0</formula>
    </cfRule>
  </conditionalFormatting>
  <conditionalFormatting sqref="E22:AK22">
    <cfRule type="containsBlanks" dxfId="1183" priority="425" stopIfTrue="1">
      <formula>LEN(TRIM(E22))=0</formula>
    </cfRule>
  </conditionalFormatting>
  <conditionalFormatting sqref="E22:AK22">
    <cfRule type="notContainsBlanks" dxfId="1182" priority="426" stopIfTrue="1">
      <formula>LEN(TRIM(E22))&gt;0</formula>
    </cfRule>
  </conditionalFormatting>
  <conditionalFormatting sqref="E24:AK24">
    <cfRule type="containsBlanks" dxfId="1181" priority="427" stopIfTrue="1">
      <formula>LEN(TRIM(E24))=0</formula>
    </cfRule>
  </conditionalFormatting>
  <conditionalFormatting sqref="E24:AK24">
    <cfRule type="notContainsBlanks" dxfId="1180" priority="428" stopIfTrue="1">
      <formula>LEN(TRIM(E24))&gt;0</formula>
    </cfRule>
  </conditionalFormatting>
  <conditionalFormatting sqref="E26:AK26">
    <cfRule type="containsBlanks" dxfId="1179" priority="429" stopIfTrue="1">
      <formula>LEN(TRIM(E26))=0</formula>
    </cfRule>
  </conditionalFormatting>
  <conditionalFormatting sqref="E26:AK26">
    <cfRule type="notContainsBlanks" dxfId="1178" priority="430" stopIfTrue="1">
      <formula>LEN(TRIM(E26))&gt;0</formula>
    </cfRule>
  </conditionalFormatting>
  <conditionalFormatting sqref="E27:AK27">
    <cfRule type="containsBlanks" dxfId="1177" priority="431" stopIfTrue="1">
      <formula>LEN(TRIM(E27))=0</formula>
    </cfRule>
  </conditionalFormatting>
  <conditionalFormatting sqref="E27:AK27">
    <cfRule type="notContainsBlanks" dxfId="1176" priority="432" stopIfTrue="1">
      <formula>LEN(TRIM(E27))&gt;0</formula>
    </cfRule>
  </conditionalFormatting>
  <conditionalFormatting sqref="E29:AK29">
    <cfRule type="containsBlanks" dxfId="1175" priority="433" stopIfTrue="1">
      <formula>LEN(TRIM(E29))=0</formula>
    </cfRule>
  </conditionalFormatting>
  <conditionalFormatting sqref="E29:AK29">
    <cfRule type="notContainsBlanks" dxfId="1174" priority="434" stopIfTrue="1">
      <formula>LEN(TRIM(E29))&gt;0</formula>
    </cfRule>
  </conditionalFormatting>
  <conditionalFormatting sqref="E13:AK13">
    <cfRule type="containsBlanks" dxfId="1173" priority="435" stopIfTrue="1">
      <formula>LEN(TRIM(E13))=0</formula>
    </cfRule>
  </conditionalFormatting>
  <conditionalFormatting sqref="E13:AK13">
    <cfRule type="notContainsBlanks" dxfId="1172" priority="436" stopIfTrue="1">
      <formula>LEN(TRIM(E13))&gt;0</formula>
    </cfRule>
  </conditionalFormatting>
  <conditionalFormatting sqref="E14:AK14">
    <cfRule type="containsBlanks" dxfId="1171" priority="437" stopIfTrue="1">
      <formula>LEN(TRIM(E14))=0</formula>
    </cfRule>
  </conditionalFormatting>
  <conditionalFormatting sqref="E14:AK14">
    <cfRule type="notContainsBlanks" dxfId="1170" priority="438" stopIfTrue="1">
      <formula>LEN(TRIM(E14))&gt;0</formula>
    </cfRule>
  </conditionalFormatting>
  <conditionalFormatting sqref="E15:AK15">
    <cfRule type="containsBlanks" dxfId="1169" priority="439" stopIfTrue="1">
      <formula>LEN(TRIM(E15))=0</formula>
    </cfRule>
  </conditionalFormatting>
  <conditionalFormatting sqref="E15:AK15">
    <cfRule type="notContainsBlanks" dxfId="1168" priority="440" stopIfTrue="1">
      <formula>LEN(TRIM(E15))&gt;0</formula>
    </cfRule>
  </conditionalFormatting>
  <conditionalFormatting sqref="E17:AK17">
    <cfRule type="containsBlanks" dxfId="1167" priority="441" stopIfTrue="1">
      <formula>LEN(TRIM(E17))=0</formula>
    </cfRule>
  </conditionalFormatting>
  <conditionalFormatting sqref="E17:AK17">
    <cfRule type="notContainsBlanks" dxfId="1166" priority="442" stopIfTrue="1">
      <formula>LEN(TRIM(E17))&gt;0</formula>
    </cfRule>
  </conditionalFormatting>
  <conditionalFormatting sqref="E5:AK5">
    <cfRule type="containsBlanks" dxfId="1165" priority="443" stopIfTrue="1">
      <formula>LEN(TRIM(E5))=0</formula>
    </cfRule>
  </conditionalFormatting>
  <conditionalFormatting sqref="E5:AK5">
    <cfRule type="notContainsBlanks" dxfId="1164" priority="444" stopIfTrue="1">
      <formula>LEN(TRIM(E5))&gt;0</formula>
    </cfRule>
  </conditionalFormatting>
  <conditionalFormatting sqref="E6:AK6">
    <cfRule type="containsBlanks" dxfId="1163" priority="445" stopIfTrue="1">
      <formula>LEN(TRIM(E6))=0</formula>
    </cfRule>
  </conditionalFormatting>
  <conditionalFormatting sqref="E6:AK6">
    <cfRule type="notContainsBlanks" dxfId="1162" priority="446" stopIfTrue="1">
      <formula>LEN(TRIM(E6))&gt;0</formula>
    </cfRule>
  </conditionalFormatting>
  <conditionalFormatting sqref="E7:AK7">
    <cfRule type="containsBlanks" dxfId="1161" priority="447" stopIfTrue="1">
      <formula>LEN(TRIM(E7))=0</formula>
    </cfRule>
  </conditionalFormatting>
  <conditionalFormatting sqref="E7:AK7">
    <cfRule type="notContainsBlanks" dxfId="1160" priority="448" stopIfTrue="1">
      <formula>LEN(TRIM(E7))&gt;0</formula>
    </cfRule>
  </conditionalFormatting>
  <conditionalFormatting sqref="E9:AK9">
    <cfRule type="containsBlanks" dxfId="1159" priority="449" stopIfTrue="1">
      <formula>LEN(TRIM(E9))=0</formula>
    </cfRule>
  </conditionalFormatting>
  <conditionalFormatting sqref="E9:AK9">
    <cfRule type="notContainsBlanks" dxfId="1158" priority="450" stopIfTrue="1">
      <formula>LEN(TRIM(E9))&gt;0</formula>
    </cfRule>
  </conditionalFormatting>
  <pageMargins left="0.7" right="0.7" top="0.75" bottom="0.75" header="0.3" footer="0.3"/>
  <customProperties>
    <customPr name="IsPC"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Acme Engineering and Manufacturing Corp.</Received_x0020_From>
    <Docket_x0020_Number xmlns="8eef3743-c7b3-4cbe-8837-b6e805be353c">17-AAER-06</Docket_x0020_Number>
    <TaxCatchAll xmlns="8eef3743-c7b3-4cbe-8837-b6e805be353c">
      <Value>7</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5fee9918-69d5-40f5-9767-4e66d03898ce</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Z5JXHV6S7NA6-3-113001</_dlc_DocId>
    <_dlc_DocIdUrl xmlns="8eef3743-c7b3-4cbe-8837-b6e805be353c">
      <Url>http://efilingspinternal/_layouts/DocIdRedir.aspx?ID=Z5JXHV6S7NA6-3-113001</Url>
      <Description>Z5JXHV6S7NA6-3-113001</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5D0909-F3E2-4425-9E6D-0DE0B547765F}"/>
</file>

<file path=customXml/itemProps2.xml><?xml version="1.0" encoding="utf-8"?>
<ds:datastoreItem xmlns:ds="http://schemas.openxmlformats.org/officeDocument/2006/customXml" ds:itemID="{76432058-ED3B-44EC-8B3D-974A3F9400BB}"/>
</file>

<file path=customXml/itemProps3.xml><?xml version="1.0" encoding="utf-8"?>
<ds:datastoreItem xmlns:ds="http://schemas.openxmlformats.org/officeDocument/2006/customXml" ds:itemID="{C497BE77-2435-43C5-8640-790C1AEA3FE2}"/>
</file>

<file path=customXml/itemProps4.xml><?xml version="1.0" encoding="utf-8"?>
<ds:datastoreItem xmlns:ds="http://schemas.openxmlformats.org/officeDocument/2006/customXml" ds:itemID="{CE1B6204-4948-4D5D-8FFB-5B41DF7EAC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766</vt:i4>
      </vt:variant>
    </vt:vector>
  </HeadingPairs>
  <TitlesOfParts>
    <vt:vector size="785" baseType="lpstr">
      <vt:lpstr>Introduction</vt:lpstr>
      <vt:lpstr>Summary</vt:lpstr>
      <vt:lpstr>All Scenarios</vt:lpstr>
      <vt:lpstr>Axial Housed</vt:lpstr>
      <vt:lpstr>Axial Unhoused</vt:lpstr>
      <vt:lpstr>Centrif Housed</vt:lpstr>
      <vt:lpstr>Centrif Unhous</vt:lpstr>
      <vt:lpstr>Inline-Mixed</vt:lpstr>
      <vt:lpstr>Radial</vt:lpstr>
      <vt:lpstr>Power Roof Vent</vt:lpstr>
      <vt:lpstr>Shipments</vt:lpstr>
      <vt:lpstr>Price Index</vt:lpstr>
      <vt:lpstr>Energy Index</vt:lpstr>
      <vt:lpstr>Energy Factors</vt:lpstr>
      <vt:lpstr>Lifetime</vt:lpstr>
      <vt:lpstr>Energy Prices</vt:lpstr>
      <vt:lpstr>Tables</vt:lpstr>
      <vt:lpstr>LCC Inputs</vt:lpstr>
      <vt:lpstr>Sheet1</vt:lpstr>
      <vt:lpstr>_doName</vt:lpstr>
      <vt:lpstr>_doShort</vt:lpstr>
      <vt:lpstr>_EIdx</vt:lpstr>
      <vt:lpstr>_pcName</vt:lpstr>
      <vt:lpstr>_pcShort</vt:lpstr>
      <vt:lpstr>_PIdx</vt:lpstr>
      <vt:lpstr>_tslMap</vt:lpstr>
      <vt:lpstr>bcAxH</vt:lpstr>
      <vt:lpstr>bcAxU</vt:lpstr>
      <vt:lpstr>bcCnH</vt:lpstr>
      <vt:lpstr>bcCnU</vt:lpstr>
      <vt:lpstr>'Axial Housed'!bcEff</vt:lpstr>
      <vt:lpstr>'Axial Unhoused'!bcEff</vt:lpstr>
      <vt:lpstr>'Centrif Housed'!bcEff</vt:lpstr>
      <vt:lpstr>'Centrif Unhous'!bcEff</vt:lpstr>
      <vt:lpstr>'Inline-Mixed'!bcEff</vt:lpstr>
      <vt:lpstr>'Power Roof Vent'!bcEff</vt:lpstr>
      <vt:lpstr>Radial!bcEff</vt:lpstr>
      <vt:lpstr>bcInMx</vt:lpstr>
      <vt:lpstr>bcPRV</vt:lpstr>
      <vt:lpstr>bcRad</vt:lpstr>
      <vt:lpstr>dFactor</vt:lpstr>
      <vt:lpstr>dRate</vt:lpstr>
      <vt:lpstr>elecAxH</vt:lpstr>
      <vt:lpstr>elecAxU</vt:lpstr>
      <vt:lpstr>elecCnH</vt:lpstr>
      <vt:lpstr>elecCnU</vt:lpstr>
      <vt:lpstr>'Energy Factors'!elecFFC</vt:lpstr>
      <vt:lpstr>elecInMx</vt:lpstr>
      <vt:lpstr>'Energy Factors'!elecPrim</vt:lpstr>
      <vt:lpstr>elecPRV</vt:lpstr>
      <vt:lpstr>elecRad</vt:lpstr>
      <vt:lpstr>elecSecNIAp</vt:lpstr>
      <vt:lpstr>'Energy Factors'!elecSite</vt:lpstr>
      <vt:lpstr>instAxH</vt:lpstr>
      <vt:lpstr>instAxU</vt:lpstr>
      <vt:lpstr>instCnH</vt:lpstr>
      <vt:lpstr>instCnU</vt:lpstr>
      <vt:lpstr>instInMx</vt:lpstr>
      <vt:lpstr>instPRV</vt:lpstr>
      <vt:lpstr>instRad</vt:lpstr>
      <vt:lpstr>iTSL</vt:lpstr>
      <vt:lpstr>mrAxH</vt:lpstr>
      <vt:lpstr>mrAxU</vt:lpstr>
      <vt:lpstr>mrCnH</vt:lpstr>
      <vt:lpstr>mrCnU</vt:lpstr>
      <vt:lpstr>mrInMx</vt:lpstr>
      <vt:lpstr>mrPRV</vt:lpstr>
      <vt:lpstr>mrRad</vt:lpstr>
      <vt:lpstr>mspAxH</vt:lpstr>
      <vt:lpstr>mspAxU</vt:lpstr>
      <vt:lpstr>mspCnH</vt:lpstr>
      <vt:lpstr>mspCnU</vt:lpstr>
      <vt:lpstr>mspInMx</vt:lpstr>
      <vt:lpstr>mspPRV</vt:lpstr>
      <vt:lpstr>mspRad</vt:lpstr>
      <vt:lpstr>nPer</vt:lpstr>
      <vt:lpstr>'Axial Housed'!polEff</vt:lpstr>
      <vt:lpstr>'Axial Unhoused'!polEff</vt:lpstr>
      <vt:lpstr>'Centrif Housed'!polEff</vt:lpstr>
      <vt:lpstr>'Centrif Unhous'!polEff</vt:lpstr>
      <vt:lpstr>'Inline-Mixed'!polEff</vt:lpstr>
      <vt:lpstr>'Power Roof Vent'!polEff</vt:lpstr>
      <vt:lpstr>Radial!polEff</vt:lpstr>
      <vt:lpstr>'Axial Housed'!refEff</vt:lpstr>
      <vt:lpstr>'Axial Unhoused'!refEff</vt:lpstr>
      <vt:lpstr>'Centrif Housed'!refEff</vt:lpstr>
      <vt:lpstr>'Centrif Unhous'!refEff</vt:lpstr>
      <vt:lpstr>'Inline-Mixed'!refEff</vt:lpstr>
      <vt:lpstr>'Power Roof Vent'!refEff</vt:lpstr>
      <vt:lpstr>Radial!refEff</vt:lpstr>
      <vt:lpstr>sAEO</vt:lpstr>
      <vt:lpstr>sEIdxRef</vt:lpstr>
      <vt:lpstr>sEnergy</vt:lpstr>
      <vt:lpstr>sPer</vt:lpstr>
      <vt:lpstr>sPIdx</vt:lpstr>
      <vt:lpstr>sPIdxHigh</vt:lpstr>
      <vt:lpstr>sPIdxLow</vt:lpstr>
      <vt:lpstr>sPIdxRef</vt:lpstr>
      <vt:lpstr>Summ</vt:lpstr>
      <vt:lpstr>t</vt:lpstr>
      <vt:lpstr>'Axial Housed'!tbcEff0</vt:lpstr>
      <vt:lpstr>'Axial Unhoused'!tbcEff0</vt:lpstr>
      <vt:lpstr>'Centrif Housed'!tbcEff0</vt:lpstr>
      <vt:lpstr>'Centrif Unhous'!tbcEff0</vt:lpstr>
      <vt:lpstr>'Inline-Mixed'!tbcEff0</vt:lpstr>
      <vt:lpstr>'Power Roof Vent'!tbcEff0</vt:lpstr>
      <vt:lpstr>Radial!tbcEff0</vt:lpstr>
      <vt:lpstr>'Axial Housed'!tbcEff1</vt:lpstr>
      <vt:lpstr>'Axial Unhoused'!tbcEff1</vt:lpstr>
      <vt:lpstr>'Centrif Housed'!tbcEff1</vt:lpstr>
      <vt:lpstr>'Centrif Unhous'!tbcEff1</vt:lpstr>
      <vt:lpstr>'Inline-Mixed'!tbcEff1</vt:lpstr>
      <vt:lpstr>'Power Roof Vent'!tbcEff1</vt:lpstr>
      <vt:lpstr>Radial!tbcEff1</vt:lpstr>
      <vt:lpstr>'Axial Housed'!tbcEff2</vt:lpstr>
      <vt:lpstr>'Axial Unhoused'!tbcEff2</vt:lpstr>
      <vt:lpstr>'Centrif Housed'!tbcEff2</vt:lpstr>
      <vt:lpstr>'Centrif Unhous'!tbcEff2</vt:lpstr>
      <vt:lpstr>'Inline-Mixed'!tbcEff2</vt:lpstr>
      <vt:lpstr>'Power Roof Vent'!tbcEff2</vt:lpstr>
      <vt:lpstr>Radial!tbcEff2</vt:lpstr>
      <vt:lpstr>'Axial Housed'!tbcEff3</vt:lpstr>
      <vt:lpstr>'Axial Unhoused'!tbcEff3</vt:lpstr>
      <vt:lpstr>'Centrif Housed'!tbcEff3</vt:lpstr>
      <vt:lpstr>'Centrif Unhous'!tbcEff3</vt:lpstr>
      <vt:lpstr>'Inline-Mixed'!tbcEff3</vt:lpstr>
      <vt:lpstr>'Power Roof Vent'!tbcEff3</vt:lpstr>
      <vt:lpstr>Radial!tbcEff3</vt:lpstr>
      <vt:lpstr>'Axial Housed'!tbcEff4</vt:lpstr>
      <vt:lpstr>'Axial Unhoused'!tbcEff4</vt:lpstr>
      <vt:lpstr>'Centrif Housed'!tbcEff4</vt:lpstr>
      <vt:lpstr>'Centrif Unhous'!tbcEff4</vt:lpstr>
      <vt:lpstr>'Inline-Mixed'!tbcEff4</vt:lpstr>
      <vt:lpstr>'Power Roof Vent'!tbcEff4</vt:lpstr>
      <vt:lpstr>Radial!tbcEff4</vt:lpstr>
      <vt:lpstr>'Axial Housed'!tbcEff5</vt:lpstr>
      <vt:lpstr>'Axial Unhoused'!tbcEff5</vt:lpstr>
      <vt:lpstr>'Centrif Housed'!tbcEff5</vt:lpstr>
      <vt:lpstr>'Centrif Unhous'!tbcEff5</vt:lpstr>
      <vt:lpstr>'Inline-Mixed'!tbcEff5</vt:lpstr>
      <vt:lpstr>'Power Roof Vent'!tbcEff5</vt:lpstr>
      <vt:lpstr>Radial!tbcEff5</vt:lpstr>
      <vt:lpstr>'Axial Housed'!tbcEff6</vt:lpstr>
      <vt:lpstr>'Axial Unhoused'!tbcEff6</vt:lpstr>
      <vt:lpstr>'Centrif Housed'!tbcEff6</vt:lpstr>
      <vt:lpstr>'Centrif Unhous'!tbcEff6</vt:lpstr>
      <vt:lpstr>'Inline-Mixed'!tbcEff6</vt:lpstr>
      <vt:lpstr>'Power Roof Vent'!tbcEff6</vt:lpstr>
      <vt:lpstr>Radial!tbcEff6</vt:lpstr>
      <vt:lpstr>'Axial Housed'!tecs</vt:lpstr>
      <vt:lpstr>'Axial Unhoused'!tecs</vt:lpstr>
      <vt:lpstr>'Centrif Housed'!tecs</vt:lpstr>
      <vt:lpstr>'Centrif Unhous'!tecs</vt:lpstr>
      <vt:lpstr>'Inline-Mixed'!tecs</vt:lpstr>
      <vt:lpstr>'Power Roof Vent'!tecs</vt:lpstr>
      <vt:lpstr>Radial!tecs</vt:lpstr>
      <vt:lpstr>'Axial Housed'!tecsU</vt:lpstr>
      <vt:lpstr>'Axial Unhoused'!tecsU</vt:lpstr>
      <vt:lpstr>'Centrif Housed'!tecsU</vt:lpstr>
      <vt:lpstr>'Centrif Unhous'!tecsU</vt:lpstr>
      <vt:lpstr>'Inline-Mixed'!tecsU</vt:lpstr>
      <vt:lpstr>'Power Roof Vent'!tecsU</vt:lpstr>
      <vt:lpstr>Radial!tecsU</vt:lpstr>
      <vt:lpstr>tEIdxElec</vt:lpstr>
      <vt:lpstr>tEIdxElec1</vt:lpstr>
      <vt:lpstr>tEIdxElec2</vt:lpstr>
      <vt:lpstr>'Axial Housed'!tiec</vt:lpstr>
      <vt:lpstr>'Axial Unhoused'!tiec</vt:lpstr>
      <vt:lpstr>'Centrif Housed'!tiec</vt:lpstr>
      <vt:lpstr>'Centrif Unhous'!tiec</vt:lpstr>
      <vt:lpstr>'Inline-Mixed'!tiec</vt:lpstr>
      <vt:lpstr>'Power Roof Vent'!tiec</vt:lpstr>
      <vt:lpstr>Radial!tiec</vt:lpstr>
      <vt:lpstr>'Axial Housed'!tiecU</vt:lpstr>
      <vt:lpstr>'Axial Unhoused'!tiecU</vt:lpstr>
      <vt:lpstr>'Centrif Housed'!tiecU</vt:lpstr>
      <vt:lpstr>'Centrif Unhous'!tiecU</vt:lpstr>
      <vt:lpstr>'Inline-Mixed'!tiecU</vt:lpstr>
      <vt:lpstr>'Power Roof Vent'!tiecU</vt:lpstr>
      <vt:lpstr>Radial!tiecU</vt:lpstr>
      <vt:lpstr>'Axial Housed'!tlccEFubcElec0</vt:lpstr>
      <vt:lpstr>'Axial Unhoused'!tlccEFubcElec0</vt:lpstr>
      <vt:lpstr>'Centrif Housed'!tlccEFubcElec0</vt:lpstr>
      <vt:lpstr>'Centrif Unhous'!tlccEFubcElec0</vt:lpstr>
      <vt:lpstr>'Inline-Mixed'!tlccEFubcElec0</vt:lpstr>
      <vt:lpstr>'Power Roof Vent'!tlccEFubcElec0</vt:lpstr>
      <vt:lpstr>Radial!tlccEFubcElec0</vt:lpstr>
      <vt:lpstr>'Axial Housed'!tlccEFubcElec1</vt:lpstr>
      <vt:lpstr>'Axial Unhoused'!tlccEFubcElec1</vt:lpstr>
      <vt:lpstr>'Centrif Housed'!tlccEFubcElec1</vt:lpstr>
      <vt:lpstr>'Centrif Unhous'!tlccEFubcElec1</vt:lpstr>
      <vt:lpstr>'Inline-Mixed'!tlccEFubcElec1</vt:lpstr>
      <vt:lpstr>'Power Roof Vent'!tlccEFubcElec1</vt:lpstr>
      <vt:lpstr>Radial!tlccEFubcElec1</vt:lpstr>
      <vt:lpstr>'Axial Housed'!tlccEFubcElec2</vt:lpstr>
      <vt:lpstr>'Axial Unhoused'!tlccEFubcElec2</vt:lpstr>
      <vt:lpstr>'Centrif Housed'!tlccEFubcElec2</vt:lpstr>
      <vt:lpstr>'Centrif Unhous'!tlccEFubcElec2</vt:lpstr>
      <vt:lpstr>'Inline-Mixed'!tlccEFubcElec2</vt:lpstr>
      <vt:lpstr>'Power Roof Vent'!tlccEFubcElec2</vt:lpstr>
      <vt:lpstr>Radial!tlccEFubcElec2</vt:lpstr>
      <vt:lpstr>'Axial Housed'!tlccEFubcElec3</vt:lpstr>
      <vt:lpstr>'Axial Unhoused'!tlccEFubcElec3</vt:lpstr>
      <vt:lpstr>'Centrif Housed'!tlccEFubcElec3</vt:lpstr>
      <vt:lpstr>'Centrif Unhous'!tlccEFubcElec3</vt:lpstr>
      <vt:lpstr>'Inline-Mixed'!tlccEFubcElec3</vt:lpstr>
      <vt:lpstr>'Power Roof Vent'!tlccEFubcElec3</vt:lpstr>
      <vt:lpstr>Radial!tlccEFubcElec3</vt:lpstr>
      <vt:lpstr>'Axial Housed'!tlccEFubcElec4</vt:lpstr>
      <vt:lpstr>'Axial Unhoused'!tlccEFubcElec4</vt:lpstr>
      <vt:lpstr>'Centrif Housed'!tlccEFubcElec4</vt:lpstr>
      <vt:lpstr>'Centrif Unhous'!tlccEFubcElec4</vt:lpstr>
      <vt:lpstr>'Inline-Mixed'!tlccEFubcElec4</vt:lpstr>
      <vt:lpstr>'Power Roof Vent'!tlccEFubcElec4</vt:lpstr>
      <vt:lpstr>Radial!tlccEFubcElec4</vt:lpstr>
      <vt:lpstr>'Axial Housed'!tlccEFubcElec5</vt:lpstr>
      <vt:lpstr>'Axial Unhoused'!tlccEFubcElec5</vt:lpstr>
      <vt:lpstr>'Centrif Housed'!tlccEFubcElec5</vt:lpstr>
      <vt:lpstr>'Centrif Unhous'!tlccEFubcElec5</vt:lpstr>
      <vt:lpstr>'Inline-Mixed'!tlccEFubcElec5</vt:lpstr>
      <vt:lpstr>'Power Roof Vent'!tlccEFubcElec5</vt:lpstr>
      <vt:lpstr>Radial!tlccEFubcElec5</vt:lpstr>
      <vt:lpstr>'Axial Housed'!tlccEFubcElec6</vt:lpstr>
      <vt:lpstr>'Axial Unhoused'!tlccEFubcElec6</vt:lpstr>
      <vt:lpstr>'Centrif Housed'!tlccEFubcElec6</vt:lpstr>
      <vt:lpstr>'Centrif Unhous'!tlccEFubcElec6</vt:lpstr>
      <vt:lpstr>'Inline-Mixed'!tlccEFubcElec6</vt:lpstr>
      <vt:lpstr>'Power Roof Vent'!tlccEFubcElec6</vt:lpstr>
      <vt:lpstr>Radial!tlccEFubcElec6</vt:lpstr>
      <vt:lpstr>'Axial Housed'!tlccEFupolElec0</vt:lpstr>
      <vt:lpstr>'Axial Unhoused'!tlccEFupolElec0</vt:lpstr>
      <vt:lpstr>'Centrif Housed'!tlccEFupolElec0</vt:lpstr>
      <vt:lpstr>'Centrif Unhous'!tlccEFupolElec0</vt:lpstr>
      <vt:lpstr>'Inline-Mixed'!tlccEFupolElec0</vt:lpstr>
      <vt:lpstr>'Power Roof Vent'!tlccEFupolElec0</vt:lpstr>
      <vt:lpstr>Radial!tlccEFupolElec0</vt:lpstr>
      <vt:lpstr>'Axial Housed'!tlccEFupolElec1</vt:lpstr>
      <vt:lpstr>'Axial Unhoused'!tlccEFupolElec1</vt:lpstr>
      <vt:lpstr>'Centrif Housed'!tlccEFupolElec1</vt:lpstr>
      <vt:lpstr>'Centrif Unhous'!tlccEFupolElec1</vt:lpstr>
      <vt:lpstr>'Inline-Mixed'!tlccEFupolElec1</vt:lpstr>
      <vt:lpstr>'Power Roof Vent'!tlccEFupolElec1</vt:lpstr>
      <vt:lpstr>Radial!tlccEFupolElec1</vt:lpstr>
      <vt:lpstr>'Axial Housed'!tlccEFupolElec2</vt:lpstr>
      <vt:lpstr>'Axial Unhoused'!tlccEFupolElec2</vt:lpstr>
      <vt:lpstr>'Centrif Housed'!tlccEFupolElec2</vt:lpstr>
      <vt:lpstr>'Centrif Unhous'!tlccEFupolElec2</vt:lpstr>
      <vt:lpstr>'Inline-Mixed'!tlccEFupolElec2</vt:lpstr>
      <vt:lpstr>'Power Roof Vent'!tlccEFupolElec2</vt:lpstr>
      <vt:lpstr>Radial!tlccEFupolElec2</vt:lpstr>
      <vt:lpstr>'Axial Housed'!tlccEFupolElec3</vt:lpstr>
      <vt:lpstr>'Axial Unhoused'!tlccEFupolElec3</vt:lpstr>
      <vt:lpstr>'Centrif Housed'!tlccEFupolElec3</vt:lpstr>
      <vt:lpstr>'Centrif Unhous'!tlccEFupolElec3</vt:lpstr>
      <vt:lpstr>'Inline-Mixed'!tlccEFupolElec3</vt:lpstr>
      <vt:lpstr>'Power Roof Vent'!tlccEFupolElec3</vt:lpstr>
      <vt:lpstr>Radial!tlccEFupolElec3</vt:lpstr>
      <vt:lpstr>'Axial Housed'!tlccEFupolElec4</vt:lpstr>
      <vt:lpstr>'Axial Unhoused'!tlccEFupolElec4</vt:lpstr>
      <vt:lpstr>'Centrif Housed'!tlccEFupolElec4</vt:lpstr>
      <vt:lpstr>'Centrif Unhous'!tlccEFupolElec4</vt:lpstr>
      <vt:lpstr>'Inline-Mixed'!tlccEFupolElec4</vt:lpstr>
      <vt:lpstr>'Power Roof Vent'!tlccEFupolElec4</vt:lpstr>
      <vt:lpstr>Radial!tlccEFupolElec4</vt:lpstr>
      <vt:lpstr>'Axial Housed'!tlccEFupolElec5</vt:lpstr>
      <vt:lpstr>'Axial Unhoused'!tlccEFupolElec5</vt:lpstr>
      <vt:lpstr>'Centrif Housed'!tlccEFupolElec5</vt:lpstr>
      <vt:lpstr>'Centrif Unhous'!tlccEFupolElec5</vt:lpstr>
      <vt:lpstr>'Inline-Mixed'!tlccEFupolElec5</vt:lpstr>
      <vt:lpstr>'Power Roof Vent'!tlccEFupolElec5</vt:lpstr>
      <vt:lpstr>Radial!tlccEFupolElec5</vt:lpstr>
      <vt:lpstr>'Axial Housed'!tlccEFupolElec6</vt:lpstr>
      <vt:lpstr>'Axial Unhoused'!tlccEFupolElec6</vt:lpstr>
      <vt:lpstr>'Centrif Housed'!tlccEFupolElec6</vt:lpstr>
      <vt:lpstr>'Centrif Unhous'!tlccEFupolElec6</vt:lpstr>
      <vt:lpstr>'Inline-Mixed'!tlccEFupolElec6</vt:lpstr>
      <vt:lpstr>'Power Roof Vent'!tlccEFupolElec6</vt:lpstr>
      <vt:lpstr>Radial!tlccEFupolElec6</vt:lpstr>
      <vt:lpstr>'Axial Housed'!tlccEmbc</vt:lpstr>
      <vt:lpstr>'Axial Unhoused'!tlccEmbc</vt:lpstr>
      <vt:lpstr>'Centrif Housed'!tlccEmbc</vt:lpstr>
      <vt:lpstr>'Centrif Unhous'!tlccEmbc</vt:lpstr>
      <vt:lpstr>'Inline-Mixed'!tlccEmbc</vt:lpstr>
      <vt:lpstr>'Power Roof Vent'!tlccEmbc</vt:lpstr>
      <vt:lpstr>Radial!tlccEmbc</vt:lpstr>
      <vt:lpstr>'Axial Housed'!tlccEmpol</vt:lpstr>
      <vt:lpstr>'Axial Unhoused'!tlccEmpol</vt:lpstr>
      <vt:lpstr>'Centrif Housed'!tlccEmpol</vt:lpstr>
      <vt:lpstr>'Centrif Unhous'!tlccEmpol</vt:lpstr>
      <vt:lpstr>'Inline-Mixed'!tlccEmpol</vt:lpstr>
      <vt:lpstr>'Power Roof Vent'!tlccEmpol</vt:lpstr>
      <vt:lpstr>Radial!tlccEmpol</vt:lpstr>
      <vt:lpstr>'Axial Housed'!tlccEubc</vt:lpstr>
      <vt:lpstr>'Axial Unhoused'!tlccEubc</vt:lpstr>
      <vt:lpstr>'Centrif Housed'!tlccEubc</vt:lpstr>
      <vt:lpstr>'Centrif Unhous'!tlccEubc</vt:lpstr>
      <vt:lpstr>'Inline-Mixed'!tlccEubc</vt:lpstr>
      <vt:lpstr>'Power Roof Vent'!tlccEubc</vt:lpstr>
      <vt:lpstr>Radial!tlccEubc</vt:lpstr>
      <vt:lpstr>'Axial Housed'!tlccEubc0</vt:lpstr>
      <vt:lpstr>'Axial Unhoused'!tlccEubc0</vt:lpstr>
      <vt:lpstr>'Centrif Housed'!tlccEubc0</vt:lpstr>
      <vt:lpstr>'Centrif Unhous'!tlccEubc0</vt:lpstr>
      <vt:lpstr>'Inline-Mixed'!tlccEubc0</vt:lpstr>
      <vt:lpstr>'Power Roof Vent'!tlccEubc0</vt:lpstr>
      <vt:lpstr>Radial!tlccEubc0</vt:lpstr>
      <vt:lpstr>'Axial Housed'!tlccEubc1</vt:lpstr>
      <vt:lpstr>'Axial Unhoused'!tlccEubc1</vt:lpstr>
      <vt:lpstr>'Centrif Housed'!tlccEubc1</vt:lpstr>
      <vt:lpstr>'Centrif Unhous'!tlccEubc1</vt:lpstr>
      <vt:lpstr>'Inline-Mixed'!tlccEubc1</vt:lpstr>
      <vt:lpstr>'Power Roof Vent'!tlccEubc1</vt:lpstr>
      <vt:lpstr>Radial!tlccEubc1</vt:lpstr>
      <vt:lpstr>'Axial Housed'!tlccEubc2</vt:lpstr>
      <vt:lpstr>'Axial Unhoused'!tlccEubc2</vt:lpstr>
      <vt:lpstr>'Centrif Housed'!tlccEubc2</vt:lpstr>
      <vt:lpstr>'Centrif Unhous'!tlccEubc2</vt:lpstr>
      <vt:lpstr>'Inline-Mixed'!tlccEubc2</vt:lpstr>
      <vt:lpstr>'Power Roof Vent'!tlccEubc2</vt:lpstr>
      <vt:lpstr>Radial!tlccEubc2</vt:lpstr>
      <vt:lpstr>'Axial Housed'!tlccEubc3</vt:lpstr>
      <vt:lpstr>'Axial Unhoused'!tlccEubc3</vt:lpstr>
      <vt:lpstr>'Centrif Housed'!tlccEubc3</vt:lpstr>
      <vt:lpstr>'Centrif Unhous'!tlccEubc3</vt:lpstr>
      <vt:lpstr>'Inline-Mixed'!tlccEubc3</vt:lpstr>
      <vt:lpstr>'Power Roof Vent'!tlccEubc3</vt:lpstr>
      <vt:lpstr>Radial!tlccEubc3</vt:lpstr>
      <vt:lpstr>'Axial Housed'!tlccEubc4</vt:lpstr>
      <vt:lpstr>'Axial Unhoused'!tlccEubc4</vt:lpstr>
      <vt:lpstr>'Centrif Housed'!tlccEubc4</vt:lpstr>
      <vt:lpstr>'Centrif Unhous'!tlccEubc4</vt:lpstr>
      <vt:lpstr>'Inline-Mixed'!tlccEubc4</vt:lpstr>
      <vt:lpstr>'Power Roof Vent'!tlccEubc4</vt:lpstr>
      <vt:lpstr>Radial!tlccEubc4</vt:lpstr>
      <vt:lpstr>'Axial Housed'!tlccEubc5</vt:lpstr>
      <vt:lpstr>'Axial Unhoused'!tlccEubc5</vt:lpstr>
      <vt:lpstr>'Centrif Housed'!tlccEubc5</vt:lpstr>
      <vt:lpstr>'Centrif Unhous'!tlccEubc5</vt:lpstr>
      <vt:lpstr>'Inline-Mixed'!tlccEubc5</vt:lpstr>
      <vt:lpstr>'Power Roof Vent'!tlccEubc5</vt:lpstr>
      <vt:lpstr>Radial!tlccEubc5</vt:lpstr>
      <vt:lpstr>'Axial Housed'!tlccEubc6</vt:lpstr>
      <vt:lpstr>'Axial Unhoused'!tlccEubc6</vt:lpstr>
      <vt:lpstr>'Centrif Housed'!tlccEubc6</vt:lpstr>
      <vt:lpstr>'Centrif Unhous'!tlccEubc6</vt:lpstr>
      <vt:lpstr>'Inline-Mixed'!tlccEubc6</vt:lpstr>
      <vt:lpstr>'Power Roof Vent'!tlccEubc6</vt:lpstr>
      <vt:lpstr>Radial!tlccEubc6</vt:lpstr>
      <vt:lpstr>'Axial Housed'!tlccEupol</vt:lpstr>
      <vt:lpstr>'Axial Unhoused'!tlccEupol</vt:lpstr>
      <vt:lpstr>'Centrif Housed'!tlccEupol</vt:lpstr>
      <vt:lpstr>'Centrif Unhous'!tlccEupol</vt:lpstr>
      <vt:lpstr>'Inline-Mixed'!tlccEupol</vt:lpstr>
      <vt:lpstr>'Power Roof Vent'!tlccEupol</vt:lpstr>
      <vt:lpstr>Radial!tlccEupol</vt:lpstr>
      <vt:lpstr>'Axial Housed'!tlccEupol0</vt:lpstr>
      <vt:lpstr>'Axial Unhoused'!tlccEupol0</vt:lpstr>
      <vt:lpstr>'Centrif Housed'!tlccEupol0</vt:lpstr>
      <vt:lpstr>'Centrif Unhous'!tlccEupol0</vt:lpstr>
      <vt:lpstr>'Inline-Mixed'!tlccEupol0</vt:lpstr>
      <vt:lpstr>'Power Roof Vent'!tlccEupol0</vt:lpstr>
      <vt:lpstr>Radial!tlccEupol0</vt:lpstr>
      <vt:lpstr>'Axial Housed'!tlccEupol1</vt:lpstr>
      <vt:lpstr>'Axial Unhoused'!tlccEupol1</vt:lpstr>
      <vt:lpstr>'Centrif Housed'!tlccEupol1</vt:lpstr>
      <vt:lpstr>'Centrif Unhous'!tlccEupol1</vt:lpstr>
      <vt:lpstr>'Inline-Mixed'!tlccEupol1</vt:lpstr>
      <vt:lpstr>'Power Roof Vent'!tlccEupol1</vt:lpstr>
      <vt:lpstr>Radial!tlccEupol1</vt:lpstr>
      <vt:lpstr>'Axial Housed'!tlccEupol2</vt:lpstr>
      <vt:lpstr>'Axial Unhoused'!tlccEupol2</vt:lpstr>
      <vt:lpstr>'Centrif Housed'!tlccEupol2</vt:lpstr>
      <vt:lpstr>'Centrif Unhous'!tlccEupol2</vt:lpstr>
      <vt:lpstr>'Inline-Mixed'!tlccEupol2</vt:lpstr>
      <vt:lpstr>'Power Roof Vent'!tlccEupol2</vt:lpstr>
      <vt:lpstr>Radial!tlccEupol2</vt:lpstr>
      <vt:lpstr>'Axial Housed'!tlccEupol3</vt:lpstr>
      <vt:lpstr>'Axial Unhoused'!tlccEupol3</vt:lpstr>
      <vt:lpstr>'Centrif Housed'!tlccEupol3</vt:lpstr>
      <vt:lpstr>'Centrif Unhous'!tlccEupol3</vt:lpstr>
      <vt:lpstr>'Inline-Mixed'!tlccEupol3</vt:lpstr>
      <vt:lpstr>'Power Roof Vent'!tlccEupol3</vt:lpstr>
      <vt:lpstr>Radial!tlccEupol3</vt:lpstr>
      <vt:lpstr>'Axial Housed'!tlccEupol4</vt:lpstr>
      <vt:lpstr>'Axial Unhoused'!tlccEupol4</vt:lpstr>
      <vt:lpstr>'Centrif Housed'!tlccEupol4</vt:lpstr>
      <vt:lpstr>'Centrif Unhous'!tlccEupol4</vt:lpstr>
      <vt:lpstr>'Inline-Mixed'!tlccEupol4</vt:lpstr>
      <vt:lpstr>'Power Roof Vent'!tlccEupol4</vt:lpstr>
      <vt:lpstr>Radial!tlccEupol4</vt:lpstr>
      <vt:lpstr>'Axial Housed'!tlccEupol5</vt:lpstr>
      <vt:lpstr>'Axial Unhoused'!tlccEupol5</vt:lpstr>
      <vt:lpstr>'Centrif Housed'!tlccEupol5</vt:lpstr>
      <vt:lpstr>'Centrif Unhous'!tlccEupol5</vt:lpstr>
      <vt:lpstr>'Inline-Mixed'!tlccEupol5</vt:lpstr>
      <vt:lpstr>'Power Roof Vent'!tlccEupol5</vt:lpstr>
      <vt:lpstr>Radial!tlccEupol5</vt:lpstr>
      <vt:lpstr>'Axial Housed'!tlccEupol6</vt:lpstr>
      <vt:lpstr>'Axial Unhoused'!tlccEupol6</vt:lpstr>
      <vt:lpstr>'Centrif Housed'!tlccEupol6</vt:lpstr>
      <vt:lpstr>'Centrif Unhous'!tlccEupol6</vt:lpstr>
      <vt:lpstr>'Inline-Mixed'!tlccEupol6</vt:lpstr>
      <vt:lpstr>'Power Roof Vent'!tlccEupol6</vt:lpstr>
      <vt:lpstr>Radial!tlccEupol6</vt:lpstr>
      <vt:lpstr>'Axial Housed'!tlccFmElecbc</vt:lpstr>
      <vt:lpstr>'Axial Unhoused'!tlccFmElecbc</vt:lpstr>
      <vt:lpstr>'Centrif Housed'!tlccFmElecbc</vt:lpstr>
      <vt:lpstr>'Centrif Unhous'!tlccFmElecbc</vt:lpstr>
      <vt:lpstr>'Inline-Mixed'!tlccFmElecbc</vt:lpstr>
      <vt:lpstr>'Power Roof Vent'!tlccFmElecbc</vt:lpstr>
      <vt:lpstr>Radial!tlccFmElecbc</vt:lpstr>
      <vt:lpstr>'Axial Housed'!tlccFmElecpol</vt:lpstr>
      <vt:lpstr>'Axial Unhoused'!tlccFmElecpol</vt:lpstr>
      <vt:lpstr>'Centrif Housed'!tlccFmElecpol</vt:lpstr>
      <vt:lpstr>'Centrif Unhous'!tlccFmElecpol</vt:lpstr>
      <vt:lpstr>'Inline-Mixed'!tlccFmElecpol</vt:lpstr>
      <vt:lpstr>'Power Roof Vent'!tlccFmElecpol</vt:lpstr>
      <vt:lpstr>Radial!tlccFmElecpol</vt:lpstr>
      <vt:lpstr>'Axial Housed'!tlccFubcElec</vt:lpstr>
      <vt:lpstr>'Axial Unhoused'!tlccFubcElec</vt:lpstr>
      <vt:lpstr>'Centrif Housed'!tlccFubcElec</vt:lpstr>
      <vt:lpstr>'Centrif Unhous'!tlccFubcElec</vt:lpstr>
      <vt:lpstr>'Inline-Mixed'!tlccFubcElec</vt:lpstr>
      <vt:lpstr>'Power Roof Vent'!tlccFubcElec</vt:lpstr>
      <vt:lpstr>Radial!tlccFubcElec</vt:lpstr>
      <vt:lpstr>'Axial Housed'!tlccFubcElec0</vt:lpstr>
      <vt:lpstr>'Axial Unhoused'!tlccFubcElec0</vt:lpstr>
      <vt:lpstr>'Centrif Housed'!tlccFubcElec0</vt:lpstr>
      <vt:lpstr>'Centrif Unhous'!tlccFubcElec0</vt:lpstr>
      <vt:lpstr>'Inline-Mixed'!tlccFubcElec0</vt:lpstr>
      <vt:lpstr>'Power Roof Vent'!tlccFubcElec0</vt:lpstr>
      <vt:lpstr>Radial!tlccFubcElec0</vt:lpstr>
      <vt:lpstr>'Axial Housed'!tlccFubcElec1</vt:lpstr>
      <vt:lpstr>'Axial Unhoused'!tlccFubcElec1</vt:lpstr>
      <vt:lpstr>'Centrif Housed'!tlccFubcElec1</vt:lpstr>
      <vt:lpstr>'Centrif Unhous'!tlccFubcElec1</vt:lpstr>
      <vt:lpstr>'Inline-Mixed'!tlccFubcElec1</vt:lpstr>
      <vt:lpstr>'Power Roof Vent'!tlccFubcElec1</vt:lpstr>
      <vt:lpstr>Radial!tlccFubcElec1</vt:lpstr>
      <vt:lpstr>'Axial Housed'!tlccFubcElec2</vt:lpstr>
      <vt:lpstr>'Axial Unhoused'!tlccFubcElec2</vt:lpstr>
      <vt:lpstr>'Centrif Housed'!tlccFubcElec2</vt:lpstr>
      <vt:lpstr>'Centrif Unhous'!tlccFubcElec2</vt:lpstr>
      <vt:lpstr>'Inline-Mixed'!tlccFubcElec2</vt:lpstr>
      <vt:lpstr>'Power Roof Vent'!tlccFubcElec2</vt:lpstr>
      <vt:lpstr>Radial!tlccFubcElec2</vt:lpstr>
      <vt:lpstr>'Axial Housed'!tlccFubcElec3</vt:lpstr>
      <vt:lpstr>'Axial Unhoused'!tlccFubcElec3</vt:lpstr>
      <vt:lpstr>'Centrif Housed'!tlccFubcElec3</vt:lpstr>
      <vt:lpstr>'Centrif Unhous'!tlccFubcElec3</vt:lpstr>
      <vt:lpstr>'Inline-Mixed'!tlccFubcElec3</vt:lpstr>
      <vt:lpstr>'Power Roof Vent'!tlccFubcElec3</vt:lpstr>
      <vt:lpstr>Radial!tlccFubcElec3</vt:lpstr>
      <vt:lpstr>'Axial Housed'!tlccFubcElec4</vt:lpstr>
      <vt:lpstr>'Axial Unhoused'!tlccFubcElec4</vt:lpstr>
      <vt:lpstr>'Centrif Housed'!tlccFubcElec4</vt:lpstr>
      <vt:lpstr>'Centrif Unhous'!tlccFubcElec4</vt:lpstr>
      <vt:lpstr>'Inline-Mixed'!tlccFubcElec4</vt:lpstr>
      <vt:lpstr>'Power Roof Vent'!tlccFubcElec4</vt:lpstr>
      <vt:lpstr>Radial!tlccFubcElec4</vt:lpstr>
      <vt:lpstr>'Axial Housed'!tlccFubcElec5</vt:lpstr>
      <vt:lpstr>'Axial Unhoused'!tlccFubcElec5</vt:lpstr>
      <vt:lpstr>'Centrif Housed'!tlccFubcElec5</vt:lpstr>
      <vt:lpstr>'Centrif Unhous'!tlccFubcElec5</vt:lpstr>
      <vt:lpstr>'Inline-Mixed'!tlccFubcElec5</vt:lpstr>
      <vt:lpstr>'Power Roof Vent'!tlccFubcElec5</vt:lpstr>
      <vt:lpstr>Radial!tlccFubcElec5</vt:lpstr>
      <vt:lpstr>'Axial Housed'!tlccFubcElec6</vt:lpstr>
      <vt:lpstr>'Axial Unhoused'!tlccFubcElec6</vt:lpstr>
      <vt:lpstr>'Centrif Housed'!tlccFubcElec6</vt:lpstr>
      <vt:lpstr>'Centrif Unhous'!tlccFubcElec6</vt:lpstr>
      <vt:lpstr>'Inline-Mixed'!tlccFubcElec6</vt:lpstr>
      <vt:lpstr>'Power Roof Vent'!tlccFubcElec6</vt:lpstr>
      <vt:lpstr>Radial!tlccFubcElec6</vt:lpstr>
      <vt:lpstr>'Axial Housed'!tlccFupolElec</vt:lpstr>
      <vt:lpstr>'Axial Unhoused'!tlccFupolElec</vt:lpstr>
      <vt:lpstr>'Centrif Housed'!tlccFupolElec</vt:lpstr>
      <vt:lpstr>'Centrif Unhous'!tlccFupolElec</vt:lpstr>
      <vt:lpstr>'Inline-Mixed'!tlccFupolElec</vt:lpstr>
      <vt:lpstr>'Power Roof Vent'!tlccFupolElec</vt:lpstr>
      <vt:lpstr>Radial!tlccFupolElec</vt:lpstr>
      <vt:lpstr>'Axial Housed'!tlccFupolElec0</vt:lpstr>
      <vt:lpstr>'Axial Unhoused'!tlccFupolElec0</vt:lpstr>
      <vt:lpstr>'Centrif Housed'!tlccFupolElec0</vt:lpstr>
      <vt:lpstr>'Centrif Unhous'!tlccFupolElec0</vt:lpstr>
      <vt:lpstr>'Inline-Mixed'!tlccFupolElec0</vt:lpstr>
      <vt:lpstr>'Power Roof Vent'!tlccFupolElec0</vt:lpstr>
      <vt:lpstr>Radial!tlccFupolElec0</vt:lpstr>
      <vt:lpstr>'Axial Housed'!tlccFupolElec1</vt:lpstr>
      <vt:lpstr>'Axial Unhoused'!tlccFupolElec1</vt:lpstr>
      <vt:lpstr>'Centrif Housed'!tlccFupolElec1</vt:lpstr>
      <vt:lpstr>'Centrif Unhous'!tlccFupolElec1</vt:lpstr>
      <vt:lpstr>'Inline-Mixed'!tlccFupolElec1</vt:lpstr>
      <vt:lpstr>'Power Roof Vent'!tlccFupolElec1</vt:lpstr>
      <vt:lpstr>Radial!tlccFupolElec1</vt:lpstr>
      <vt:lpstr>'Axial Housed'!tlccFupolElec2</vt:lpstr>
      <vt:lpstr>'Axial Unhoused'!tlccFupolElec2</vt:lpstr>
      <vt:lpstr>'Centrif Housed'!tlccFupolElec2</vt:lpstr>
      <vt:lpstr>'Centrif Unhous'!tlccFupolElec2</vt:lpstr>
      <vt:lpstr>'Inline-Mixed'!tlccFupolElec2</vt:lpstr>
      <vt:lpstr>'Power Roof Vent'!tlccFupolElec2</vt:lpstr>
      <vt:lpstr>Radial!tlccFupolElec2</vt:lpstr>
      <vt:lpstr>'Axial Housed'!tlccFupolElec3</vt:lpstr>
      <vt:lpstr>'Axial Unhoused'!tlccFupolElec3</vt:lpstr>
      <vt:lpstr>'Centrif Housed'!tlccFupolElec3</vt:lpstr>
      <vt:lpstr>'Centrif Unhous'!tlccFupolElec3</vt:lpstr>
      <vt:lpstr>'Inline-Mixed'!tlccFupolElec3</vt:lpstr>
      <vt:lpstr>'Power Roof Vent'!tlccFupolElec3</vt:lpstr>
      <vt:lpstr>Radial!tlccFupolElec3</vt:lpstr>
      <vt:lpstr>'Axial Housed'!tlccFupolElec4</vt:lpstr>
      <vt:lpstr>'Axial Unhoused'!tlccFupolElec4</vt:lpstr>
      <vt:lpstr>'Centrif Housed'!tlccFupolElec4</vt:lpstr>
      <vt:lpstr>'Centrif Unhous'!tlccFupolElec4</vt:lpstr>
      <vt:lpstr>'Inline-Mixed'!tlccFupolElec4</vt:lpstr>
      <vt:lpstr>'Power Roof Vent'!tlccFupolElec4</vt:lpstr>
      <vt:lpstr>Radial!tlccFupolElec4</vt:lpstr>
      <vt:lpstr>'Axial Housed'!tlccFupolElec5</vt:lpstr>
      <vt:lpstr>'Axial Unhoused'!tlccFupolElec5</vt:lpstr>
      <vt:lpstr>'Centrif Housed'!tlccFupolElec5</vt:lpstr>
      <vt:lpstr>'Centrif Unhous'!tlccFupolElec5</vt:lpstr>
      <vt:lpstr>'Inline-Mixed'!tlccFupolElec5</vt:lpstr>
      <vt:lpstr>'Power Roof Vent'!tlccFupolElec5</vt:lpstr>
      <vt:lpstr>Radial!tlccFupolElec5</vt:lpstr>
      <vt:lpstr>'Axial Housed'!tlccFupolElec6</vt:lpstr>
      <vt:lpstr>'Axial Unhoused'!tlccFupolElec6</vt:lpstr>
      <vt:lpstr>'Centrif Housed'!tlccFupolElec6</vt:lpstr>
      <vt:lpstr>'Centrif Unhous'!tlccFupolElec6</vt:lpstr>
      <vt:lpstr>'Inline-Mixed'!tlccFupolElec6</vt:lpstr>
      <vt:lpstr>'Power Roof Vent'!tlccFupolElec6</vt:lpstr>
      <vt:lpstr>Radial!tlccFupolElec6</vt:lpstr>
      <vt:lpstr>'Axial Housed'!tlccQmbc</vt:lpstr>
      <vt:lpstr>'Axial Unhoused'!tlccQmbc</vt:lpstr>
      <vt:lpstr>'Centrif Housed'!tlccQmbc</vt:lpstr>
      <vt:lpstr>'Centrif Unhous'!tlccQmbc</vt:lpstr>
      <vt:lpstr>'Inline-Mixed'!tlccQmbc</vt:lpstr>
      <vt:lpstr>'Power Roof Vent'!tlccQmbc</vt:lpstr>
      <vt:lpstr>Radial!tlccQmbc</vt:lpstr>
      <vt:lpstr>'Axial Housed'!tlccQmpol</vt:lpstr>
      <vt:lpstr>'Axial Unhoused'!tlccQmpol</vt:lpstr>
      <vt:lpstr>'Centrif Housed'!tlccQmpol</vt:lpstr>
      <vt:lpstr>'Centrif Unhous'!tlccQmpol</vt:lpstr>
      <vt:lpstr>'Inline-Mixed'!tlccQmpol</vt:lpstr>
      <vt:lpstr>'Power Roof Vent'!tlccQmpol</vt:lpstr>
      <vt:lpstr>Radial!tlccQmpol</vt:lpstr>
      <vt:lpstr>'Axial Housed'!tlccQubc</vt:lpstr>
      <vt:lpstr>'Axial Unhoused'!tlccQubc</vt:lpstr>
      <vt:lpstr>'Centrif Housed'!tlccQubc</vt:lpstr>
      <vt:lpstr>'Centrif Unhous'!tlccQubc</vt:lpstr>
      <vt:lpstr>'Inline-Mixed'!tlccQubc</vt:lpstr>
      <vt:lpstr>'Power Roof Vent'!tlccQubc</vt:lpstr>
      <vt:lpstr>Radial!tlccQubc</vt:lpstr>
      <vt:lpstr>'Axial Housed'!tlccQubc0</vt:lpstr>
      <vt:lpstr>'Axial Unhoused'!tlccQubc0</vt:lpstr>
      <vt:lpstr>'Centrif Housed'!tlccQubc0</vt:lpstr>
      <vt:lpstr>'Centrif Unhous'!tlccQubc0</vt:lpstr>
      <vt:lpstr>'Inline-Mixed'!tlccQubc0</vt:lpstr>
      <vt:lpstr>'Power Roof Vent'!tlccQubc0</vt:lpstr>
      <vt:lpstr>Radial!tlccQubc0</vt:lpstr>
      <vt:lpstr>'Axial Housed'!tlccQubc1</vt:lpstr>
      <vt:lpstr>'Axial Unhoused'!tlccQubc1</vt:lpstr>
      <vt:lpstr>'Centrif Housed'!tlccQubc1</vt:lpstr>
      <vt:lpstr>'Centrif Unhous'!tlccQubc1</vt:lpstr>
      <vt:lpstr>'Inline-Mixed'!tlccQubc1</vt:lpstr>
      <vt:lpstr>'Power Roof Vent'!tlccQubc1</vt:lpstr>
      <vt:lpstr>Radial!tlccQubc1</vt:lpstr>
      <vt:lpstr>'Axial Housed'!tlccQubc2</vt:lpstr>
      <vt:lpstr>'Axial Unhoused'!tlccQubc2</vt:lpstr>
      <vt:lpstr>'Centrif Housed'!tlccQubc2</vt:lpstr>
      <vt:lpstr>'Centrif Unhous'!tlccQubc2</vt:lpstr>
      <vt:lpstr>'Inline-Mixed'!tlccQubc2</vt:lpstr>
      <vt:lpstr>'Power Roof Vent'!tlccQubc2</vt:lpstr>
      <vt:lpstr>Radial!tlccQubc2</vt:lpstr>
      <vt:lpstr>'Axial Housed'!tlccQubc3</vt:lpstr>
      <vt:lpstr>'Axial Unhoused'!tlccQubc3</vt:lpstr>
      <vt:lpstr>'Centrif Housed'!tlccQubc3</vt:lpstr>
      <vt:lpstr>'Centrif Unhous'!tlccQubc3</vt:lpstr>
      <vt:lpstr>'Inline-Mixed'!tlccQubc3</vt:lpstr>
      <vt:lpstr>'Power Roof Vent'!tlccQubc3</vt:lpstr>
      <vt:lpstr>Radial!tlccQubc3</vt:lpstr>
      <vt:lpstr>'Axial Housed'!tlccQubc4</vt:lpstr>
      <vt:lpstr>'Axial Unhoused'!tlccQubc4</vt:lpstr>
      <vt:lpstr>'Centrif Housed'!tlccQubc4</vt:lpstr>
      <vt:lpstr>'Centrif Unhous'!tlccQubc4</vt:lpstr>
      <vt:lpstr>'Inline-Mixed'!tlccQubc4</vt:lpstr>
      <vt:lpstr>'Power Roof Vent'!tlccQubc4</vt:lpstr>
      <vt:lpstr>Radial!tlccQubc4</vt:lpstr>
      <vt:lpstr>'Axial Housed'!tlccQubc5</vt:lpstr>
      <vt:lpstr>'Axial Unhoused'!tlccQubc5</vt:lpstr>
      <vt:lpstr>'Centrif Housed'!tlccQubc5</vt:lpstr>
      <vt:lpstr>'Centrif Unhous'!tlccQubc5</vt:lpstr>
      <vt:lpstr>'Inline-Mixed'!tlccQubc5</vt:lpstr>
      <vt:lpstr>'Power Roof Vent'!tlccQubc5</vt:lpstr>
      <vt:lpstr>Radial!tlccQubc5</vt:lpstr>
      <vt:lpstr>'Axial Housed'!tlccQubc6</vt:lpstr>
      <vt:lpstr>'Axial Unhoused'!tlccQubc6</vt:lpstr>
      <vt:lpstr>'Centrif Housed'!tlccQubc6</vt:lpstr>
      <vt:lpstr>'Centrif Unhous'!tlccQubc6</vt:lpstr>
      <vt:lpstr>'Inline-Mixed'!tlccQubc6</vt:lpstr>
      <vt:lpstr>'Power Roof Vent'!tlccQubc6</vt:lpstr>
      <vt:lpstr>Radial!tlccQubc6</vt:lpstr>
      <vt:lpstr>'Axial Housed'!tlccQupol</vt:lpstr>
      <vt:lpstr>'Axial Unhoused'!tlccQupol</vt:lpstr>
      <vt:lpstr>'Centrif Housed'!tlccQupol</vt:lpstr>
      <vt:lpstr>'Centrif Unhous'!tlccQupol</vt:lpstr>
      <vt:lpstr>'Inline-Mixed'!tlccQupol</vt:lpstr>
      <vt:lpstr>'Power Roof Vent'!tlccQupol</vt:lpstr>
      <vt:lpstr>Radial!tlccQupol</vt:lpstr>
      <vt:lpstr>'Axial Housed'!tlccQupol0</vt:lpstr>
      <vt:lpstr>'Axial Unhoused'!tlccQupol0</vt:lpstr>
      <vt:lpstr>'Centrif Housed'!tlccQupol0</vt:lpstr>
      <vt:lpstr>'Centrif Unhous'!tlccQupol0</vt:lpstr>
      <vt:lpstr>'Inline-Mixed'!tlccQupol0</vt:lpstr>
      <vt:lpstr>'Power Roof Vent'!tlccQupol0</vt:lpstr>
      <vt:lpstr>Radial!tlccQupol0</vt:lpstr>
      <vt:lpstr>'Axial Housed'!tlccQupol1</vt:lpstr>
      <vt:lpstr>'Axial Unhoused'!tlccQupol1</vt:lpstr>
      <vt:lpstr>'Centrif Housed'!tlccQupol1</vt:lpstr>
      <vt:lpstr>'Centrif Unhous'!tlccQupol1</vt:lpstr>
      <vt:lpstr>'Inline-Mixed'!tlccQupol1</vt:lpstr>
      <vt:lpstr>'Power Roof Vent'!tlccQupol1</vt:lpstr>
      <vt:lpstr>Radial!tlccQupol1</vt:lpstr>
      <vt:lpstr>'Axial Housed'!tlccQupol2</vt:lpstr>
      <vt:lpstr>'Axial Unhoused'!tlccQupol2</vt:lpstr>
      <vt:lpstr>'Centrif Housed'!tlccQupol2</vt:lpstr>
      <vt:lpstr>'Centrif Unhous'!tlccQupol2</vt:lpstr>
      <vt:lpstr>'Inline-Mixed'!tlccQupol2</vt:lpstr>
      <vt:lpstr>'Power Roof Vent'!tlccQupol2</vt:lpstr>
      <vt:lpstr>Radial!tlccQupol2</vt:lpstr>
      <vt:lpstr>'Axial Housed'!tlccQupol3</vt:lpstr>
      <vt:lpstr>'Axial Unhoused'!tlccQupol3</vt:lpstr>
      <vt:lpstr>'Centrif Housed'!tlccQupol3</vt:lpstr>
      <vt:lpstr>'Centrif Unhous'!tlccQupol3</vt:lpstr>
      <vt:lpstr>'Inline-Mixed'!tlccQupol3</vt:lpstr>
      <vt:lpstr>'Power Roof Vent'!tlccQupol3</vt:lpstr>
      <vt:lpstr>Radial!tlccQupol3</vt:lpstr>
      <vt:lpstr>'Axial Housed'!tlccQupol4</vt:lpstr>
      <vt:lpstr>'Axial Unhoused'!tlccQupol4</vt:lpstr>
      <vt:lpstr>'Centrif Housed'!tlccQupol4</vt:lpstr>
      <vt:lpstr>'Centrif Unhous'!tlccQupol4</vt:lpstr>
      <vt:lpstr>'Inline-Mixed'!tlccQupol4</vt:lpstr>
      <vt:lpstr>'Power Roof Vent'!tlccQupol4</vt:lpstr>
      <vt:lpstr>Radial!tlccQupol4</vt:lpstr>
      <vt:lpstr>'Axial Housed'!tlccQupol5</vt:lpstr>
      <vt:lpstr>'Axial Unhoused'!tlccQupol5</vt:lpstr>
      <vt:lpstr>'Centrif Housed'!tlccQupol5</vt:lpstr>
      <vt:lpstr>'Centrif Unhous'!tlccQupol5</vt:lpstr>
      <vt:lpstr>'Inline-Mixed'!tlccQupol5</vt:lpstr>
      <vt:lpstr>'Power Roof Vent'!tlccQupol5</vt:lpstr>
      <vt:lpstr>Radial!tlccQupol5</vt:lpstr>
      <vt:lpstr>'Axial Housed'!tlccQupol6</vt:lpstr>
      <vt:lpstr>'Axial Unhoused'!tlccQupol6</vt:lpstr>
      <vt:lpstr>'Centrif Housed'!tlccQupol6</vt:lpstr>
      <vt:lpstr>'Centrif Unhous'!tlccQupol6</vt:lpstr>
      <vt:lpstr>'Inline-Mixed'!tlccQupol6</vt:lpstr>
      <vt:lpstr>'Power Roof Vent'!tlccQupol6</vt:lpstr>
      <vt:lpstr>Radial!tlccQupol6</vt:lpstr>
      <vt:lpstr>tMktAxH</vt:lpstr>
      <vt:lpstr>tMktAxU</vt:lpstr>
      <vt:lpstr>tMktCnH</vt:lpstr>
      <vt:lpstr>tMktCnU</vt:lpstr>
      <vt:lpstr>tMktInMx</vt:lpstr>
      <vt:lpstr>tMktPRV</vt:lpstr>
      <vt:lpstr>tMktRad</vt:lpstr>
      <vt:lpstr>'Axial Housed'!tnet</vt:lpstr>
      <vt:lpstr>'Axial Unhoused'!tnet</vt:lpstr>
      <vt:lpstr>'Centrif Housed'!tnet</vt:lpstr>
      <vt:lpstr>'Centrif Unhous'!tnet</vt:lpstr>
      <vt:lpstr>'Inline-Mixed'!tnet</vt:lpstr>
      <vt:lpstr>'Power Roof Vent'!tnet</vt:lpstr>
      <vt:lpstr>Radial!tnet</vt:lpstr>
      <vt:lpstr>'Axial Housed'!tnetU</vt:lpstr>
      <vt:lpstr>'Axial Unhoused'!tnetU</vt:lpstr>
      <vt:lpstr>'Centrif Housed'!tnetU</vt:lpstr>
      <vt:lpstr>'Centrif Unhous'!tnetU</vt:lpstr>
      <vt:lpstr>'Inline-Mixed'!tnetU</vt:lpstr>
      <vt:lpstr>'Power Roof Vent'!tnetU</vt:lpstr>
      <vt:lpstr>Radial!tnetU</vt:lpstr>
      <vt:lpstr>tPIdxAll</vt:lpstr>
      <vt:lpstr>tPIdxAll1</vt:lpstr>
      <vt:lpstr>tPIdxAll2</vt:lpstr>
      <vt:lpstr>tPIdxAll3</vt:lpstr>
      <vt:lpstr>'Axial Housed'!tpolEff0</vt:lpstr>
      <vt:lpstr>'Axial Unhoused'!tpolEff0</vt:lpstr>
      <vt:lpstr>'Centrif Housed'!tpolEff0</vt:lpstr>
      <vt:lpstr>'Centrif Unhous'!tpolEff0</vt:lpstr>
      <vt:lpstr>'Inline-Mixed'!tpolEff0</vt:lpstr>
      <vt:lpstr>'Power Roof Vent'!tpolEff0</vt:lpstr>
      <vt:lpstr>Radial!tpolEff0</vt:lpstr>
      <vt:lpstr>'Axial Housed'!tpolEff1</vt:lpstr>
      <vt:lpstr>'Axial Unhoused'!tpolEff1</vt:lpstr>
      <vt:lpstr>'Centrif Housed'!tpolEff1</vt:lpstr>
      <vt:lpstr>'Centrif Unhous'!tpolEff1</vt:lpstr>
      <vt:lpstr>'Inline-Mixed'!tpolEff1</vt:lpstr>
      <vt:lpstr>'Power Roof Vent'!tpolEff1</vt:lpstr>
      <vt:lpstr>Radial!tpolEff1</vt:lpstr>
      <vt:lpstr>'Axial Housed'!tpolEff2</vt:lpstr>
      <vt:lpstr>'Axial Unhoused'!tpolEff2</vt:lpstr>
      <vt:lpstr>'Centrif Housed'!tpolEff2</vt:lpstr>
      <vt:lpstr>'Centrif Unhous'!tpolEff2</vt:lpstr>
      <vt:lpstr>'Inline-Mixed'!tpolEff2</vt:lpstr>
      <vt:lpstr>'Power Roof Vent'!tpolEff2</vt:lpstr>
      <vt:lpstr>Radial!tpolEff2</vt:lpstr>
      <vt:lpstr>'Axial Housed'!tpolEff3</vt:lpstr>
      <vt:lpstr>'Axial Unhoused'!tpolEff3</vt:lpstr>
      <vt:lpstr>'Centrif Housed'!tpolEff3</vt:lpstr>
      <vt:lpstr>'Centrif Unhous'!tpolEff3</vt:lpstr>
      <vt:lpstr>'Inline-Mixed'!tpolEff3</vt:lpstr>
      <vt:lpstr>'Power Roof Vent'!tpolEff3</vt:lpstr>
      <vt:lpstr>Radial!tpolEff3</vt:lpstr>
      <vt:lpstr>'Axial Housed'!tpolEff4</vt:lpstr>
      <vt:lpstr>'Axial Unhoused'!tpolEff4</vt:lpstr>
      <vt:lpstr>'Centrif Housed'!tpolEff4</vt:lpstr>
      <vt:lpstr>'Centrif Unhous'!tpolEff4</vt:lpstr>
      <vt:lpstr>'Inline-Mixed'!tpolEff4</vt:lpstr>
      <vt:lpstr>'Power Roof Vent'!tpolEff4</vt:lpstr>
      <vt:lpstr>Radial!tpolEff4</vt:lpstr>
      <vt:lpstr>'Axial Housed'!tpolEff5</vt:lpstr>
      <vt:lpstr>'Axial Unhoused'!tpolEff5</vt:lpstr>
      <vt:lpstr>'Centrif Housed'!tpolEff5</vt:lpstr>
      <vt:lpstr>'Centrif Unhous'!tpolEff5</vt:lpstr>
      <vt:lpstr>'Inline-Mixed'!tpolEff5</vt:lpstr>
      <vt:lpstr>'Power Roof Vent'!tpolEff5</vt:lpstr>
      <vt:lpstr>Radial!tpolEff5</vt:lpstr>
      <vt:lpstr>'Axial Housed'!tpolEff6</vt:lpstr>
      <vt:lpstr>'Axial Unhoused'!tpolEff6</vt:lpstr>
      <vt:lpstr>'Centrif Housed'!tpolEff6</vt:lpstr>
      <vt:lpstr>'Centrif Unhous'!tpolEff6</vt:lpstr>
      <vt:lpstr>'Inline-Mixed'!tpolEff6</vt:lpstr>
      <vt:lpstr>'Power Roof Vent'!tpolEff6</vt:lpstr>
      <vt:lpstr>Radial!tpolEff6</vt:lpstr>
      <vt:lpstr>tPrcElec</vt:lpstr>
      <vt:lpstr>tPrcElecH</vt:lpstr>
      <vt:lpstr>tPrcElecL</vt:lpstr>
      <vt:lpstr>tPrcElecR</vt:lpstr>
      <vt:lpstr>tpSurvAxH</vt:lpstr>
      <vt:lpstr>tpSurvAxU</vt:lpstr>
      <vt:lpstr>tpSurvCnH</vt:lpstr>
      <vt:lpstr>tpSurvCnU</vt:lpstr>
      <vt:lpstr>tpSurvInMx</vt:lpstr>
      <vt:lpstr>tpSurvPRV</vt:lpstr>
      <vt:lpstr>tpSurvRad</vt:lpstr>
      <vt:lpstr>'Axial Housed'!tsavElec7</vt:lpstr>
      <vt:lpstr>'Axial Unhoused'!tsavElec7</vt:lpstr>
      <vt:lpstr>'Centrif Housed'!tsavElec7</vt:lpstr>
      <vt:lpstr>'Centrif Unhous'!tsavElec7</vt:lpstr>
      <vt:lpstr>'Inline-Mixed'!tsavElec7</vt:lpstr>
      <vt:lpstr>'Power Roof Vent'!tsavElec7</vt:lpstr>
      <vt:lpstr>Radial!tsavElec7</vt:lpstr>
      <vt:lpstr>'Axial Housed'!tsavUElec</vt:lpstr>
      <vt:lpstr>'Axial Unhoused'!tsavUElec</vt:lpstr>
      <vt:lpstr>'Centrif Housed'!tsavUElec</vt:lpstr>
      <vt:lpstr>'Centrif Unhous'!tsavUElec</vt:lpstr>
      <vt:lpstr>'Inline-Mixed'!tsavUElec</vt:lpstr>
      <vt:lpstr>'Power Roof Vent'!tsavUElec</vt:lpstr>
      <vt:lpstr>Radial!tsavUElec</vt:lpstr>
      <vt:lpstr>tShpAll</vt:lpstr>
      <vt:lpstr>tShpAll1</vt:lpstr>
      <vt:lpstr>tShpAll2</vt:lpstr>
      <vt:lpstr>tShpAll3</vt:lpstr>
      <vt:lpstr>tShpAxH</vt:lpstr>
      <vt:lpstr>tShpAxU</vt:lpstr>
      <vt:lpstr>tShpCnH</vt:lpstr>
      <vt:lpstr>tShpCnU</vt:lpstr>
      <vt:lpstr>tShpInMx</vt:lpstr>
      <vt:lpstr>tShpPRV</vt:lpstr>
      <vt:lpstr>tShpRad</vt:lpstr>
      <vt:lpstr>tsl1stYear</vt:lpstr>
      <vt:lpstr>tslNYears</vt:lpstr>
      <vt:lpstr>tStkAll</vt:lpstr>
      <vt:lpstr>tStkAxH</vt:lpstr>
      <vt:lpstr>tStkAxU</vt:lpstr>
      <vt:lpstr>tStkCnH</vt:lpstr>
      <vt:lpstr>tStkCnU</vt:lpstr>
      <vt:lpstr>tStkInMx</vt:lpstr>
      <vt:lpstr>tStkPRV</vt:lpstr>
      <vt:lpstr>tStkRad</vt:lpstr>
      <vt:lpstr>tSumm</vt:lpstr>
      <vt:lpstr>vadAxH</vt:lpstr>
      <vt:lpstr>vadAxU</vt:lpstr>
      <vt:lpstr>vadCnH</vt:lpstr>
      <vt:lpstr>vadCnU</vt:lpstr>
      <vt:lpstr>vadInMx</vt:lpstr>
      <vt:lpstr>vadPRV</vt:lpstr>
      <vt:lpstr>vadRad</vt:lpstr>
      <vt:lpstr>yearC</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Acme Engineering and Manufacturing Corp. Attachment of National Impact Analysis</dc:title>
  <dc:creator>hblum</dc:creator>
  <cp:lastModifiedBy>Paul, Patricia@Energy</cp:lastModifiedBy>
  <cp:lastPrinted>2014-11-11T22:33:53Z</cp:lastPrinted>
  <dcterms:created xsi:type="dcterms:W3CDTF">2014-09-16T22:22:03Z</dcterms:created>
  <dcterms:modified xsi:type="dcterms:W3CDTF">2017-09-19T20:58:24Z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ef560b7d-5670-401a-ab2b-684f66456183</vt:lpwstr>
  </property>
  <property fmtid="{D5CDD505-2E9C-101B-9397-08002B2CF9AE}" pid="4" name="Subject_x0020_Areas">
    <vt:lpwstr/>
  </property>
  <property fmtid="{D5CDD505-2E9C-101B-9397-08002B2CF9AE}" pid="5" name="_CopySource">
    <vt:lpwstr>http://efilingspinternal/PendingDocuments/17-AAER-06/20170919T140134_Acme_Engineering_and_Manufacturing_Corp_Attachment_of_National.xlsx</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7;#Public|5fee9918-69d5-40f5-9767-4e66d03898ce</vt:lpwstr>
  </property>
  <property fmtid="{D5CDD505-2E9C-101B-9397-08002B2CF9AE}" pid="9" name="Order">
    <vt:r8>2446000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